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Two Loans" sheetId="2" state="visible" r:id="rId4"/>
    <sheet name="2. Margin vs Return on Capital" sheetId="3" state="visible" r:id="rId5"/>
    <sheet name="3. Where B Breaks" sheetId="4" state="visible" r:id="rId6"/>
    <sheet name="4. The Floor" sheetId="5" state="visible" r:id="rId7"/>
    <sheet name="5. Early Repayment"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<sst xmlns="http://schemas.openxmlformats.org/spreadsheetml/2006/main" count="186" uniqueCount="166">
  <si>
    <t xml:space="preserve">The Return the Lender Actually Earns</t>
  </si>
  <si>
    <t xml:space="preserve">A companion to Appendix G, and to Chapter 7</t>
  </si>
  <si>
    <t xml:space="preserve">Chapter 7 is called "Pricing, and the Return the Lender Actually Earns". It sets out where the return comes from, what is being priced, and the four adjustments that stand between the margin and the return. It ends by asking the reader: can you state the risk-adjusted return on capital for your last three loans, or only the margins? It is a fair question, and the chapter does not show how to answer it.</t>
  </si>
  <si>
    <t xml:space="preserve">This file answers it, on the chapter's own two loans.</t>
  </si>
  <si>
    <t xml:space="preserve">What the numbers show</t>
  </si>
  <si>
    <t xml:space="preserve">Gross margin says Loan B beats Loan A by 350 basis points — nearly three times the margin. Return on capital says B beats A by 3.4 points, a tenth. Same two loans. The margin overstates B's advantage by roughly a factor of seventeen, which is what the chapter means by "a lending business that manages to gross margin will systematically select the wrong deals".</t>
  </si>
  <si>
    <t xml:space="preserve">And B's advantage is fragile in a way the margin conceals entirely. It disappears if the probability of default has been under-estimated by 1.45 times — 136 basis points of PD, well inside the error of any PD estimate. A 350 basis point margin advantage that evaporates on a PD estimate is not an advantage; it is a bet on the estimate.</t>
  </si>
  <si>
    <t xml:space="preserve">The rate floor, the thing the chapter says gets conceded when everyone is tired, is worth 150 basis points a year if the reference rate falls 150 — three quarters of the senior loan's entire credit margin, for a clause that costs the borrower nothing on the day it is signed.</t>
  </si>
  <si>
    <t xml:space="preserve">And the prepayment section corrects a reading of the chapter rather than the chapter. On the loan alone, an early repayment is BETTER for the lender, because the arrangement fee annualises up. The damage is entirely in the redeployment — and the tolerance is 13 basis points of margin compression. Prepayment protection converts directly into that tolerance: 100 basis points of protection buys 41 basis points of compression you can absorb. That is the number to take into a negotiation.</t>
  </si>
  <si>
    <t xml:space="preserve">The sheets</t>
  </si>
  <si>
    <t xml:space="preserve">1. The Two Loans — the chapter's example, given figures. Every input is here.</t>
  </si>
  <si>
    <t xml:space="preserve">2. Margin vs Return on Capital — the four adjustments, line by line, side by side</t>
  </si>
  <si>
    <t xml:space="preserve">3. Where B Breaks — the PD and the operating cost at which the wide margin stops paying</t>
  </si>
  <si>
    <t xml:space="preserve">4. The Floor — what the clause conceded at 11pm is worth</t>
  </si>
  <si>
    <t xml:space="preserve">5. Early Repayment — the loan, the redeployment, and what protection actually buys</t>
  </si>
  <si>
    <t xml:space="preserve">6. Checks — every figure in Appendix G, recomputed and compared</t>
  </si>
  <si>
    <t xml:space="preserve">Every figure is illustrative. The loans, the sponsor, the funding cost and the risk weights are invented, and capital treatment in particular differs by lender type and jurisdiction — the chapter is right to avoid naming regimes. The arithmetic does not depend on which regime you are in; only the inputs do.</t>
  </si>
  <si>
    <t xml:space="preserve">Blue on a pale fill is an input. Black on grey is a formula — do not overtype it.</t>
  </si>
  <si>
    <t xml:space="preserve">Revised 23 September 2026. Sheet 5 now takes the running cost from sheet 1 (row 15: 9 basis points once the 150,000 of underwriting is spread over five years) instead of a hard-coded 5: Loan A held to term returns 33.1 per cent, the same as on sheet 2, and 38.4 per cent if repaid at eighteen months (the first edition printed 34.1 and 39.4). The round trip is unchanged: 13 basis points of tolerance, 41 with 100 of protection, 70 with 200, about twenty-nine more for every hundred, not forty. The PD and running-cost break-evens on sheet 3 are now computed. Twenty-three checks.</t>
  </si>
  <si>
    <t xml:space="preserve">The chapter's two loans, given figures</t>
  </si>
  <si>
    <t xml:space="preserve">Chapter 7's practical example: a tight senior loan against a wide whole loan.</t>
  </si>
  <si>
    <t xml:space="preserve">Loan A~senior, stabilised</t>
  </si>
  <si>
    <t xml:space="preserve">Loan B~whole loan, transitional</t>
  </si>
  <si>
    <t xml:space="preserve">What it is</t>
  </si>
  <si>
    <t xml:space="preserve">Loan amount</t>
  </si>
  <si>
    <t xml:space="preserve">both the same size, to isolate the pricing</t>
  </si>
  <si>
    <t xml:space="preserve">Term (years)</t>
  </si>
  <si>
    <t xml:space="preserve">Margin over the reference rate</t>
  </si>
  <si>
    <t xml:space="preserve">the number everyone quotes</t>
  </si>
  <si>
    <t xml:space="preserve">Arrangement fee</t>
  </si>
  <si>
    <t xml:space="preserve">received at closing</t>
  </si>
  <si>
    <t xml:space="preserve">Exit fee</t>
  </si>
  <si>
    <t xml:space="preserve">received on repayment</t>
  </si>
  <si>
    <t xml:space="preserve">Probability of default</t>
  </si>
  <si>
    <t xml:space="preserve">your estimate, and the fragile input</t>
  </si>
  <si>
    <t xml:space="preserve">Loss given default</t>
  </si>
  <si>
    <t xml:space="preserve">Risk weight</t>
  </si>
  <si>
    <t xml:space="preserve">regulated lenders; set both to 100% for a fund</t>
  </si>
  <si>
    <t xml:space="preserve">Operating cost, a year</t>
  </si>
  <si>
    <t xml:space="preserve">underwriting, servicing, monitoring</t>
  </si>
  <si>
    <t xml:space="preserve">Fixed underwriting cost</t>
  </si>
  <si>
    <t xml:space="preserve">the chapter: B is 'three times the work'</t>
  </si>
  <si>
    <t xml:space="preserve">Of which servicing and monitoring, a year</t>
  </si>
  <si>
    <t xml:space="preserve">the running cost less the underwriting spread over the term; sheet 5 uses it</t>
  </si>
  <si>
    <t xml:space="preserve">The lender</t>
  </si>
  <si>
    <t xml:space="preserve">Reference rate today</t>
  </si>
  <si>
    <t xml:space="preserve">passed through; the lender takes no view</t>
  </si>
  <si>
    <t xml:space="preserve">The lender's own funding spread</t>
  </si>
  <si>
    <t xml:space="preserve">whatever it pays for its capital</t>
  </si>
  <si>
    <t xml:space="preserve">Capital held, as a share of risk-weighted assets</t>
  </si>
  <si>
    <t xml:space="preserve">The four adjustments between the margin and the return</t>
  </si>
  <si>
    <t xml:space="preserve">Chapter 7: 'The margin is not the return. Four adjustments stand between them.'</t>
  </si>
  <si>
    <t xml:space="preserve">Loan A</t>
  </si>
  <si>
    <t xml:space="preserve">Loan B</t>
  </si>
  <si>
    <t xml:space="preserve">Difference</t>
  </si>
  <si>
    <t xml:space="preserve">Margin</t>
  </si>
  <si>
    <t xml:space="preserve">what the term sheet says</t>
  </si>
  <si>
    <t xml:space="preserve">Arrangement fee, annualised</t>
  </si>
  <si>
    <t xml:space="preserve">bigger effect on a short loan</t>
  </si>
  <si>
    <t xml:space="preserve">Exit fee, annualised</t>
  </si>
  <si>
    <t xml:space="preserve">Gross revenue</t>
  </si>
  <si>
    <t xml:space="preserve">less cost of funds</t>
  </si>
  <si>
    <t xml:space="preserve">the lender's own funding</t>
  </si>
  <si>
    <t xml:space="preserve">less expected loss</t>
  </si>
  <si>
    <t xml:space="preserve">PD x LGD</t>
  </si>
  <si>
    <t xml:space="preserve">less operating cost</t>
  </si>
  <si>
    <t xml:space="preserve">NET SPREAD</t>
  </si>
  <si>
    <t xml:space="preserve">Profit a year</t>
  </si>
  <si>
    <t xml:space="preserve">Capital held</t>
  </si>
  <si>
    <t xml:space="preserve">RETURN ON CAPITAL</t>
  </si>
  <si>
    <t xml:space="preserve">Gross margin says B is better by</t>
  </si>
  <si>
    <t xml:space="preserve">Return on capital says B is better by</t>
  </si>
  <si>
    <t xml:space="preserve">The margin overstates B's advantage by</t>
  </si>
  <si>
    <t xml:space="preserve">times — this is the whole point of the chapter</t>
  </si>
  <si>
    <t xml:space="preserve">Chapter 7 says a lending business that manages to gross margin rather than to return on capital "will systematically select the wrong deals". This is the size of the distortion. On these two loans the margin comparison is not merely imprecise; it points at the same answer for a reason that is almost entirely wrong, and it would point at the wrong answer altogether on a slightly different pair.</t>
  </si>
  <si>
    <t xml:space="preserve">How fragile is the wide margin?</t>
  </si>
  <si>
    <t xml:space="preserve">B's advantage rests on estimates. These are the ones it rests on hardest.</t>
  </si>
  <si>
    <t xml:space="preserve">Against the probability of default</t>
  </si>
  <si>
    <t xml:space="preserve">B's PD</t>
  </si>
  <si>
    <t xml:space="preserve">B's expected loss</t>
  </si>
  <si>
    <t xml:space="preserve">B's net spread</t>
  </si>
  <si>
    <t xml:space="preserve">B's return on capital</t>
  </si>
  <si>
    <t xml:space="preserve">vs Loan A</t>
  </si>
  <si>
    <t xml:space="preserve">Verdict</t>
  </si>
  <si>
    <t xml:space="preserve">B's assumed PD</t>
  </si>
  <si>
    <t xml:space="preserve">PD at which B ties with A</t>
  </si>
  <si>
    <t xml:space="preserve">Margin for error</t>
  </si>
  <si>
    <t xml:space="preserve">times the assumed PD — that is the whole cushion</t>
  </si>
  <si>
    <t xml:space="preserve">A 350 basis point margin advantage that disappears if the default estimate is wrong by less than half is not really a margin advantage. It is a position on the accuracy of a PD estimate, taken without anyone saying so out loud. That is worth stating in the credit paper in exactly those terms, because the committee is entitled to know which of the two things it is approving.</t>
  </si>
  <si>
    <t xml:space="preserve">Against the cost of running it</t>
  </si>
  <si>
    <t xml:space="preserve">B's operating cost</t>
  </si>
  <si>
    <t xml:space="preserve">Operating cost at which B ties with A, basis points</t>
  </si>
  <si>
    <t xml:space="preserve">times Loan A's running cost</t>
  </si>
  <si>
    <t xml:space="preserve">The chapter says B is 'three times the underwriting work' and treats that as a reason for caution. On these figures it is not: three times A's cost still leaves B ahead, and B only loses once it costs nearly six times as much to run. So the effort argument is the weaker of the two objections, and the PD argument is the stronger — which is the opposite of how these conversations usually go, because effort is visible and default probability is not.</t>
  </si>
  <si>
    <t xml:space="preserve">What the floor is worth</t>
  </si>
  <si>
    <t xml:space="preserve">Chapter 7: floors 'have a habit of being conceded late in a negotiation when everyone is tired'.</t>
  </si>
  <si>
    <t xml:space="preserve">If the reference rate falls by</t>
  </si>
  <si>
    <t xml:space="preserve">The floor earns, a year</t>
  </si>
  <si>
    <t xml:space="preserve">As extra margin</t>
  </si>
  <si>
    <t xml:space="preserve">As a share of Loan A's margin</t>
  </si>
  <si>
    <t xml:space="preserve">Reading</t>
  </si>
  <si>
    <t xml:space="preserve">The floor costs the borrower nothing on the day it is signed, which is exactly why it is easy to give away and exactly why it is worth having. A hundred and fifty basis point fall in the reference rate is unremarkable across a five-year term, and on this loan it is worth three quarters of the entire credit margin — the margin that took weeks of underwriting to justify.</t>
  </si>
  <si>
    <t xml:space="preserve">Put differently: the negotiator who concedes the floor at eleven o'clock to close the deal has given away more than the credit team gained by pricing the risk correctly in the first place. It is worth computing this line before the final session rather than after it, and worth having it on one page when the concession is proposed.</t>
  </si>
  <si>
    <t xml:space="preserve">What an early repayment actually costs</t>
  </si>
  <si>
    <t xml:space="preserve">Chapter 7: 'a loan that repays after eighteen months of a five-year term at a compressed margin has not earned what the credit committee approved.'</t>
  </si>
  <si>
    <t xml:space="preserve">First, the loan on its own</t>
  </si>
  <si>
    <t xml:space="preserve">Held for</t>
  </si>
  <si>
    <t xml:space="preserve">Revenue</t>
  </si>
  <si>
    <t xml:space="preserve">Operating cost</t>
  </si>
  <si>
    <t xml:space="preserve">Net spread</t>
  </si>
  <si>
    <t xml:space="preserve">Return on capital</t>
  </si>
  <si>
    <t xml:space="preserve">That is not what most people expect, and it is worth being clear about. On the loan considered alone, an early repayment makes the lender MORE money per year, not less, because the arrangement fee annualises over a shorter life and the fee is larger than the extra underwriting cost per year. So the chapter's sentence is not about the loan. It is about the five words at the end of it: at a compressed margin.</t>
  </si>
  <si>
    <t xml:space="preserve">The round trip, which is what the sentence means</t>
  </si>
  <si>
    <t xml:space="preserve">The capital was committed for five years. If the loan repays at 18 months, the money must be re-lent for the remaining 3.5.</t>
  </si>
  <si>
    <t xml:space="preserve">Prepayment protection received on exit</t>
  </si>
  <si>
    <t xml:space="preserve">Replacement margin</t>
  </si>
  <si>
    <t xml:space="preserve">Profit, first 18 months</t>
  </si>
  <si>
    <t xml:space="preserve">Profit, remaining 3.5 years</t>
  </si>
  <si>
    <t xml:space="preserve">Total over 5 years</t>
  </si>
  <si>
    <t xml:space="preserve">vs holding to term</t>
  </si>
  <si>
    <t xml:space="preserve">Compression the lender can absorb</t>
  </si>
  <si>
    <t xml:space="preserve">approximately, before an early exit costs money</t>
  </si>
  <si>
    <t xml:space="preserve">Each 100 basis points of protection adds</t>
  </si>
  <si>
    <t xml:space="preserve">basis points of tolerance: one hundred spread over the 3.5 years left</t>
  </si>
  <si>
    <t xml:space="preserve">With no prepayment protection the lender can absorb about thirteen basis points of margin compression before the early repayment leaves it worse off over the five years it had committed. That is a very thin tolerance, and it is why the chapter's instinct is right even though the loan itself did better.</t>
  </si>
  <si>
    <t xml:space="preserve">Which reframes what prepayment protection is for. It is not a penalty on the borrower and it is not a windfall. It is the amount of margin compression the lender can survive if the loan goes away early: thirteen basis points with none, and about twenty-nine more for every hundred basis points of protection, because the protection is received once and the compression runs for the three and a half years left. 41 with 100, 70 with 200. Put in the protection cell above and watch the break-even move. That is a far better argument to make across a table than "we always ask for it".</t>
  </si>
  <si>
    <t xml:space="preserve">Every figure in Appendix G, recomputed here</t>
  </si>
  <si>
    <t xml:space="preserve">Figure</t>
  </si>
  <si>
    <t xml:space="preserve">Appendix G</t>
  </si>
  <si>
    <t xml:space="preserve">This file</t>
  </si>
  <si>
    <t xml:space="preserve">Status</t>
  </si>
  <si>
    <t xml:space="preserve">Note</t>
  </si>
  <si>
    <t xml:space="preserve">Loan A: gross revenue</t>
  </si>
  <si>
    <t xml:space="preserve">tol 0.5</t>
  </si>
  <si>
    <t xml:space="preserve">Loan B: gross revenue</t>
  </si>
  <si>
    <t xml:space="preserve">Loan A: net spread</t>
  </si>
  <si>
    <t xml:space="preserve">Loan B: net spread</t>
  </si>
  <si>
    <t xml:space="preserve">Loan A: profit a year</t>
  </si>
  <si>
    <t xml:space="preserve">tol 500</t>
  </si>
  <si>
    <t xml:space="preserve">Loan B: profit a year</t>
  </si>
  <si>
    <t xml:space="preserve">Loan A: capital held</t>
  </si>
  <si>
    <t xml:space="preserve">Loan B: capital held</t>
  </si>
  <si>
    <t xml:space="preserve">Loan A: return on capital</t>
  </si>
  <si>
    <t xml:space="preserve">tol 0.002</t>
  </si>
  <si>
    <t xml:space="preserve">Loan B: return on capital</t>
  </si>
  <si>
    <t xml:space="preserve">Margin says B better by</t>
  </si>
  <si>
    <t xml:space="preserve">tol 0.02</t>
  </si>
  <si>
    <t xml:space="preserve">Return on capital says B better by</t>
  </si>
  <si>
    <t xml:space="preserve">Floor worth, if reference falls 150bp</t>
  </si>
  <si>
    <t xml:space="preserve">  as a share of Loan A's margin</t>
  </si>
  <si>
    <t xml:space="preserve">tol 0.005</t>
  </si>
  <si>
    <t xml:space="preserve">Loan A held 5 years: return on capital</t>
  </si>
  <si>
    <t xml:space="preserve">tol 0.003; revised, the first edition printed 34.1 with servicing hard-coded at 5bp</t>
  </si>
  <si>
    <t xml:space="preserve">Loan A held 1.5 years: return on capital</t>
  </si>
  <si>
    <t xml:space="preserve">tol 0.003; revised, the first edition printed 39.4</t>
  </si>
  <si>
    <t xml:space="preserve">tol 0.0001</t>
  </si>
  <si>
    <t xml:space="preserve">  margin for error on the PD, times</t>
  </si>
  <si>
    <t xml:space="preserve">tol 0.01</t>
  </si>
  <si>
    <t xml:space="preserve">Running cost at which B ties, times Loan A's ("nearly six")</t>
  </si>
  <si>
    <t xml:space="preserve">tol 0.05</t>
  </si>
  <si>
    <t xml:space="preserve">Compression absorbed, no protection, bp</t>
  </si>
  <si>
    <t xml:space="preserve">Compression absorbed, 100bp of protection, bp</t>
  </si>
  <si>
    <t xml:space="preserve">Compression absorbed, 200bp of protection, bp</t>
  </si>
  <si>
    <t xml:space="preserve">Loan A to term: sheet 5 minus sheet 2 (must be zero)</t>
  </si>
  <si>
    <t xml:space="preserve">tol 1e-09</t>
  </si>
  <si>
    <t xml:space="preserve">Checks passing</t>
  </si>
</sst>
</file>

<file path=xl/styles.xml><?xml version="1.0" encoding="utf-8"?>
<styleSheet xmlns="http://schemas.openxmlformats.org/spreadsheetml/2006/main">
  <numFmts count="10">
    <numFmt numFmtId="164" formatCode="General"/>
    <numFmt numFmtId="165" formatCode="#,##0"/>
    <numFmt numFmtId="166" formatCode="0"/>
    <numFmt numFmtId="167" formatCode="0.00%"/>
    <numFmt numFmtId="168" formatCode="0.0%"/>
    <numFmt numFmtId="169" formatCode="#,##0.0&quot;bp&quot;"/>
    <numFmt numFmtId="170" formatCode="0.00\x"/>
    <numFmt numFmtId="171" formatCode="0.0"/>
    <numFmt numFmtId="172" formatCode="0.0000"/>
    <numFmt numFmtId="173" formatCode="0.00"/>
  </numFmts>
  <fonts count="14">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i val="true"/>
      <sz val="10"/>
      <color rgb="FF5A6470"/>
      <name val="Cambria"/>
      <family val="0"/>
      <charset val="1"/>
    </font>
    <font>
      <sz val="10.5"/>
      <color rgb="FF1F2733"/>
      <name val="Cambria"/>
      <family val="0"/>
      <charset val="1"/>
    </font>
    <font>
      <b val="true"/>
      <sz val="11.5"/>
      <color rgb="FF1F2733"/>
      <name val="Cambria"/>
      <family val="0"/>
      <charset val="1"/>
    </font>
    <font>
      <b val="true"/>
      <sz val="14"/>
      <color rgb="FF1F2733"/>
      <name val="Cambria"/>
      <family val="0"/>
      <charset val="1"/>
    </font>
    <font>
      <b val="true"/>
      <sz val="10"/>
      <color rgb="FFFFFFFF"/>
      <name val="Cambria"/>
      <family val="0"/>
      <charset val="1"/>
    </font>
    <font>
      <b val="true"/>
      <sz val="11"/>
      <color rgb="FF1B4E8C"/>
      <name val="Cambria"/>
      <family val="0"/>
      <charset val="1"/>
    </font>
    <font>
      <sz val="11"/>
      <color rgb="FF1F2733"/>
      <name val="Cambria"/>
      <family val="0"/>
      <charset val="1"/>
    </font>
    <font>
      <b val="true"/>
      <sz val="10.5"/>
      <color rgb="FF1F2733"/>
      <name val="Cambria"/>
      <family val="0"/>
      <charset val="1"/>
    </font>
    <font>
      <b val="true"/>
      <sz val="11"/>
      <color rgb="FF1F2733"/>
      <name val="Cambria"/>
      <family val="0"/>
      <charset val="1"/>
    </font>
  </fonts>
  <fills count="7">
    <fill>
      <patternFill patternType="none"/>
    </fill>
    <fill>
      <patternFill patternType="gray125"/>
    </fill>
    <fill>
      <patternFill patternType="solid">
        <fgColor rgb="FF1F2733"/>
        <bgColor rgb="FF333300"/>
      </patternFill>
    </fill>
    <fill>
      <patternFill patternType="solid">
        <fgColor rgb="FFFDF3DC"/>
        <bgColor rgb="FFFBF0E4"/>
      </patternFill>
    </fill>
    <fill>
      <patternFill patternType="solid">
        <fgColor rgb="FFF1F3F5"/>
        <bgColor rgb="FFFBF0E4"/>
      </patternFill>
    </fill>
    <fill>
      <patternFill patternType="solid">
        <fgColor rgb="FFFBF0E4"/>
        <bgColor rgb="FFFDF3DC"/>
      </patternFill>
    </fill>
    <fill>
      <patternFill patternType="solid">
        <fgColor rgb="FFE4F1E4"/>
        <bgColor rgb="FFF1F3F5"/>
      </patternFill>
    </fill>
  </fills>
  <borders count="2">
    <border diagonalUp="false" diagonalDown="false">
      <left/>
      <right/>
      <top/>
      <bottom/>
      <diagonal/>
    </border>
    <border diagonalUp="false" diagonalDown="false">
      <left style="thin">
        <color rgb="FFC9CFD6"/>
      </left>
      <right style="thin">
        <color rgb="FFC9CFD6"/>
      </right>
      <top style="thin">
        <color rgb="FFC9CFD6"/>
      </top>
      <bottom style="thin">
        <color rgb="FFC9CF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7" fontId="11" fillId="4" borderId="1" xfId="0" applyFont="true" applyBorder="true" applyAlignment="false" applyProtection="false">
      <alignment horizontal="general" vertical="bottom" textRotation="0" wrapText="false" indent="0" shrinkToFit="false"/>
      <protection locked="true" hidden="false"/>
    </xf>
    <xf numFmtId="169" fontId="11" fillId="4"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9" fontId="13" fillId="4" borderId="1" xfId="0" applyFont="true" applyBorder="true" applyAlignment="false" applyProtection="false">
      <alignment horizontal="general" vertical="bottom" textRotation="0" wrapText="false" indent="0" shrinkToFit="false"/>
      <protection locked="true" hidden="false"/>
    </xf>
    <xf numFmtId="169" fontId="13" fillId="5" borderId="1" xfId="0" applyFont="true" applyBorder="true" applyAlignment="false" applyProtection="false">
      <alignment horizontal="general" vertical="bottom" textRotation="0" wrapText="false" indent="0" shrinkToFit="false"/>
      <protection locked="true" hidden="false"/>
    </xf>
    <xf numFmtId="165" fontId="13" fillId="4" borderId="1" xfId="0" applyFont="true" applyBorder="true" applyAlignment="false" applyProtection="false">
      <alignment horizontal="general" vertical="bottom" textRotation="0" wrapText="false" indent="0" shrinkToFit="false"/>
      <protection locked="true" hidden="false"/>
    </xf>
    <xf numFmtId="165" fontId="11" fillId="4" borderId="1" xfId="0" applyFont="true" applyBorder="true" applyAlignment="false" applyProtection="false">
      <alignment horizontal="general" vertical="bottom" textRotation="0" wrapText="false" indent="0" shrinkToFit="false"/>
      <protection locked="true" hidden="false"/>
    </xf>
    <xf numFmtId="168" fontId="13" fillId="5" borderId="1" xfId="0" applyFont="true" applyBorder="true" applyAlignment="false" applyProtection="false">
      <alignment horizontal="general" vertical="bottom" textRotation="0" wrapText="false" indent="0" shrinkToFit="false"/>
      <protection locked="true" hidden="false"/>
    </xf>
    <xf numFmtId="168" fontId="13" fillId="4" borderId="1" xfId="0" applyFont="true" applyBorder="true" applyAlignment="false" applyProtection="false">
      <alignment horizontal="general" vertical="bottom" textRotation="0" wrapText="false" indent="0" shrinkToFit="false"/>
      <protection locked="true" hidden="false"/>
    </xf>
    <xf numFmtId="170" fontId="13" fillId="4" borderId="1" xfId="0" applyFont="true" applyBorder="true" applyAlignment="false" applyProtection="false">
      <alignment horizontal="general" vertical="bottom" textRotation="0" wrapText="false" indent="0" shrinkToFit="false"/>
      <protection locked="true" hidden="false"/>
    </xf>
    <xf numFmtId="168" fontId="11" fillId="4" borderId="1" xfId="0" applyFont="true" applyBorder="true" applyAlignment="false" applyProtection="false">
      <alignment horizontal="general" vertical="bottom" textRotation="0" wrapText="false" indent="0" shrinkToFit="false"/>
      <protection locked="true" hidden="false"/>
    </xf>
    <xf numFmtId="170" fontId="13" fillId="5"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7" fontId="13" fillId="4" borderId="1" xfId="0" applyFont="true" applyBorder="true" applyAlignment="false" applyProtection="false">
      <alignment horizontal="general" vertical="bottom" textRotation="0" wrapText="false" indent="0" shrinkToFit="false"/>
      <protection locked="true" hidden="false"/>
    </xf>
    <xf numFmtId="171" fontId="10" fillId="3" borderId="1" xfId="0" applyFont="true" applyBorder="true" applyAlignment="false" applyProtection="false">
      <alignment horizontal="general" vertical="bottom" textRotation="0" wrapText="false" indent="0" shrinkToFit="false"/>
      <protection locked="true" hidden="false"/>
    </xf>
    <xf numFmtId="171" fontId="11" fillId="4" borderId="1" xfId="0" applyFont="true" applyBorder="true" applyAlignment="false" applyProtection="false">
      <alignment horizontal="general" vertical="bottom" textRotation="0" wrapText="false" indent="0" shrinkToFit="false"/>
      <protection locked="true" hidden="false"/>
    </xf>
    <xf numFmtId="164" fontId="11" fillId="4" borderId="1" xfId="0" applyFont="true" applyBorder="true" applyAlignment="true" applyProtection="false">
      <alignment horizontal="center" vertical="bottom" textRotation="0" wrapText="false" indent="0" shrinkToFit="false"/>
      <protection locked="true" hidden="false"/>
    </xf>
    <xf numFmtId="170" fontId="11" fillId="4" borderId="1" xfId="0" applyFont="true" applyBorder="true" applyAlignment="false" applyProtection="false">
      <alignment horizontal="general" vertical="bottom" textRotation="0" wrapText="false" indent="0" shrinkToFit="false"/>
      <protection locked="true" hidden="false"/>
    </xf>
    <xf numFmtId="172" fontId="11" fillId="4" borderId="1" xfId="0" applyFont="true" applyBorder="true" applyAlignment="false" applyProtection="false">
      <alignment horizontal="general" vertical="bottom" textRotation="0" wrapText="false" indent="0" shrinkToFit="false"/>
      <protection locked="true" hidden="false"/>
    </xf>
    <xf numFmtId="173" fontId="11" fillId="4" borderId="1" xfId="0" applyFont="true" applyBorder="true" applyAlignment="false" applyProtection="false">
      <alignment horizontal="general" vertical="bottom" textRotation="0" wrapText="false" indent="0" shrinkToFit="false"/>
      <protection locked="true" hidden="false"/>
    </xf>
    <xf numFmtId="166" fontId="13" fillId="4" borderId="1" xfId="0" applyFont="true" applyBorder="true" applyAlignment="false" applyProtection="false">
      <alignment horizontal="general" vertical="bottom" textRotation="0" wrapText="false" indent="0" shrinkToFit="false"/>
      <protection locked="true" hidden="false"/>
    </xf>
    <xf numFmtId="164" fontId="11" fillId="6"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DC"/>
      <rgbColor rgb="FFF1F3F5"/>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CCFFFF"/>
      <rgbColor rgb="FFE4F1E4"/>
      <rgbColor rgb="FFFBF0E4"/>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333300"/>
      <rgbColor rgb="FF993300"/>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4"/>
  </cols>
  <sheetData>
    <row r="1" customFormat="false" ht="18.55" hidden="false" customHeight="false" outlineLevel="0" collapsed="false">
      <c r="A1" s="1" t="s">
        <v>0</v>
      </c>
    </row>
    <row r="2" customFormat="false" ht="15" hidden="false" customHeight="false" outlineLevel="0" collapsed="false">
      <c r="A2" s="2" t="s">
        <v>1</v>
      </c>
    </row>
    <row r="4" customFormat="false" ht="75" hidden="false" customHeight="true" outlineLevel="0" collapsed="false">
      <c r="A4" s="3" t="s">
        <v>2</v>
      </c>
    </row>
    <row r="6" customFormat="false" ht="15" hidden="false" customHeight="true" outlineLevel="0" collapsed="false">
      <c r="A6" s="3" t="s">
        <v>3</v>
      </c>
    </row>
    <row r="8" customFormat="false" ht="15" hidden="false" customHeight="false" outlineLevel="0" collapsed="false">
      <c r="A8" s="4" t="s">
        <v>4</v>
      </c>
    </row>
    <row r="9" customFormat="false" ht="60" hidden="false" customHeight="true" outlineLevel="0" collapsed="false">
      <c r="A9" s="3" t="s">
        <v>5</v>
      </c>
    </row>
    <row r="10" customFormat="false" ht="60" hidden="false" customHeight="true" outlineLevel="0" collapsed="false">
      <c r="A10" s="3" t="s">
        <v>6</v>
      </c>
    </row>
    <row r="11" customFormat="false" ht="45" hidden="false" customHeight="true" outlineLevel="0" collapsed="false">
      <c r="A11" s="3" t="s">
        <v>7</v>
      </c>
    </row>
    <row r="12" customFormat="false" ht="75" hidden="false" customHeight="true" outlineLevel="0" collapsed="false">
      <c r="A12" s="3" t="s">
        <v>8</v>
      </c>
    </row>
    <row r="14" customFormat="false" ht="15" hidden="false" customHeight="false" outlineLevel="0" collapsed="false">
      <c r="A14" s="4" t="s">
        <v>9</v>
      </c>
    </row>
    <row r="15" customFormat="false" ht="15" hidden="false" customHeight="true" outlineLevel="0" collapsed="false">
      <c r="A15" s="3" t="s">
        <v>10</v>
      </c>
    </row>
    <row r="16" customFormat="false" ht="15" hidden="false" customHeight="true" outlineLevel="0" collapsed="false">
      <c r="A16" s="3" t="s">
        <v>11</v>
      </c>
    </row>
    <row r="17" customFormat="false" ht="15" hidden="false" customHeight="true" outlineLevel="0" collapsed="false">
      <c r="A17" s="3" t="s">
        <v>12</v>
      </c>
    </row>
    <row r="18" customFormat="false" ht="15" hidden="false" customHeight="true" outlineLevel="0" collapsed="false">
      <c r="A18" s="3" t="s">
        <v>13</v>
      </c>
    </row>
    <row r="19" customFormat="false" ht="15" hidden="false" customHeight="true" outlineLevel="0" collapsed="false">
      <c r="A19" s="3" t="s">
        <v>14</v>
      </c>
    </row>
    <row r="20" customFormat="false" ht="15" hidden="false" customHeight="true" outlineLevel="0" collapsed="false">
      <c r="A20" s="3" t="s">
        <v>15</v>
      </c>
    </row>
    <row r="22" customFormat="false" ht="60" hidden="false" customHeight="true" outlineLevel="0" collapsed="false">
      <c r="A22" s="3" t="s">
        <v>16</v>
      </c>
    </row>
    <row r="24" customFormat="false" ht="15" hidden="false" customHeight="false" outlineLevel="0" collapsed="false">
      <c r="A24" s="2" t="s">
        <v>17</v>
      </c>
    </row>
    <row r="26" customFormat="false" ht="61.15" hidden="false" customHeight="false" outlineLevel="0" collapsed="false">
      <c r="A26" s="3"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3" min="2" style="0" width="17"/>
    <col collapsed="false" customWidth="true" hidden="false" outlineLevel="0" max="4" min="4" style="0" width="48"/>
  </cols>
  <sheetData>
    <row r="1" customFormat="false" ht="17.35" hidden="false" customHeight="false" outlineLevel="0" collapsed="false">
      <c r="A1" s="5" t="s">
        <v>19</v>
      </c>
    </row>
    <row r="2" customFormat="false" ht="15" hidden="false" customHeight="false" outlineLevel="0" collapsed="false">
      <c r="A2" s="2" t="s">
        <v>20</v>
      </c>
    </row>
    <row r="4" customFormat="false" ht="30" hidden="false" customHeight="true" outlineLevel="0" collapsed="false">
      <c r="A4" s="6"/>
      <c r="B4" s="6" t="s">
        <v>21</v>
      </c>
      <c r="C4" s="6" t="s">
        <v>22</v>
      </c>
      <c r="D4" s="6" t="s">
        <v>23</v>
      </c>
    </row>
    <row r="5" customFormat="false" ht="15" hidden="false" customHeight="false" outlineLevel="0" collapsed="false">
      <c r="A5" s="7" t="s">
        <v>24</v>
      </c>
      <c r="B5" s="8" t="n">
        <v>50000000</v>
      </c>
      <c r="C5" s="8" t="n">
        <v>50000000</v>
      </c>
      <c r="D5" s="9" t="s">
        <v>25</v>
      </c>
    </row>
    <row r="6" customFormat="false" ht="15" hidden="false" customHeight="false" outlineLevel="0" collapsed="false">
      <c r="A6" s="7" t="s">
        <v>26</v>
      </c>
      <c r="B6" s="10" t="n">
        <v>5</v>
      </c>
      <c r="C6" s="10" t="n">
        <v>3</v>
      </c>
      <c r="D6" s="9"/>
    </row>
    <row r="7" customFormat="false" ht="15" hidden="false" customHeight="false" outlineLevel="0" collapsed="false">
      <c r="A7" s="7" t="s">
        <v>27</v>
      </c>
      <c r="B7" s="11" t="n">
        <v>0.02</v>
      </c>
      <c r="C7" s="11" t="n">
        <v>0.055</v>
      </c>
      <c r="D7" s="9" t="s">
        <v>28</v>
      </c>
    </row>
    <row r="8" customFormat="false" ht="15" hidden="false" customHeight="false" outlineLevel="0" collapsed="false">
      <c r="A8" s="7" t="s">
        <v>29</v>
      </c>
      <c r="B8" s="11" t="n">
        <v>0.0075</v>
      </c>
      <c r="C8" s="11" t="n">
        <v>0.015</v>
      </c>
      <c r="D8" s="9" t="s">
        <v>30</v>
      </c>
    </row>
    <row r="9" customFormat="false" ht="15" hidden="false" customHeight="false" outlineLevel="0" collapsed="false">
      <c r="A9" s="7" t="s">
        <v>31</v>
      </c>
      <c r="B9" s="11" t="n">
        <v>0</v>
      </c>
      <c r="C9" s="11" t="n">
        <v>0.01</v>
      </c>
      <c r="D9" s="9" t="s">
        <v>32</v>
      </c>
    </row>
    <row r="10" customFormat="false" ht="15" hidden="false" customHeight="false" outlineLevel="0" collapsed="false">
      <c r="A10" s="7" t="s">
        <v>33</v>
      </c>
      <c r="B10" s="11" t="n">
        <v>0.005</v>
      </c>
      <c r="C10" s="11" t="n">
        <v>0.03</v>
      </c>
      <c r="D10" s="9" t="s">
        <v>34</v>
      </c>
    </row>
    <row r="11" customFormat="false" ht="15" hidden="false" customHeight="false" outlineLevel="0" collapsed="false">
      <c r="A11" s="7" t="s">
        <v>35</v>
      </c>
      <c r="B11" s="12" t="n">
        <v>0.15</v>
      </c>
      <c r="C11" s="12" t="n">
        <v>0.3</v>
      </c>
      <c r="D11" s="9"/>
    </row>
    <row r="12" customFormat="false" ht="15" hidden="false" customHeight="false" outlineLevel="0" collapsed="false">
      <c r="A12" s="7" t="s">
        <v>36</v>
      </c>
      <c r="B12" s="12" t="n">
        <v>0.5</v>
      </c>
      <c r="C12" s="12" t="n">
        <v>1.5</v>
      </c>
      <c r="D12" s="9" t="s">
        <v>37</v>
      </c>
    </row>
    <row r="13" customFormat="false" ht="15" hidden="false" customHeight="false" outlineLevel="0" collapsed="false">
      <c r="A13" s="7" t="s">
        <v>38</v>
      </c>
      <c r="B13" s="11" t="n">
        <v>0.0015</v>
      </c>
      <c r="C13" s="11" t="n">
        <v>0.0045</v>
      </c>
      <c r="D13" s="9" t="s">
        <v>39</v>
      </c>
    </row>
    <row r="14" customFormat="false" ht="15" hidden="false" customHeight="false" outlineLevel="0" collapsed="false">
      <c r="A14" s="7" t="s">
        <v>40</v>
      </c>
      <c r="B14" s="8" t="n">
        <v>150000</v>
      </c>
      <c r="C14" s="8" t="n">
        <v>450000</v>
      </c>
      <c r="D14" s="9" t="s">
        <v>41</v>
      </c>
    </row>
    <row r="15" customFormat="false" ht="15" hidden="false" customHeight="false" outlineLevel="0" collapsed="false">
      <c r="A15" s="7" t="s">
        <v>42</v>
      </c>
      <c r="B15" s="13" t="n">
        <f aca="false">B13-B14/B6/B5</f>
        <v>0.0009</v>
      </c>
      <c r="C15" s="13" t="n">
        <f aca="false">C13-C14/C6/C5</f>
        <v>0.0015</v>
      </c>
      <c r="D15" s="9" t="s">
        <v>43</v>
      </c>
    </row>
    <row r="17" customFormat="false" ht="15" hidden="false" customHeight="false" outlineLevel="0" collapsed="false">
      <c r="A17" s="4" t="s">
        <v>44</v>
      </c>
    </row>
    <row r="18" customFormat="false" ht="15" hidden="false" customHeight="false" outlineLevel="0" collapsed="false">
      <c r="A18" s="7" t="s">
        <v>45</v>
      </c>
      <c r="B18" s="11" t="n">
        <v>0.045</v>
      </c>
      <c r="D18" s="9" t="s">
        <v>46</v>
      </c>
    </row>
    <row r="19" customFormat="false" ht="15" hidden="false" customHeight="false" outlineLevel="0" collapsed="false">
      <c r="A19" s="7" t="s">
        <v>47</v>
      </c>
      <c r="B19" s="11" t="n">
        <v>0.006</v>
      </c>
      <c r="D19" s="9" t="s">
        <v>48</v>
      </c>
    </row>
    <row r="20" customFormat="false" ht="15" hidden="false" customHeight="false" outlineLevel="0" collapsed="false">
      <c r="A20" s="7" t="s">
        <v>49</v>
      </c>
      <c r="B20" s="12" t="n">
        <v>0.08</v>
      </c>
      <c r="D20"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4" min="2" style="0" width="17"/>
    <col collapsed="false" customWidth="true" hidden="false" outlineLevel="0" max="5" min="5" style="0" width="44"/>
  </cols>
  <sheetData>
    <row r="1" customFormat="false" ht="17.35" hidden="false" customHeight="false" outlineLevel="0" collapsed="false">
      <c r="A1" s="5" t="s">
        <v>50</v>
      </c>
    </row>
    <row r="2" customFormat="false" ht="15" hidden="false" customHeight="false" outlineLevel="0" collapsed="false">
      <c r="A2" s="2" t="s">
        <v>51</v>
      </c>
    </row>
    <row r="4" customFormat="false" ht="30" hidden="false" customHeight="true" outlineLevel="0" collapsed="false">
      <c r="A4" s="6"/>
      <c r="B4" s="6" t="s">
        <v>52</v>
      </c>
      <c r="C4" s="6" t="s">
        <v>53</v>
      </c>
      <c r="D4" s="6" t="s">
        <v>54</v>
      </c>
      <c r="E4" s="6" t="s">
        <v>23</v>
      </c>
    </row>
    <row r="5" customFormat="false" ht="15" hidden="false" customHeight="false" outlineLevel="0" collapsed="false">
      <c r="A5" s="7" t="s">
        <v>55</v>
      </c>
      <c r="B5" s="14" t="n">
        <f aca="false">'1. The Two Loans'!B7*10000</f>
        <v>200</v>
      </c>
      <c r="C5" s="14" t="n">
        <f aca="false">'1. The Two Loans'!C7*10000</f>
        <v>550</v>
      </c>
      <c r="D5" s="14" t="n">
        <f aca="false">IFERROR(C5-B5,"")</f>
        <v>350</v>
      </c>
      <c r="E5" s="9" t="s">
        <v>56</v>
      </c>
    </row>
    <row r="6" customFormat="false" ht="15" hidden="false" customHeight="false" outlineLevel="0" collapsed="false">
      <c r="A6" s="7" t="s">
        <v>57</v>
      </c>
      <c r="B6" s="14" t="n">
        <f aca="false">'1. The Two Loans'!B8/'1. The Two Loans'!B6*10000</f>
        <v>15</v>
      </c>
      <c r="C6" s="14" t="n">
        <f aca="false">'1. The Two Loans'!C8/'1. The Two Loans'!C6*10000</f>
        <v>50</v>
      </c>
      <c r="D6" s="14" t="n">
        <f aca="false">IFERROR(C6-B6,"")</f>
        <v>35</v>
      </c>
      <c r="E6" s="9" t="s">
        <v>58</v>
      </c>
    </row>
    <row r="7" customFormat="false" ht="15" hidden="false" customHeight="false" outlineLevel="0" collapsed="false">
      <c r="A7" s="7" t="s">
        <v>59</v>
      </c>
      <c r="B7" s="14" t="n">
        <f aca="false">'1. The Two Loans'!B9/'1. The Two Loans'!B6*10000</f>
        <v>0</v>
      </c>
      <c r="C7" s="14" t="n">
        <f aca="false">'1. The Two Loans'!C9/'1. The Two Loans'!C6*10000</f>
        <v>33.3333333333333</v>
      </c>
      <c r="D7" s="14" t="n">
        <f aca="false">IFERROR(C7-B7,"")</f>
        <v>33.3333333333333</v>
      </c>
      <c r="E7" s="9"/>
    </row>
    <row r="8" customFormat="false" ht="15" hidden="false" customHeight="false" outlineLevel="0" collapsed="false">
      <c r="A8" s="15" t="s">
        <v>60</v>
      </c>
      <c r="B8" s="16" t="n">
        <f aca="false">SUM(B5:B7)</f>
        <v>215</v>
      </c>
      <c r="C8" s="16" t="n">
        <f aca="false">SUM(C5:C7)</f>
        <v>633.333333333333</v>
      </c>
      <c r="D8" s="14" t="n">
        <f aca="false">IFERROR(C8-B8,"")</f>
        <v>418.333333333333</v>
      </c>
      <c r="E8" s="9"/>
    </row>
    <row r="10" customFormat="false" ht="15" hidden="false" customHeight="false" outlineLevel="0" collapsed="false">
      <c r="A10" s="7" t="s">
        <v>61</v>
      </c>
      <c r="B10" s="14" t="n">
        <f aca="false">-'1. The Two Loans'!$B$19*10000</f>
        <v>-60</v>
      </c>
      <c r="C10" s="14" t="n">
        <f aca="false">-'1. The Two Loans'!$B$19*10000</f>
        <v>-60</v>
      </c>
      <c r="D10" s="14" t="n">
        <f aca="false">IFERROR(C10-B10,"")</f>
        <v>0</v>
      </c>
      <c r="E10" s="9" t="s">
        <v>62</v>
      </c>
    </row>
    <row r="11" customFormat="false" ht="15" hidden="false" customHeight="false" outlineLevel="0" collapsed="false">
      <c r="A11" s="7" t="s">
        <v>63</v>
      </c>
      <c r="B11" s="14" t="n">
        <f aca="false">-'1. The Two Loans'!B10*'1. The Two Loans'!B11*10000</f>
        <v>-7.5</v>
      </c>
      <c r="C11" s="14" t="n">
        <f aca="false">-'1. The Two Loans'!C10*'1. The Two Loans'!C11*10000</f>
        <v>-90</v>
      </c>
      <c r="D11" s="14" t="n">
        <f aca="false">IFERROR(C11-B11,"")</f>
        <v>-82.5</v>
      </c>
      <c r="E11" s="9" t="s">
        <v>64</v>
      </c>
    </row>
    <row r="12" customFormat="false" ht="15" hidden="false" customHeight="false" outlineLevel="0" collapsed="false">
      <c r="A12" s="7" t="s">
        <v>65</v>
      </c>
      <c r="B12" s="14" t="n">
        <f aca="false">-'1. The Two Loans'!B13*10000</f>
        <v>-15</v>
      </c>
      <c r="C12" s="14" t="n">
        <f aca="false">-'1. The Two Loans'!C13*10000</f>
        <v>-45</v>
      </c>
      <c r="D12" s="14" t="n">
        <f aca="false">IFERROR(C12-B12,"")</f>
        <v>-30</v>
      </c>
      <c r="E12" s="9" t="s">
        <v>39</v>
      </c>
    </row>
    <row r="13" customFormat="false" ht="15" hidden="false" customHeight="false" outlineLevel="0" collapsed="false">
      <c r="A13" s="15" t="s">
        <v>66</v>
      </c>
      <c r="B13" s="17" t="n">
        <f aca="false">B8+SUM(B10:B12)</f>
        <v>132.5</v>
      </c>
      <c r="C13" s="17" t="n">
        <f aca="false">C8+SUM(C10:C12)</f>
        <v>438.333333333333</v>
      </c>
      <c r="D13" s="14" t="n">
        <f aca="false">IFERROR(C13-B13,"")</f>
        <v>305.833333333333</v>
      </c>
      <c r="E13" s="9"/>
    </row>
    <row r="15" customFormat="false" ht="15" hidden="false" customHeight="false" outlineLevel="0" collapsed="false">
      <c r="A15" s="15" t="s">
        <v>67</v>
      </c>
      <c r="B15" s="18" t="n">
        <f aca="false">B13/10000*'1. The Two Loans'!B5</f>
        <v>662500</v>
      </c>
      <c r="C15" s="18" t="n">
        <f aca="false">C13/10000*'1. The Two Loans'!C5</f>
        <v>2191666.66666667</v>
      </c>
      <c r="D15" s="19" t="n">
        <f aca="false">IFERROR(C15-B15,"")</f>
        <v>1529166.66666667</v>
      </c>
      <c r="E15" s="9"/>
    </row>
    <row r="16" customFormat="false" ht="15" hidden="false" customHeight="false" outlineLevel="0" collapsed="false">
      <c r="A16" s="7" t="s">
        <v>68</v>
      </c>
      <c r="B16" s="19" t="n">
        <f aca="false">'1. The Two Loans'!$B$20*'1. The Two Loans'!B12*'1. The Two Loans'!B5</f>
        <v>2000000</v>
      </c>
      <c r="C16" s="19" t="n">
        <f aca="false">'1. The Two Loans'!$B$20*'1. The Two Loans'!C12*'1. The Two Loans'!C5</f>
        <v>6000000</v>
      </c>
      <c r="D16" s="19" t="n">
        <f aca="false">IFERROR(C16-B16,"")</f>
        <v>4000000</v>
      </c>
      <c r="E16" s="9"/>
    </row>
    <row r="17" customFormat="false" ht="15" hidden="false" customHeight="false" outlineLevel="0" collapsed="false">
      <c r="A17" s="15" t="s">
        <v>69</v>
      </c>
      <c r="B17" s="20" t="n">
        <f aca="false">IFERROR(B15/B16,"")</f>
        <v>0.33125</v>
      </c>
      <c r="C17" s="20" t="n">
        <f aca="false">IFERROR(C15/C16,"")</f>
        <v>0.365277777777778</v>
      </c>
      <c r="D17" s="21" t="n">
        <f aca="false">IFERROR(C17-B17,"")</f>
        <v>0.0340277777777778</v>
      </c>
    </row>
    <row r="19" customFormat="false" ht="15" hidden="false" customHeight="false" outlineLevel="0" collapsed="false">
      <c r="A19" s="15" t="s">
        <v>70</v>
      </c>
      <c r="B19" s="22" t="n">
        <f aca="false">IFERROR(C5/B5,"")</f>
        <v>2.75</v>
      </c>
      <c r="D19" s="14" t="n">
        <f aca="false">IFERROR(C5-B5,"")</f>
        <v>350</v>
      </c>
    </row>
    <row r="20" customFormat="false" ht="15" hidden="false" customHeight="false" outlineLevel="0" collapsed="false">
      <c r="A20" s="15" t="s">
        <v>71</v>
      </c>
      <c r="B20" s="22" t="n">
        <f aca="false">IFERROR(C17/B17,"")</f>
        <v>1.10272536687631</v>
      </c>
      <c r="D20" s="23" t="n">
        <f aca="false">IFERROR(C17-B17,"")</f>
        <v>0.0340277777777778</v>
      </c>
    </row>
    <row r="21" customFormat="false" ht="15" hidden="false" customHeight="false" outlineLevel="0" collapsed="false">
      <c r="A21" s="15" t="s">
        <v>72</v>
      </c>
      <c r="B21" s="24" t="n">
        <f aca="false">IFERROR((C5/B5-1)/(C17/B17-1),"")</f>
        <v>17.0357142857143</v>
      </c>
      <c r="E21" s="9" t="s">
        <v>73</v>
      </c>
    </row>
    <row r="23" customFormat="false" ht="43.5" hidden="false" customHeight="true" outlineLevel="0" collapsed="false">
      <c r="A23" s="25" t="s">
        <v>74</v>
      </c>
      <c r="B23" s="25"/>
      <c r="C23" s="25"/>
      <c r="D23" s="25"/>
      <c r="E23" s="25"/>
    </row>
  </sheetData>
  <mergeCells count="1">
    <mergeCell ref="A23:E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5" min="2" style="0" width="16"/>
    <col collapsed="false" customWidth="true" hidden="false" outlineLevel="0" max="6" min="6" style="0" width="42"/>
  </cols>
  <sheetData>
    <row r="1" customFormat="false" ht="17.35" hidden="false" customHeight="false" outlineLevel="0" collapsed="false">
      <c r="A1" s="5" t="s">
        <v>75</v>
      </c>
    </row>
    <row r="2" customFormat="false" ht="15" hidden="false" customHeight="false" outlineLevel="0" collapsed="false">
      <c r="A2" s="2" t="s">
        <v>76</v>
      </c>
    </row>
    <row r="4" customFormat="false" ht="15" hidden="false" customHeight="false" outlineLevel="0" collapsed="false">
      <c r="A4" s="4" t="s">
        <v>77</v>
      </c>
    </row>
    <row r="5" customFormat="false" ht="30" hidden="false" customHeight="true" outlineLevel="0" collapsed="false">
      <c r="A5" s="6" t="s">
        <v>78</v>
      </c>
      <c r="B5" s="6" t="s">
        <v>79</v>
      </c>
      <c r="C5" s="6" t="s">
        <v>80</v>
      </c>
      <c r="D5" s="6" t="s">
        <v>81</v>
      </c>
      <c r="E5" s="6" t="s">
        <v>82</v>
      </c>
      <c r="F5" s="6" t="s">
        <v>83</v>
      </c>
    </row>
    <row r="6" customFormat="false" ht="15" hidden="false" customHeight="false" outlineLevel="0" collapsed="false">
      <c r="A6" s="11" t="n">
        <v>0.01</v>
      </c>
      <c r="B6" s="14" t="n">
        <f aca="false">A6*'1. The Two Loans'!C11*10000</f>
        <v>30</v>
      </c>
      <c r="C6" s="14" t="n">
        <f aca="false">'2. Margin vs Return on Capital'!C8-'1. The Two Loans'!$B$19*10000-B6-'1. The Two Loans'!C13*10000</f>
        <v>498.333333333333</v>
      </c>
      <c r="D6" s="23" t="n">
        <f aca="false">IFERROR(C6/10000*'1. The Two Loans'!C5/('2. Margin vs Return on Capital'!C16),"")</f>
        <v>0.415277777777778</v>
      </c>
      <c r="E6" s="23" t="n">
        <f aca="false">IFERROR(D6-'2. Margin vs Return on Capital'!$B$17,"")</f>
        <v>0.0840277777777779</v>
      </c>
      <c r="F6" s="9" t="str">
        <f aca="false">IF(D6="","",IF(D6&gt;='2. Margin vs Return on Capital'!$B$17,"B still wins","B now loses to the senior loan"))</f>
        <v>B still wins</v>
      </c>
    </row>
    <row r="7" customFormat="false" ht="15" hidden="false" customHeight="false" outlineLevel="0" collapsed="false">
      <c r="A7" s="11" t="n">
        <v>0.02</v>
      </c>
      <c r="B7" s="14" t="n">
        <f aca="false">A7*'1. The Two Loans'!C11*10000</f>
        <v>60</v>
      </c>
      <c r="C7" s="14" t="n">
        <f aca="false">'2. Margin vs Return on Capital'!C8-'1. The Two Loans'!$B$19*10000-B7-'1. The Two Loans'!C13*10000</f>
        <v>468.333333333333</v>
      </c>
      <c r="D7" s="23" t="n">
        <f aca="false">IFERROR(C7/10000*'1. The Two Loans'!C5/('2. Margin vs Return on Capital'!C16),"")</f>
        <v>0.390277777777778</v>
      </c>
      <c r="E7" s="23" t="n">
        <f aca="false">IFERROR(D7-'2. Margin vs Return on Capital'!$B$17,"")</f>
        <v>0.0590277777777778</v>
      </c>
      <c r="F7" s="9" t="str">
        <f aca="false">IF(D7="","",IF(D7&gt;='2. Margin vs Return on Capital'!$B$17,"B still wins","B now loses to the senior loan"))</f>
        <v>B still wins</v>
      </c>
    </row>
    <row r="8" customFormat="false" ht="15" hidden="false" customHeight="false" outlineLevel="0" collapsed="false">
      <c r="A8" s="11" t="n">
        <v>0.03</v>
      </c>
      <c r="B8" s="14" t="n">
        <f aca="false">A8*'1. The Two Loans'!C11*10000</f>
        <v>90</v>
      </c>
      <c r="C8" s="14" t="n">
        <f aca="false">'2. Margin vs Return on Capital'!C8-'1. The Two Loans'!$B$19*10000-B8-'1. The Two Loans'!C13*10000</f>
        <v>438.333333333333</v>
      </c>
      <c r="D8" s="23" t="n">
        <f aca="false">IFERROR(C8/10000*'1. The Two Loans'!C5/('2. Margin vs Return on Capital'!C16),"")</f>
        <v>0.365277777777778</v>
      </c>
      <c r="E8" s="23" t="n">
        <f aca="false">IFERROR(D8-'2. Margin vs Return on Capital'!$B$17,"")</f>
        <v>0.0340277777777778</v>
      </c>
      <c r="F8" s="9" t="str">
        <f aca="false">IF(D8="","",IF(D8&gt;='2. Margin vs Return on Capital'!$B$17,"B still wins","B now loses to the senior loan"))</f>
        <v>B still wins</v>
      </c>
    </row>
    <row r="9" customFormat="false" ht="15" hidden="false" customHeight="false" outlineLevel="0" collapsed="false">
      <c r="A9" s="11" t="n">
        <v>0.04</v>
      </c>
      <c r="B9" s="14" t="n">
        <f aca="false">A9*'1. The Two Loans'!C11*10000</f>
        <v>120</v>
      </c>
      <c r="C9" s="14" t="n">
        <f aca="false">'2. Margin vs Return on Capital'!C8-'1. The Two Loans'!$B$19*10000-B9-'1. The Two Loans'!C13*10000</f>
        <v>408.333333333333</v>
      </c>
      <c r="D9" s="23" t="n">
        <f aca="false">IFERROR(C9/10000*'1. The Two Loans'!C5/('2. Margin vs Return on Capital'!C16),"")</f>
        <v>0.340277777777778</v>
      </c>
      <c r="E9" s="23" t="n">
        <f aca="false">IFERROR(D9-'2. Margin vs Return on Capital'!$B$17,"")</f>
        <v>0.00902777777777786</v>
      </c>
      <c r="F9" s="9" t="str">
        <f aca="false">IF(D9="","",IF(D9&gt;='2. Margin vs Return on Capital'!$B$17,"B still wins","B now loses to the senior loan"))</f>
        <v>B still wins</v>
      </c>
    </row>
    <row r="10" customFormat="false" ht="15" hidden="false" customHeight="false" outlineLevel="0" collapsed="false">
      <c r="A10" s="11" t="n">
        <v>0.05</v>
      </c>
      <c r="B10" s="14" t="n">
        <f aca="false">A10*'1. The Two Loans'!C11*10000</f>
        <v>150</v>
      </c>
      <c r="C10" s="14" t="n">
        <f aca="false">'2. Margin vs Return on Capital'!C8-'1. The Two Loans'!$B$19*10000-B10-'1. The Two Loans'!C13*10000</f>
        <v>378.333333333333</v>
      </c>
      <c r="D10" s="23" t="n">
        <f aca="false">IFERROR(C10/10000*'1. The Two Loans'!C5/('2. Margin vs Return on Capital'!C16),"")</f>
        <v>0.315277777777778</v>
      </c>
      <c r="E10" s="23" t="n">
        <f aca="false">IFERROR(D10-'2. Margin vs Return on Capital'!$B$17,"")</f>
        <v>-0.0159722222222222</v>
      </c>
      <c r="F10" s="9" t="str">
        <f aca="false">IF(D10="","",IF(D10&gt;='2. Margin vs Return on Capital'!$B$17,"B still wins","B now loses to the senior loan"))</f>
        <v>B now loses to the senior loan</v>
      </c>
    </row>
    <row r="11" customFormat="false" ht="15" hidden="false" customHeight="false" outlineLevel="0" collapsed="false">
      <c r="A11" s="11" t="n">
        <v>0.06</v>
      </c>
      <c r="B11" s="14" t="n">
        <f aca="false">A11*'1. The Two Loans'!C11*10000</f>
        <v>180</v>
      </c>
      <c r="C11" s="14" t="n">
        <f aca="false">'2. Margin vs Return on Capital'!C8-'1. The Two Loans'!$B$19*10000-B11-'1. The Two Loans'!C13*10000</f>
        <v>348.333333333333</v>
      </c>
      <c r="D11" s="23" t="n">
        <f aca="false">IFERROR(C11/10000*'1. The Two Loans'!C5/('2. Margin vs Return on Capital'!C16),"")</f>
        <v>0.290277777777778</v>
      </c>
      <c r="E11" s="23" t="n">
        <f aca="false">IFERROR(D11-'2. Margin vs Return on Capital'!$B$17,"")</f>
        <v>-0.0409722222222222</v>
      </c>
      <c r="F11" s="9" t="str">
        <f aca="false">IF(D11="","",IF(D11&gt;='2. Margin vs Return on Capital'!$B$17,"B still wins","B now loses to the senior loan"))</f>
        <v>B now loses to the senior loan</v>
      </c>
    </row>
    <row r="13" customFormat="false" ht="15" hidden="false" customHeight="false" outlineLevel="0" collapsed="false">
      <c r="A13" s="15" t="s">
        <v>84</v>
      </c>
      <c r="B13" s="26" t="n">
        <f aca="false">'1. The Two Loans'!C10</f>
        <v>0.03</v>
      </c>
    </row>
    <row r="14" customFormat="false" ht="15" hidden="false" customHeight="false" outlineLevel="0" collapsed="false">
      <c r="A14" s="15" t="s">
        <v>85</v>
      </c>
      <c r="B14" s="11" t="n">
        <f aca="false">IFERROR(('2. Margin vs Return on Capital'!C8-'1. The Two Loans'!$B$19*10000-'1. The Two Loans'!C13*10000-'2. Margin vs Return on Capital'!B17*'2. Margin vs Return on Capital'!C16/'1. The Two Loans'!C5*10000)/('1. The Two Loans'!C11*10000),"")</f>
        <v>0.0436111111111111</v>
      </c>
    </row>
    <row r="15" customFormat="false" ht="15" hidden="false" customHeight="false" outlineLevel="0" collapsed="false">
      <c r="A15" s="15" t="s">
        <v>86</v>
      </c>
      <c r="B15" s="24" t="n">
        <f aca="false">IFERROR(B14/B13,"")</f>
        <v>1.4537037037037</v>
      </c>
      <c r="F15" s="9" t="s">
        <v>87</v>
      </c>
    </row>
    <row r="17" customFormat="false" ht="43.5" hidden="false" customHeight="true" outlineLevel="0" collapsed="false">
      <c r="A17" s="25" t="s">
        <v>88</v>
      </c>
      <c r="B17" s="25"/>
      <c r="C17" s="25"/>
      <c r="D17" s="25"/>
      <c r="E17" s="25"/>
      <c r="F17" s="25"/>
    </row>
    <row r="21" customFormat="false" ht="15" hidden="false" customHeight="false" outlineLevel="0" collapsed="false">
      <c r="A21" s="4" t="s">
        <v>89</v>
      </c>
    </row>
    <row r="22" customFormat="false" ht="30" hidden="false" customHeight="true" outlineLevel="0" collapsed="false">
      <c r="A22" s="6" t="s">
        <v>90</v>
      </c>
      <c r="B22" s="6" t="s">
        <v>81</v>
      </c>
      <c r="C22" s="6" t="s">
        <v>82</v>
      </c>
      <c r="D22" s="6"/>
      <c r="E22" s="6" t="s">
        <v>83</v>
      </c>
    </row>
    <row r="23" customFormat="false" ht="15" hidden="false" customHeight="false" outlineLevel="0" collapsed="false">
      <c r="A23" s="11" t="n">
        <v>0.0015</v>
      </c>
      <c r="B23" s="23" t="n">
        <f aca="false">IFERROR(('2. Margin vs Return on Capital'!C8-'1. The Two Loans'!$B$19*10000-'1. The Two Loans'!C10*'1. The Two Loans'!C11*10000-A23*10000)/10000*'1. The Two Loans'!C5/'2. Margin vs Return on Capital'!C16,"")</f>
        <v>0.390277777777778</v>
      </c>
      <c r="C23" s="23" t="n">
        <f aca="false">IFERROR(B23-'2. Margin vs Return on Capital'!$B$17,"")</f>
        <v>0.0590277777777778</v>
      </c>
      <c r="E23" s="9" t="str">
        <f aca="false">IF(B23="","",IF(B23&gt;='2. Margin vs Return on Capital'!$B$17,"B still wins","B now loses"))</f>
        <v>B still wins</v>
      </c>
    </row>
    <row r="24" customFormat="false" ht="15" hidden="false" customHeight="false" outlineLevel="0" collapsed="false">
      <c r="A24" s="11" t="n">
        <v>0.003</v>
      </c>
      <c r="B24" s="23" t="n">
        <f aca="false">IFERROR(('2. Margin vs Return on Capital'!C8-'1. The Two Loans'!$B$19*10000-'1. The Two Loans'!C10*'1. The Two Loans'!C11*10000-A24*10000)/10000*'1. The Two Loans'!C5/'2. Margin vs Return on Capital'!C16,"")</f>
        <v>0.377777777777778</v>
      </c>
      <c r="C24" s="23" t="n">
        <f aca="false">IFERROR(B24-'2. Margin vs Return on Capital'!$B$17,"")</f>
        <v>0.0465277777777778</v>
      </c>
      <c r="E24" s="9" t="str">
        <f aca="false">IF(B24="","",IF(B24&gt;='2. Margin vs Return on Capital'!$B$17,"B still wins","B now loses"))</f>
        <v>B still wins</v>
      </c>
    </row>
    <row r="25" customFormat="false" ht="15" hidden="false" customHeight="false" outlineLevel="0" collapsed="false">
      <c r="A25" s="11" t="n">
        <v>0.0045</v>
      </c>
      <c r="B25" s="23" t="n">
        <f aca="false">IFERROR(('2. Margin vs Return on Capital'!C8-'1. The Two Loans'!$B$19*10000-'1. The Two Loans'!C10*'1. The Two Loans'!C11*10000-A25*10000)/10000*'1. The Two Loans'!C5/'2. Margin vs Return on Capital'!C16,"")</f>
        <v>0.365277777777778</v>
      </c>
      <c r="C25" s="23" t="n">
        <f aca="false">IFERROR(B25-'2. Margin vs Return on Capital'!$B$17,"")</f>
        <v>0.0340277777777778</v>
      </c>
      <c r="E25" s="9" t="str">
        <f aca="false">IF(B25="","",IF(B25&gt;='2. Margin vs Return on Capital'!$B$17,"B still wins","B now loses"))</f>
        <v>B still wins</v>
      </c>
    </row>
    <row r="26" customFormat="false" ht="15" hidden="false" customHeight="false" outlineLevel="0" collapsed="false">
      <c r="A26" s="11" t="n">
        <v>0.006</v>
      </c>
      <c r="B26" s="23" t="n">
        <f aca="false">IFERROR(('2. Margin vs Return on Capital'!C8-'1. The Two Loans'!$B$19*10000-'1. The Two Loans'!C10*'1. The Two Loans'!C11*10000-A26*10000)/10000*'1. The Two Loans'!C5/'2. Margin vs Return on Capital'!C16,"")</f>
        <v>0.352777777777778</v>
      </c>
      <c r="C26" s="23" t="n">
        <f aca="false">IFERROR(B26-'2. Margin vs Return on Capital'!$B$17,"")</f>
        <v>0.0215277777777778</v>
      </c>
      <c r="E26" s="9" t="str">
        <f aca="false">IF(B26="","",IF(B26&gt;='2. Margin vs Return on Capital'!$B$17,"B still wins","B now loses"))</f>
        <v>B still wins</v>
      </c>
    </row>
    <row r="27" customFormat="false" ht="15" hidden="false" customHeight="false" outlineLevel="0" collapsed="false">
      <c r="A27" s="11" t="n">
        <v>0.008</v>
      </c>
      <c r="B27" s="23" t="n">
        <f aca="false">IFERROR(('2. Margin vs Return on Capital'!C8-'1. The Two Loans'!$B$19*10000-'1. The Two Loans'!C10*'1. The Two Loans'!C11*10000-A27*10000)/10000*'1. The Two Loans'!C5/'2. Margin vs Return on Capital'!C16,"")</f>
        <v>0.336111111111111</v>
      </c>
      <c r="C27" s="23" t="n">
        <f aca="false">IFERROR(B27-'2. Margin vs Return on Capital'!$B$17,"")</f>
        <v>0.00486111111111115</v>
      </c>
      <c r="E27" s="9" t="str">
        <f aca="false">IF(B27="","",IF(B27&gt;='2. Margin vs Return on Capital'!$B$17,"B still wins","B now loses"))</f>
        <v>B still wins</v>
      </c>
    </row>
    <row r="28" customFormat="false" ht="15" hidden="false" customHeight="false" outlineLevel="0" collapsed="false">
      <c r="A28" s="11" t="n">
        <v>0.01</v>
      </c>
      <c r="B28" s="23" t="n">
        <f aca="false">IFERROR(('2. Margin vs Return on Capital'!C8-'1. The Two Loans'!$B$19*10000-'1. The Two Loans'!C10*'1. The Two Loans'!C11*10000-A28*10000)/10000*'1. The Two Loans'!C5/'2. Margin vs Return on Capital'!C16,"")</f>
        <v>0.319444444444445</v>
      </c>
      <c r="C28" s="23" t="n">
        <f aca="false">IFERROR(B28-'2. Margin vs Return on Capital'!$B$17,"")</f>
        <v>-0.0118055555555555</v>
      </c>
      <c r="E28" s="9" t="str">
        <f aca="false">IF(B28="","",IF(B28&gt;='2. Margin vs Return on Capital'!$B$17,"B still wins","B now loses"))</f>
        <v>B now loses</v>
      </c>
    </row>
    <row r="29" customFormat="false" ht="15" hidden="false" customHeight="false" outlineLevel="0" collapsed="false">
      <c r="A29" s="15" t="s">
        <v>91</v>
      </c>
      <c r="B29" s="27" t="n">
        <f aca="false">IFERROR('2. Margin vs Return on Capital'!C8-'1. The Two Loans'!$B$19*10000-'1. The Two Loans'!C10*'1. The Two Loans'!C11*10000-'2. Margin vs Return on Capital'!B17*'2. Margin vs Return on Capital'!C16/'1. The Two Loans'!C5*10000,"")</f>
        <v>85.8333333333334</v>
      </c>
      <c r="C29" s="24" t="n">
        <f aca="false">IFERROR(B29/('1. The Two Loans'!B13*10000),"")</f>
        <v>5.72222222222223</v>
      </c>
      <c r="D29" s="9" t="s">
        <v>92</v>
      </c>
    </row>
    <row r="30" customFormat="false" ht="48" hidden="false" customHeight="true" outlineLevel="0" collapsed="false">
      <c r="A30" s="25" t="s">
        <v>93</v>
      </c>
      <c r="B30" s="25"/>
      <c r="C30" s="25"/>
      <c r="D30" s="25"/>
      <c r="E30" s="25"/>
      <c r="F30" s="25"/>
    </row>
  </sheetData>
  <mergeCells count="2">
    <mergeCell ref="A17:F17"/>
    <mergeCell ref="A30:F3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4" min="2" style="0" width="17"/>
    <col collapsed="false" customWidth="true" hidden="false" outlineLevel="0" max="5" min="5" style="0" width="46"/>
  </cols>
  <sheetData>
    <row r="1" customFormat="false" ht="17.35" hidden="false" customHeight="false" outlineLevel="0" collapsed="false">
      <c r="A1" s="5" t="s">
        <v>94</v>
      </c>
    </row>
    <row r="2" customFormat="false" ht="15" hidden="false" customHeight="false" outlineLevel="0" collapsed="false">
      <c r="A2" s="2" t="s">
        <v>95</v>
      </c>
    </row>
    <row r="4" customFormat="false" ht="30" hidden="false" customHeight="true" outlineLevel="0" collapsed="false">
      <c r="A4" s="6" t="s">
        <v>96</v>
      </c>
      <c r="B4" s="6" t="s">
        <v>97</v>
      </c>
      <c r="C4" s="6" t="s">
        <v>98</v>
      </c>
      <c r="D4" s="6" t="s">
        <v>99</v>
      </c>
      <c r="E4" s="6" t="s">
        <v>100</v>
      </c>
    </row>
    <row r="5" customFormat="false" ht="15" hidden="false" customHeight="false" outlineLevel="0" collapsed="false">
      <c r="A5" s="11" t="n">
        <v>0.0025</v>
      </c>
      <c r="B5" s="19" t="n">
        <f aca="false">A5*'1. The Two Loans'!B5</f>
        <v>125000</v>
      </c>
      <c r="C5" s="14" t="n">
        <f aca="false">A5*10000</f>
        <v>25</v>
      </c>
      <c r="D5" s="23" t="n">
        <f aca="false">IFERROR(A5/'1. The Two Loans'!B7,"")</f>
        <v>0.125</v>
      </c>
      <c r="E5" s="9" t="str">
        <f aca="false">IF(A5&gt;='1. The Two Loans'!B7,"worth more than the entire credit margin","")</f>
        <v/>
      </c>
    </row>
    <row r="6" customFormat="false" ht="15" hidden="false" customHeight="false" outlineLevel="0" collapsed="false">
      <c r="A6" s="11" t="n">
        <v>0.005</v>
      </c>
      <c r="B6" s="19" t="n">
        <f aca="false">A6*'1. The Two Loans'!B5</f>
        <v>250000</v>
      </c>
      <c r="C6" s="14" t="n">
        <f aca="false">A6*10000</f>
        <v>50</v>
      </c>
      <c r="D6" s="23" t="n">
        <f aca="false">IFERROR(A6/'1. The Two Loans'!B7,"")</f>
        <v>0.25</v>
      </c>
      <c r="E6" s="9" t="str">
        <f aca="false">IF(A6&gt;='1. The Two Loans'!B7,"worth more than the entire credit margin","")</f>
        <v/>
      </c>
    </row>
    <row r="7" customFormat="false" ht="15" hidden="false" customHeight="false" outlineLevel="0" collapsed="false">
      <c r="A7" s="11" t="n">
        <v>0.01</v>
      </c>
      <c r="B7" s="19" t="n">
        <f aca="false">A7*'1. The Two Loans'!B5</f>
        <v>500000</v>
      </c>
      <c r="C7" s="14" t="n">
        <f aca="false">A7*10000</f>
        <v>100</v>
      </c>
      <c r="D7" s="23" t="n">
        <f aca="false">IFERROR(A7/'1. The Two Loans'!B7,"")</f>
        <v>0.5</v>
      </c>
      <c r="E7" s="9" t="str">
        <f aca="false">IF(A7&gt;='1. The Two Loans'!B7,"worth more than the entire credit margin","")</f>
        <v/>
      </c>
    </row>
    <row r="8" customFormat="false" ht="15" hidden="false" customHeight="false" outlineLevel="0" collapsed="false">
      <c r="A8" s="11" t="n">
        <v>0.015</v>
      </c>
      <c r="B8" s="19" t="n">
        <f aca="false">A8*'1. The Two Loans'!B5</f>
        <v>750000</v>
      </c>
      <c r="C8" s="14" t="n">
        <f aca="false">A8*10000</f>
        <v>150</v>
      </c>
      <c r="D8" s="23" t="n">
        <f aca="false">IFERROR(A8/'1. The Two Loans'!B7,"")</f>
        <v>0.75</v>
      </c>
      <c r="E8" s="9" t="str">
        <f aca="false">IF(A8&gt;='1. The Two Loans'!B7,"worth more than the entire credit margin","")</f>
        <v/>
      </c>
    </row>
    <row r="9" customFormat="false" ht="15" hidden="false" customHeight="false" outlineLevel="0" collapsed="false">
      <c r="A9" s="11" t="n">
        <v>0.02</v>
      </c>
      <c r="B9" s="19" t="n">
        <f aca="false">A9*'1. The Two Loans'!B5</f>
        <v>1000000</v>
      </c>
      <c r="C9" s="14" t="n">
        <f aca="false">A9*10000</f>
        <v>200</v>
      </c>
      <c r="D9" s="23" t="n">
        <f aca="false">IFERROR(A9/'1. The Two Loans'!B7,"")</f>
        <v>1</v>
      </c>
      <c r="E9" s="9" t="str">
        <f aca="false">IF(A9&gt;='1. The Two Loans'!B7,"worth more than the entire credit margin","")</f>
        <v>worth more than the entire credit margin</v>
      </c>
    </row>
    <row r="10" customFormat="false" ht="15" hidden="false" customHeight="false" outlineLevel="0" collapsed="false">
      <c r="A10" s="11" t="n">
        <v>0.03</v>
      </c>
      <c r="B10" s="19" t="n">
        <f aca="false">A10*'1. The Two Loans'!B5</f>
        <v>1500000</v>
      </c>
      <c r="C10" s="14" t="n">
        <f aca="false">A10*10000</f>
        <v>300</v>
      </c>
      <c r="D10" s="23" t="n">
        <f aca="false">IFERROR(A10/'1. The Two Loans'!B7,"")</f>
        <v>1.5</v>
      </c>
      <c r="E10" s="9" t="str">
        <f aca="false">IF(A10&gt;='1. The Two Loans'!B7,"worth more than the entire credit margin","")</f>
        <v>worth more than the entire credit margin</v>
      </c>
    </row>
    <row r="12" customFormat="false" ht="43.5" hidden="false" customHeight="true" outlineLevel="0" collapsed="false">
      <c r="A12" s="25" t="s">
        <v>101</v>
      </c>
      <c r="B12" s="25"/>
      <c r="C12" s="25"/>
      <c r="D12" s="25"/>
      <c r="E12" s="25"/>
    </row>
    <row r="16" customFormat="false" ht="37.5" hidden="false" customHeight="true" outlineLevel="0" collapsed="false">
      <c r="A16" s="25" t="s">
        <v>102</v>
      </c>
      <c r="B16" s="25"/>
      <c r="C16" s="25"/>
      <c r="D16" s="25"/>
      <c r="E16" s="25"/>
    </row>
  </sheetData>
  <mergeCells count="2">
    <mergeCell ref="A12:E12"/>
    <mergeCell ref="A16:E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5" min="2" style="0" width="16"/>
    <col collapsed="false" customWidth="true" hidden="false" outlineLevel="0" max="6" min="6" style="0" width="44"/>
  </cols>
  <sheetData>
    <row r="1" customFormat="false" ht="17.35" hidden="false" customHeight="false" outlineLevel="0" collapsed="false">
      <c r="A1" s="5" t="s">
        <v>103</v>
      </c>
    </row>
    <row r="2" customFormat="false" ht="15" hidden="false" customHeight="false" outlineLevel="0" collapsed="false">
      <c r="A2" s="2" t="s">
        <v>104</v>
      </c>
    </row>
    <row r="4" customFormat="false" ht="15" hidden="false" customHeight="false" outlineLevel="0" collapsed="false">
      <c r="A4" s="4" t="s">
        <v>105</v>
      </c>
    </row>
    <row r="5" customFormat="false" ht="30" hidden="false" customHeight="true" outlineLevel="0" collapsed="false">
      <c r="A5" s="6" t="s">
        <v>106</v>
      </c>
      <c r="B5" s="6" t="s">
        <v>107</v>
      </c>
      <c r="C5" s="6" t="s">
        <v>108</v>
      </c>
      <c r="D5" s="6" t="s">
        <v>109</v>
      </c>
      <c r="E5" s="6" t="s">
        <v>110</v>
      </c>
      <c r="F5" s="6" t="s">
        <v>100</v>
      </c>
    </row>
    <row r="6" customFormat="false" ht="15" hidden="false" customHeight="false" outlineLevel="0" collapsed="false">
      <c r="A6" s="27" t="n">
        <v>5</v>
      </c>
      <c r="B6" s="14" t="n">
        <f aca="false">('1. The Two Loans'!B7+'1. The Two Loans'!B8/A6)*10000</f>
        <v>215</v>
      </c>
      <c r="C6" s="14" t="n">
        <f aca="false">('1. The Two Loans'!B14/A6/'1. The Two Loans'!B5+'1. The Two Loans'!$B$15)*10000</f>
        <v>15</v>
      </c>
      <c r="D6" s="14" t="n">
        <f aca="false">B6-'1. The Two Loans'!$B$19*10000-'1. The Two Loans'!B10*'1. The Two Loans'!B11*10000-C6</f>
        <v>132.5</v>
      </c>
      <c r="E6" s="23" t="n">
        <f aca="false">IFERROR(D6/10000*'1. The Two Loans'!B5/('2. Margin vs Return on Capital'!B16),"")</f>
        <v>0.33125</v>
      </c>
      <c r="F6" s="9" t="str">
        <f aca="false">IF(A6=5,"the deal as approved","")</f>
        <v>the deal as approved</v>
      </c>
    </row>
    <row r="7" customFormat="false" ht="15" hidden="false" customHeight="false" outlineLevel="0" collapsed="false">
      <c r="A7" s="27" t="n">
        <v>3</v>
      </c>
      <c r="B7" s="14" t="n">
        <f aca="false">('1. The Two Loans'!B7+'1. The Two Loans'!B8/A7)*10000</f>
        <v>225</v>
      </c>
      <c r="C7" s="14" t="n">
        <f aca="false">('1. The Two Loans'!B14/A7/'1. The Two Loans'!B5+'1. The Two Loans'!$B$15)*10000</f>
        <v>19</v>
      </c>
      <c r="D7" s="14" t="n">
        <f aca="false">B7-'1. The Two Loans'!$B$19*10000-'1. The Two Loans'!B10*'1. The Two Loans'!B11*10000-C7</f>
        <v>138.5</v>
      </c>
      <c r="E7" s="23" t="n">
        <f aca="false">IFERROR(D7/10000*'1. The Two Loans'!B5/('2. Margin vs Return on Capital'!B16),"")</f>
        <v>0.34625</v>
      </c>
      <c r="F7" s="9" t="str">
        <f aca="false">IF(A7=5,"the deal as approved","")</f>
        <v/>
      </c>
    </row>
    <row r="8" customFormat="false" ht="15" hidden="false" customHeight="false" outlineLevel="0" collapsed="false">
      <c r="A8" s="27" t="n">
        <v>1.5</v>
      </c>
      <c r="B8" s="14" t="n">
        <f aca="false">('1. The Two Loans'!B7+'1. The Two Loans'!B8/A8)*10000</f>
        <v>250</v>
      </c>
      <c r="C8" s="14" t="n">
        <f aca="false">('1. The Two Loans'!B14/A8/'1. The Two Loans'!B5+'1. The Two Loans'!$B$15)*10000</f>
        <v>29</v>
      </c>
      <c r="D8" s="14" t="n">
        <f aca="false">B8-'1. The Two Loans'!$B$19*10000-'1. The Two Loans'!B10*'1. The Two Loans'!B11*10000-C8</f>
        <v>153.5</v>
      </c>
      <c r="E8" s="23" t="n">
        <f aca="false">IFERROR(D8/10000*'1. The Two Loans'!B5/('2. Margin vs Return on Capital'!B16),"")</f>
        <v>0.38375</v>
      </c>
      <c r="F8" s="9" t="str">
        <f aca="false">IF(A8=5,"the deal as approved","")</f>
        <v/>
      </c>
    </row>
    <row r="9" customFormat="false" ht="15" hidden="false" customHeight="false" outlineLevel="0" collapsed="false">
      <c r="A9" s="27" t="n">
        <v>1</v>
      </c>
      <c r="B9" s="14" t="n">
        <f aca="false">('1. The Two Loans'!B7+'1. The Two Loans'!B8/A9)*10000</f>
        <v>275</v>
      </c>
      <c r="C9" s="14" t="n">
        <f aca="false">('1. The Two Loans'!B14/A9/'1. The Two Loans'!B5+'1. The Two Loans'!$B$15)*10000</f>
        <v>39</v>
      </c>
      <c r="D9" s="14" t="n">
        <f aca="false">B9-'1. The Two Loans'!$B$19*10000-'1. The Two Loans'!B10*'1. The Two Loans'!B11*10000-C9</f>
        <v>168.5</v>
      </c>
      <c r="E9" s="23" t="n">
        <f aca="false">IFERROR(D9/10000*'1. The Two Loans'!B5/('2. Margin vs Return on Capital'!B16),"")</f>
        <v>0.42125</v>
      </c>
      <c r="F9" s="9" t="str">
        <f aca="false">IF(A9=5,"the deal as approved","")</f>
        <v/>
      </c>
    </row>
    <row r="11" customFormat="false" ht="48" hidden="false" customHeight="true" outlineLevel="0" collapsed="false">
      <c r="A11" s="25" t="s">
        <v>111</v>
      </c>
      <c r="B11" s="25"/>
      <c r="C11" s="25"/>
      <c r="D11" s="25"/>
      <c r="E11" s="25"/>
      <c r="F11" s="25"/>
    </row>
    <row r="15" customFormat="false" ht="15" hidden="false" customHeight="false" outlineLevel="0" collapsed="false">
      <c r="A15" s="4" t="s">
        <v>112</v>
      </c>
    </row>
    <row r="16" customFormat="false" ht="15" hidden="false" customHeight="false" outlineLevel="0" collapsed="false">
      <c r="A16" s="2" t="s">
        <v>113</v>
      </c>
    </row>
    <row r="17" customFormat="false" ht="15" hidden="false" customHeight="false" outlineLevel="0" collapsed="false">
      <c r="A17" s="7" t="s">
        <v>114</v>
      </c>
      <c r="B17" s="11" t="n">
        <v>0</v>
      </c>
    </row>
    <row r="18" customFormat="false" ht="30" hidden="false" customHeight="true" outlineLevel="0" collapsed="false">
      <c r="A18" s="6" t="s">
        <v>115</v>
      </c>
      <c r="B18" s="6" t="s">
        <v>116</v>
      </c>
      <c r="C18" s="6" t="s">
        <v>117</v>
      </c>
      <c r="D18" s="6" t="s">
        <v>118</v>
      </c>
      <c r="E18" s="6" t="s">
        <v>119</v>
      </c>
      <c r="F18" s="6" t="s">
        <v>83</v>
      </c>
    </row>
    <row r="19" customFormat="false" ht="15" hidden="false" customHeight="false" outlineLevel="0" collapsed="false">
      <c r="A19" s="11" t="n">
        <v>0.02</v>
      </c>
      <c r="B19" s="19" t="n">
        <f aca="false">(('1. The Two Loans'!B7+('1. The Two Loans'!B8+$B$17)/1.5)-'1. The Two Loans'!$B$19-'1. The Two Loans'!B10*'1. The Two Loans'!B11-('1. The Two Loans'!B14/1.5/'1. The Two Loans'!B5+'1. The Two Loans'!$B$15))*'1. The Two Loans'!B5*1.5</f>
        <v>1151250</v>
      </c>
      <c r="C19" s="19" t="n">
        <f aca="false">((A19+'1. The Two Loans'!B8/3.5)-'1. The Two Loans'!$B$19-'1. The Two Loans'!B10*'1. The Two Loans'!B11-('1. The Two Loans'!B14/3.5/'1. The Two Loans'!B5+'1. The Two Loans'!$B$15))*'1. The Two Loans'!B5*3.5</f>
        <v>2386250</v>
      </c>
      <c r="D19" s="19" t="n">
        <f aca="false">B19+C19</f>
        <v>3537500</v>
      </c>
      <c r="E19" s="19" t="n">
        <f aca="false">IFERROR(D19-(('1. The Two Loans'!B7+'1. The Two Loans'!B8/5)-'1. The Two Loans'!$B$19-'1. The Two Loans'!B10*'1. The Two Loans'!B11-('1. The Two Loans'!B14/5/'1. The Two Loans'!B5+'1. The Two Loans'!$B$15))*'1. The Two Loans'!B5*5,"")</f>
        <v>225000</v>
      </c>
      <c r="F19" s="9" t="str">
        <f aca="false">IF(E19="","",IF(E19&gt;=0,"still ahead","the early repayment has cost money"))</f>
        <v>still ahead</v>
      </c>
    </row>
    <row r="20" customFormat="false" ht="15" hidden="false" customHeight="false" outlineLevel="0" collapsed="false">
      <c r="A20" s="11" t="n">
        <v>0.0175</v>
      </c>
      <c r="B20" s="19" t="n">
        <f aca="false">(('1. The Two Loans'!B7+('1. The Two Loans'!B8+$B$17)/1.5)-'1. The Two Loans'!$B$19-'1. The Two Loans'!B10*'1. The Two Loans'!B11-('1. The Two Loans'!B14/1.5/'1. The Two Loans'!B5+'1. The Two Loans'!$B$15))*'1. The Two Loans'!B5*1.5</f>
        <v>1151250</v>
      </c>
      <c r="C20" s="19" t="n">
        <f aca="false">((A20+'1. The Two Loans'!B8/3.5)-'1. The Two Loans'!$B$19-'1. The Two Loans'!B10*'1. The Two Loans'!B11-('1. The Two Loans'!B14/3.5/'1. The Two Loans'!B5+'1. The Two Loans'!$B$15))*'1. The Two Loans'!B5*3.5</f>
        <v>1948750</v>
      </c>
      <c r="D20" s="19" t="n">
        <f aca="false">B20+C20</f>
        <v>3100000</v>
      </c>
      <c r="E20" s="19" t="n">
        <f aca="false">IFERROR(D20-(('1. The Two Loans'!B7+'1. The Two Loans'!B8/5)-'1. The Two Loans'!$B$19-'1. The Two Loans'!B10*'1. The Two Loans'!B11-('1. The Two Loans'!B14/5/'1. The Two Loans'!B5+'1. The Two Loans'!$B$15))*'1. The Two Loans'!B5*5,"")</f>
        <v>-212500</v>
      </c>
      <c r="F20" s="9" t="str">
        <f aca="false">IF(E20="","",IF(E20&gt;=0,"still ahead","the early repayment has cost money"))</f>
        <v>the early repayment has cost money</v>
      </c>
    </row>
    <row r="21" customFormat="false" ht="15" hidden="false" customHeight="false" outlineLevel="0" collapsed="false">
      <c r="A21" s="11" t="n">
        <v>0.015</v>
      </c>
      <c r="B21" s="19" t="n">
        <f aca="false">(('1. The Two Loans'!B7+('1. The Two Loans'!B8+$B$17)/1.5)-'1. The Two Loans'!$B$19-'1. The Two Loans'!B10*'1. The Two Loans'!B11-('1. The Two Loans'!B14/1.5/'1. The Two Loans'!B5+'1. The Two Loans'!$B$15))*'1. The Two Loans'!B5*1.5</f>
        <v>1151250</v>
      </c>
      <c r="C21" s="19" t="n">
        <f aca="false">((A21+'1. The Two Loans'!B8/3.5)-'1. The Two Loans'!$B$19-'1. The Two Loans'!B10*'1. The Two Loans'!B11-('1. The Two Loans'!B14/3.5/'1. The Two Loans'!B5+'1. The Two Loans'!$B$15))*'1. The Two Loans'!B5*3.5</f>
        <v>1511250</v>
      </c>
      <c r="D21" s="19" t="n">
        <f aca="false">B21+C21</f>
        <v>2662500</v>
      </c>
      <c r="E21" s="19" t="n">
        <f aca="false">IFERROR(D21-(('1. The Two Loans'!B7+'1. The Two Loans'!B8/5)-'1. The Two Loans'!$B$19-'1. The Two Loans'!B10*'1. The Two Loans'!B11-('1. The Two Loans'!B14/5/'1. The Two Loans'!B5+'1. The Two Loans'!$B$15))*'1. The Two Loans'!B5*5,"")</f>
        <v>-650000.000000001</v>
      </c>
      <c r="F21" s="9" t="str">
        <f aca="false">IF(E21="","",IF(E21&gt;=0,"still ahead","the early repayment has cost money"))</f>
        <v>the early repayment has cost money</v>
      </c>
    </row>
    <row r="22" customFormat="false" ht="15" hidden="false" customHeight="false" outlineLevel="0" collapsed="false">
      <c r="A22" s="11" t="n">
        <v>0.0125</v>
      </c>
      <c r="B22" s="19" t="n">
        <f aca="false">(('1. The Two Loans'!B7+('1. The Two Loans'!B8+$B$17)/1.5)-'1. The Two Loans'!$B$19-'1. The Two Loans'!B10*'1. The Two Loans'!B11-('1. The Two Loans'!B14/1.5/'1. The Two Loans'!B5+'1. The Two Loans'!$B$15))*'1. The Two Loans'!B5*1.5</f>
        <v>1151250</v>
      </c>
      <c r="C22" s="19" t="n">
        <f aca="false">((A22+'1. The Two Loans'!B8/3.5)-'1. The Two Loans'!$B$19-'1. The Two Loans'!B10*'1. The Two Loans'!B11-('1. The Two Loans'!B14/3.5/'1. The Two Loans'!B5+'1. The Two Loans'!$B$15))*'1. The Two Loans'!B5*3.5</f>
        <v>1073750</v>
      </c>
      <c r="D22" s="19" t="n">
        <f aca="false">B22+C22</f>
        <v>2225000</v>
      </c>
      <c r="E22" s="19" t="n">
        <f aca="false">IFERROR(D22-(('1. The Two Loans'!B7+'1. The Two Loans'!B8/5)-'1. The Two Loans'!$B$19-'1. The Two Loans'!B10*'1. The Two Loans'!B11-('1. The Two Loans'!B14/5/'1. The Two Loans'!B5+'1. The Two Loans'!$B$15))*'1. The Two Loans'!B5*5,"")</f>
        <v>-1087500</v>
      </c>
      <c r="F22" s="9" t="str">
        <f aca="false">IF(E22="","",IF(E22&gt;=0,"still ahead","the early repayment has cost money"))</f>
        <v>the early repayment has cost money</v>
      </c>
    </row>
    <row r="23" customFormat="false" ht="15" hidden="false" customHeight="false" outlineLevel="0" collapsed="false">
      <c r="A23" s="11" t="n">
        <v>0.01</v>
      </c>
      <c r="B23" s="19" t="n">
        <f aca="false">(('1. The Two Loans'!B7+('1. The Two Loans'!B8+$B$17)/1.5)-'1. The Two Loans'!$B$19-'1. The Two Loans'!B10*'1. The Two Loans'!B11-('1. The Two Loans'!B14/1.5/'1. The Two Loans'!B5+'1. The Two Loans'!$B$15))*'1. The Two Loans'!B5*1.5</f>
        <v>1151250</v>
      </c>
      <c r="C23" s="19" t="n">
        <f aca="false">((A23+'1. The Two Loans'!B8/3.5)-'1. The Two Loans'!$B$19-'1. The Two Loans'!B10*'1. The Two Loans'!B11-('1. The Two Loans'!B14/3.5/'1. The Two Loans'!B5+'1. The Two Loans'!$B$15))*'1. The Two Loans'!B5*3.5</f>
        <v>636250</v>
      </c>
      <c r="D23" s="19" t="n">
        <f aca="false">B23+C23</f>
        <v>1787500</v>
      </c>
      <c r="E23" s="19" t="n">
        <f aca="false">IFERROR(D23-(('1. The Two Loans'!B7+'1. The Two Loans'!B8/5)-'1. The Two Loans'!$B$19-'1. The Two Loans'!B10*'1. The Two Loans'!B11-('1. The Two Loans'!B14/5/'1. The Two Loans'!B5+'1. The Two Loans'!$B$15))*'1. The Two Loans'!B5*5,"")</f>
        <v>-1525000</v>
      </c>
      <c r="F23" s="9" t="str">
        <f aca="false">IF(E23="","",IF(E23&gt;=0,"still ahead","the early repayment has cost money"))</f>
        <v>the early repayment has cost money</v>
      </c>
    </row>
    <row r="25" customFormat="false" ht="15" hidden="false" customHeight="false" outlineLevel="0" collapsed="false">
      <c r="A25" s="15" t="s">
        <v>120</v>
      </c>
      <c r="B25" s="28" t="n">
        <f aca="false">IFERROR(('1. The Two Loans'!B8*'1. The Two Loans'!B5-'1. The Two Loans'!B14+$B$17*'1. The Two Loans'!B5)/(3.5*'1. The Two Loans'!B5)*10000,"")</f>
        <v>12.8571428571429</v>
      </c>
      <c r="F25" s="9" t="s">
        <v>121</v>
      </c>
    </row>
    <row r="26" customFormat="false" ht="15" hidden="false" customHeight="false" outlineLevel="0" collapsed="false">
      <c r="A26" s="15" t="s">
        <v>122</v>
      </c>
      <c r="B26" s="28" t="n">
        <f aca="false">IFERROR(0.01*'1. The Two Loans'!B5/(3.5*'1. The Two Loans'!B5)*10000,"")</f>
        <v>28.5714285714286</v>
      </c>
      <c r="F26" s="9" t="s">
        <v>123</v>
      </c>
    </row>
    <row r="27" customFormat="false" ht="42" hidden="false" customHeight="true" outlineLevel="0" collapsed="false">
      <c r="A27" s="25" t="s">
        <v>124</v>
      </c>
      <c r="B27" s="25"/>
      <c r="C27" s="25"/>
      <c r="D27" s="25"/>
      <c r="E27" s="25"/>
      <c r="F27" s="25"/>
    </row>
    <row r="31" customFormat="false" ht="48" hidden="false" customHeight="true" outlineLevel="0" collapsed="false">
      <c r="A31" s="25" t="s">
        <v>125</v>
      </c>
      <c r="B31" s="25"/>
      <c r="C31" s="25"/>
      <c r="D31" s="25"/>
      <c r="E31" s="25"/>
      <c r="F31" s="25"/>
    </row>
  </sheetData>
  <mergeCells count="3">
    <mergeCell ref="A11:F11"/>
    <mergeCell ref="A27:F27"/>
    <mergeCell ref="A31:F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4" min="2" style="0" width="17"/>
    <col collapsed="false" customWidth="true" hidden="false" outlineLevel="0" max="5" min="5" style="0" width="20"/>
  </cols>
  <sheetData>
    <row r="1" customFormat="false" ht="17.35" hidden="false" customHeight="false" outlineLevel="0" collapsed="false">
      <c r="A1" s="5" t="s">
        <v>126</v>
      </c>
    </row>
    <row r="4" customFormat="false" ht="30" hidden="false" customHeight="true" outlineLevel="0" collapsed="false">
      <c r="A4" s="6" t="s">
        <v>127</v>
      </c>
      <c r="B4" s="6" t="s">
        <v>128</v>
      </c>
      <c r="C4" s="6" t="s">
        <v>129</v>
      </c>
      <c r="D4" s="6" t="s">
        <v>130</v>
      </c>
      <c r="E4" s="6" t="s">
        <v>131</v>
      </c>
    </row>
    <row r="5" customFormat="false" ht="15" hidden="false" customHeight="false" outlineLevel="0" collapsed="false">
      <c r="A5" s="9" t="s">
        <v>132</v>
      </c>
      <c r="B5" s="14" t="n">
        <v>215</v>
      </c>
      <c r="C5" s="14" t="n">
        <f aca="false">'2. Margin vs Return on Capital'!B8</f>
        <v>215</v>
      </c>
      <c r="D5" s="29" t="str">
        <f aca="false">IF(ISNUMBER(C5)=FALSE(),"CHECK",IF(ABS(C5-B5)&lt;=0.5,"OK","CHECK"))</f>
        <v>OK</v>
      </c>
      <c r="E5" s="9" t="s">
        <v>133</v>
      </c>
    </row>
    <row r="6" customFormat="false" ht="15" hidden="false" customHeight="false" outlineLevel="0" collapsed="false">
      <c r="A6" s="9" t="s">
        <v>134</v>
      </c>
      <c r="B6" s="14" t="n">
        <v>633.3</v>
      </c>
      <c r="C6" s="14" t="n">
        <f aca="false">'2. Margin vs Return on Capital'!C8</f>
        <v>633.333333333333</v>
      </c>
      <c r="D6" s="29" t="str">
        <f aca="false">IF(ISNUMBER(C6)=FALSE(),"CHECK",IF(ABS(C6-B6)&lt;=0.5,"OK","CHECK"))</f>
        <v>OK</v>
      </c>
      <c r="E6" s="9" t="s">
        <v>133</v>
      </c>
    </row>
    <row r="7" customFormat="false" ht="15" hidden="false" customHeight="false" outlineLevel="0" collapsed="false">
      <c r="A7" s="9" t="s">
        <v>135</v>
      </c>
      <c r="B7" s="14" t="n">
        <v>132.5</v>
      </c>
      <c r="C7" s="14" t="n">
        <f aca="false">'2. Margin vs Return on Capital'!B13</f>
        <v>132.5</v>
      </c>
      <c r="D7" s="29" t="str">
        <f aca="false">IF(ISNUMBER(C7)=FALSE(),"CHECK",IF(ABS(C7-B7)&lt;=0.5,"OK","CHECK"))</f>
        <v>OK</v>
      </c>
      <c r="E7" s="9" t="s">
        <v>133</v>
      </c>
    </row>
    <row r="8" customFormat="false" ht="15" hidden="false" customHeight="false" outlineLevel="0" collapsed="false">
      <c r="A8" s="9" t="s">
        <v>136</v>
      </c>
      <c r="B8" s="14" t="n">
        <v>438.3</v>
      </c>
      <c r="C8" s="14" t="n">
        <f aca="false">'2. Margin vs Return on Capital'!C13</f>
        <v>438.333333333333</v>
      </c>
      <c r="D8" s="29" t="str">
        <f aca="false">IF(ISNUMBER(C8)=FALSE(),"CHECK",IF(ABS(C8-B8)&lt;=0.5,"OK","CHECK"))</f>
        <v>OK</v>
      </c>
      <c r="E8" s="9" t="s">
        <v>133</v>
      </c>
    </row>
    <row r="9" customFormat="false" ht="15" hidden="false" customHeight="false" outlineLevel="0" collapsed="false">
      <c r="A9" s="9" t="s">
        <v>137</v>
      </c>
      <c r="B9" s="19" t="n">
        <v>662500</v>
      </c>
      <c r="C9" s="19" t="n">
        <f aca="false">'2. Margin vs Return on Capital'!B15</f>
        <v>662500</v>
      </c>
      <c r="D9" s="29" t="str">
        <f aca="false">IF(ISNUMBER(C9)=FALSE(),"CHECK",IF(ABS(C9-B9)&lt;=500,"OK","CHECK"))</f>
        <v>OK</v>
      </c>
      <c r="E9" s="9" t="s">
        <v>138</v>
      </c>
    </row>
    <row r="10" customFormat="false" ht="15" hidden="false" customHeight="false" outlineLevel="0" collapsed="false">
      <c r="A10" s="9" t="s">
        <v>139</v>
      </c>
      <c r="B10" s="19" t="n">
        <v>2191667</v>
      </c>
      <c r="C10" s="19" t="n">
        <f aca="false">'2. Margin vs Return on Capital'!C15</f>
        <v>2191666.66666667</v>
      </c>
      <c r="D10" s="29" t="str">
        <f aca="false">IF(ISNUMBER(C10)=FALSE(),"CHECK",IF(ABS(C10-B10)&lt;=500,"OK","CHECK"))</f>
        <v>OK</v>
      </c>
      <c r="E10" s="9" t="s">
        <v>138</v>
      </c>
    </row>
    <row r="11" customFormat="false" ht="15" hidden="false" customHeight="false" outlineLevel="0" collapsed="false">
      <c r="A11" s="9" t="s">
        <v>140</v>
      </c>
      <c r="B11" s="19" t="n">
        <v>2000000</v>
      </c>
      <c r="C11" s="19" t="n">
        <f aca="false">'2. Margin vs Return on Capital'!B16</f>
        <v>2000000</v>
      </c>
      <c r="D11" s="29" t="str">
        <f aca="false">IF(ISNUMBER(C11)=FALSE(),"CHECK",IF(ABS(C11-B11)&lt;=500,"OK","CHECK"))</f>
        <v>OK</v>
      </c>
      <c r="E11" s="9" t="s">
        <v>138</v>
      </c>
    </row>
    <row r="12" customFormat="false" ht="15" hidden="false" customHeight="false" outlineLevel="0" collapsed="false">
      <c r="A12" s="9" t="s">
        <v>141</v>
      </c>
      <c r="B12" s="19" t="n">
        <v>6000000</v>
      </c>
      <c r="C12" s="19" t="n">
        <f aca="false">'2. Margin vs Return on Capital'!C16</f>
        <v>6000000</v>
      </c>
      <c r="D12" s="29" t="str">
        <f aca="false">IF(ISNUMBER(C12)=FALSE(),"CHECK",IF(ABS(C12-B12)&lt;=500,"OK","CHECK"))</f>
        <v>OK</v>
      </c>
      <c r="E12" s="9" t="s">
        <v>138</v>
      </c>
    </row>
    <row r="13" customFormat="false" ht="15" hidden="false" customHeight="false" outlineLevel="0" collapsed="false">
      <c r="A13" s="9" t="s">
        <v>142</v>
      </c>
      <c r="B13" s="23" t="n">
        <v>0.331</v>
      </c>
      <c r="C13" s="23" t="n">
        <f aca="false">'2. Margin vs Return on Capital'!B17</f>
        <v>0.33125</v>
      </c>
      <c r="D13" s="29" t="str">
        <f aca="false">IF(ISNUMBER(C13)=FALSE(),"CHECK",IF(ABS(C13-B13)&lt;=0.002,"OK","CHECK"))</f>
        <v>OK</v>
      </c>
      <c r="E13" s="9" t="s">
        <v>143</v>
      </c>
    </row>
    <row r="14" customFormat="false" ht="15" hidden="false" customHeight="false" outlineLevel="0" collapsed="false">
      <c r="A14" s="9" t="s">
        <v>144</v>
      </c>
      <c r="B14" s="23" t="n">
        <v>0.365</v>
      </c>
      <c r="C14" s="23" t="n">
        <f aca="false">'2. Margin vs Return on Capital'!C17</f>
        <v>0.365277777777778</v>
      </c>
      <c r="D14" s="29" t="str">
        <f aca="false">IF(ISNUMBER(C14)=FALSE(),"CHECK",IF(ABS(C14-B14)&lt;=0.002,"OK","CHECK"))</f>
        <v>OK</v>
      </c>
      <c r="E14" s="9" t="s">
        <v>143</v>
      </c>
    </row>
    <row r="15" customFormat="false" ht="15" hidden="false" customHeight="false" outlineLevel="0" collapsed="false">
      <c r="A15" s="9" t="s">
        <v>145</v>
      </c>
      <c r="B15" s="30" t="n">
        <v>2.75</v>
      </c>
      <c r="C15" s="30" t="n">
        <f aca="false">'2. Margin vs Return on Capital'!B19</f>
        <v>2.75</v>
      </c>
      <c r="D15" s="29" t="str">
        <f aca="false">IF(ISNUMBER(C15)=FALSE(),"CHECK",IF(ABS(C15-B15)&lt;=0.02,"OK","CHECK"))</f>
        <v>OK</v>
      </c>
      <c r="E15" s="9" t="s">
        <v>146</v>
      </c>
    </row>
    <row r="16" customFormat="false" ht="15" hidden="false" customHeight="false" outlineLevel="0" collapsed="false">
      <c r="A16" s="9" t="s">
        <v>147</v>
      </c>
      <c r="B16" s="30" t="n">
        <v>1.1</v>
      </c>
      <c r="C16" s="30" t="n">
        <f aca="false">'2. Margin vs Return on Capital'!B20</f>
        <v>1.10272536687631</v>
      </c>
      <c r="D16" s="29" t="str">
        <f aca="false">IF(ISNUMBER(C16)=FALSE(),"CHECK",IF(ABS(C16-B16)&lt;=0.02,"OK","CHECK"))</f>
        <v>OK</v>
      </c>
      <c r="E16" s="9" t="s">
        <v>146</v>
      </c>
    </row>
    <row r="17" customFormat="false" ht="15" hidden="false" customHeight="false" outlineLevel="0" collapsed="false">
      <c r="A17" s="9" t="s">
        <v>148</v>
      </c>
      <c r="B17" s="19" t="n">
        <v>750000</v>
      </c>
      <c r="C17" s="19" t="n">
        <f aca="false">'4. The Floor'!B8</f>
        <v>750000</v>
      </c>
      <c r="D17" s="29" t="str">
        <f aca="false">IF(ISNUMBER(C17)=FALSE(),"CHECK",IF(ABS(C17-B17)&lt;=500,"OK","CHECK"))</f>
        <v>OK</v>
      </c>
      <c r="E17" s="9" t="s">
        <v>138</v>
      </c>
    </row>
    <row r="18" customFormat="false" ht="15" hidden="false" customHeight="false" outlineLevel="0" collapsed="false">
      <c r="A18" s="9" t="s">
        <v>149</v>
      </c>
      <c r="B18" s="23" t="n">
        <v>0.75</v>
      </c>
      <c r="C18" s="23" t="n">
        <f aca="false">'4. The Floor'!D8</f>
        <v>0.75</v>
      </c>
      <c r="D18" s="29" t="str">
        <f aca="false">IF(ISNUMBER(C18)=FALSE(),"CHECK",IF(ABS(C18-B18)&lt;=0.005,"OK","CHECK"))</f>
        <v>OK</v>
      </c>
      <c r="E18" s="9" t="s">
        <v>150</v>
      </c>
    </row>
    <row r="19" customFormat="false" ht="15" hidden="false" customHeight="false" outlineLevel="0" collapsed="false">
      <c r="A19" s="9" t="s">
        <v>151</v>
      </c>
      <c r="B19" s="23" t="n">
        <v>0.331</v>
      </c>
      <c r="C19" s="23" t="n">
        <f aca="false">'5. Early Repayment'!E6</f>
        <v>0.33125</v>
      </c>
      <c r="D19" s="29" t="str">
        <f aca="false">IF(ISNUMBER(C19)=FALSE(),"CHECK",IF(ABS(C19-B19)&lt;=0.003,"OK","CHECK"))</f>
        <v>OK</v>
      </c>
      <c r="E19" s="9" t="s">
        <v>152</v>
      </c>
    </row>
    <row r="20" customFormat="false" ht="15" hidden="false" customHeight="false" outlineLevel="0" collapsed="false">
      <c r="A20" s="9" t="s">
        <v>153</v>
      </c>
      <c r="B20" s="23" t="n">
        <v>0.384</v>
      </c>
      <c r="C20" s="23" t="n">
        <f aca="false">'5. Early Repayment'!E8</f>
        <v>0.38375</v>
      </c>
      <c r="D20" s="29" t="str">
        <f aca="false">IF(ISNUMBER(C20)=FALSE(),"CHECK",IF(ABS(C20-B20)&lt;=0.003,"OK","CHECK"))</f>
        <v>OK</v>
      </c>
      <c r="E20" s="9" t="s">
        <v>154</v>
      </c>
    </row>
    <row r="21" customFormat="false" ht="15" hidden="false" customHeight="false" outlineLevel="0" collapsed="false">
      <c r="A21" s="9" t="s">
        <v>85</v>
      </c>
      <c r="B21" s="31" t="n">
        <v>0.0436</v>
      </c>
      <c r="C21" s="31" t="n">
        <f aca="false">'3. Where B Breaks'!B14</f>
        <v>0.0436111111111111</v>
      </c>
      <c r="D21" s="29" t="str">
        <f aca="false">IF(ISNUMBER(C21)=FALSE(),"CHECK",IF(ABS(C21-B21)&lt;=0.0001,"OK","CHECK"))</f>
        <v>OK</v>
      </c>
      <c r="E21" s="9" t="s">
        <v>155</v>
      </c>
    </row>
    <row r="22" customFormat="false" ht="15" hidden="false" customHeight="false" outlineLevel="0" collapsed="false">
      <c r="A22" s="9" t="s">
        <v>156</v>
      </c>
      <c r="B22" s="32" t="n">
        <v>1.45</v>
      </c>
      <c r="C22" s="32" t="n">
        <f aca="false">'3. Where B Breaks'!B15</f>
        <v>1.4537037037037</v>
      </c>
      <c r="D22" s="29" t="str">
        <f aca="false">IF(ISNUMBER(C22)=FALSE(),"CHECK",IF(ABS(C22-B22)&lt;=0.01,"OK","CHECK"))</f>
        <v>OK</v>
      </c>
      <c r="E22" s="9" t="s">
        <v>157</v>
      </c>
    </row>
    <row r="23" customFormat="false" ht="15" hidden="false" customHeight="false" outlineLevel="0" collapsed="false">
      <c r="A23" s="9" t="s">
        <v>158</v>
      </c>
      <c r="B23" s="32" t="n">
        <v>5.7</v>
      </c>
      <c r="C23" s="32" t="n">
        <f aca="false">'3. Where B Breaks'!C29</f>
        <v>5.72222222222223</v>
      </c>
      <c r="D23" s="29" t="str">
        <f aca="false">IF(ISNUMBER(C23)=FALSE(),"CHECK",IF(ABS(C23-B23)&lt;=0.05,"OK","CHECK"))</f>
        <v>OK</v>
      </c>
      <c r="E23" s="9" t="s">
        <v>159</v>
      </c>
    </row>
    <row r="24" customFormat="false" ht="15" hidden="false" customHeight="false" outlineLevel="0" collapsed="false">
      <c r="A24" s="9" t="s">
        <v>160</v>
      </c>
      <c r="B24" s="28" t="n">
        <v>13</v>
      </c>
      <c r="C24" s="28" t="n">
        <f aca="false">'5. Early Repayment'!B25-'5. Early Repayment'!B17*10000/3.5</f>
        <v>12.8571428571429</v>
      </c>
      <c r="D24" s="29" t="str">
        <f aca="false">IF(ISNUMBER(C24)=FALSE(),"CHECK",IF(ABS(C24-B24)&lt;=0.5,"OK","CHECK"))</f>
        <v>OK</v>
      </c>
      <c r="E24" s="9" t="s">
        <v>133</v>
      </c>
    </row>
    <row r="25" customFormat="false" ht="15" hidden="false" customHeight="false" outlineLevel="0" collapsed="false">
      <c r="A25" s="9" t="s">
        <v>161</v>
      </c>
      <c r="B25" s="28" t="n">
        <v>41</v>
      </c>
      <c r="C25" s="28" t="n">
        <f aca="false">'5. Early Repayment'!B25-'5. Early Repayment'!B17*10000/3.5+'5. Early Repayment'!B26</f>
        <v>41.4285714285714</v>
      </c>
      <c r="D25" s="29" t="str">
        <f aca="false">IF(ISNUMBER(C25)=FALSE(),"CHECK",IF(ABS(C25-B25)&lt;=0.5,"OK","CHECK"))</f>
        <v>OK</v>
      </c>
      <c r="E25" s="9" t="s">
        <v>133</v>
      </c>
    </row>
    <row r="26" customFormat="false" ht="15" hidden="false" customHeight="false" outlineLevel="0" collapsed="false">
      <c r="A26" s="9" t="s">
        <v>162</v>
      </c>
      <c r="B26" s="28" t="n">
        <v>70</v>
      </c>
      <c r="C26" s="28" t="n">
        <f aca="false">'5. Early Repayment'!B25-'5. Early Repayment'!B17*10000/3.5+2*'5. Early Repayment'!B26</f>
        <v>70</v>
      </c>
      <c r="D26" s="29" t="str">
        <f aca="false">IF(ISNUMBER(C26)=FALSE(),"CHECK",IF(ABS(C26-B26)&lt;=0.5,"OK","CHECK"))</f>
        <v>OK</v>
      </c>
      <c r="E26" s="9" t="s">
        <v>133</v>
      </c>
    </row>
    <row r="27" customFormat="false" ht="15" hidden="false" customHeight="false" outlineLevel="0" collapsed="false">
      <c r="A27" s="9" t="s">
        <v>163</v>
      </c>
      <c r="B27" s="31" t="n">
        <v>0</v>
      </c>
      <c r="C27" s="31" t="n">
        <f aca="false">'5. Early Repayment'!E6-'2. Margin vs Return on Capital'!B17</f>
        <v>0</v>
      </c>
      <c r="D27" s="29" t="str">
        <f aca="false">IF(ISNUMBER(C27)=FALSE(),"CHECK",IF(ABS(C27-B27)&lt;=0.000000001,"OK","CHECK"))</f>
        <v>OK</v>
      </c>
      <c r="E27" s="9" t="s">
        <v>164</v>
      </c>
    </row>
    <row r="29" customFormat="false" ht="15" hidden="false" customHeight="false" outlineLevel="0" collapsed="false">
      <c r="A29" s="15" t="s">
        <v>165</v>
      </c>
      <c r="B29" s="33" t="n">
        <f aca="false">COUNTIF(D5:D27,"OK")</f>
        <v>23</v>
      </c>
      <c r="C29" s="33" t="n">
        <f aca="false">COUNTA(D5:D27)</f>
        <v>23</v>
      </c>
      <c r="D29" s="34" t="str">
        <f aca="false">IF(B29=C29,"ALL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2026-08-22T08:01:35Z</dcterms:created>
  <dc:creator>openpyxl</dc:creator>
  <dc:description/>
  <dc:language>en-US</dc:language>
  <cp:lastModifiedBy/>
  <dcterms:modified xsi:type="dcterms:W3CDTF">2026-09-23T20:56:15Z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