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Me" sheetId="1" state="visible" r:id="rId3"/>
    <sheet name="Summary" sheetId="2" state="visible" r:id="rId4"/>
    <sheet name="Assumptions" sheetId="3" state="visible" r:id="rId5"/>
    <sheet name="Rent Roll" sheetId="4" state="visible" r:id="rId6"/>
    <sheet name="Cash Flow" sheetId="5" state="visible" r:id="rId7"/>
    <sheet name="Debt" sheetId="6" state="visible" r:id="rId8"/>
    <sheet name="Returns" sheetId="7" state="visible" r:id="rId9"/>
    <sheet name="Sensitivity" sheetId="8" state="visible" r:id="rId10"/>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<sst xmlns="http://schemas.openxmlformats.org/spreadsheetml/2006/main" count="295" uniqueCount="241">
  <si>
    <t xml:space="preserve">MERIDIAN HOUSE — COMPLETE WORKED MODEL</t>
  </si>
  <si>
    <t xml:space="preserve">Companion file to Real Estate Financial Modeling by Julian R. Sterling — Chapter 19</t>
  </si>
  <si>
    <t xml:space="preserve">What this file is</t>
  </si>
  <si>
    <t xml:space="preserve">This workbook rebuilds, in full, the Meridian House model worked through in Chapter 19. Every input from the one-page brief sits on the Assumptions sheet. Every number downstream is a formula. Nothing is typed twice.</t>
  </si>
  <si>
    <t xml:space="preserve">It follows the seven-sheet architecture set out in Chapter 2 — Summary, Assumptions, Rent Roll, Cash Flow, Debt, Returns, Sensitivity — in that order, because the order follows the flow of calculation.</t>
  </si>
  <si>
    <t xml:space="preserve">How to use it</t>
  </si>
  <si>
    <t xml:space="preserve">Open the Summary sheet first and read the six checks at the top. Then change one input on the Assumptions sheet — the exit yield is the instructive one — and watch what moves. That is the whole point of a model.</t>
  </si>
  <si>
    <t xml:space="preserve">Colour convention (Chapter 3)</t>
  </si>
  <si>
    <t xml:space="preserve">Blue text = a hardcoded input. You may edit these.</t>
  </si>
  <si>
    <t xml:space="preserve">Black text = a formula. Do not overtype these.</t>
  </si>
  <si>
    <t xml:space="preserve">Green text = a link to another sheet.</t>
  </si>
  <si>
    <t xml:space="preserve">Yellow fill = the assumptions that carry the answer. Sensitise these first.</t>
  </si>
  <si>
    <t xml:space="preserve">One honest note about the income engine</t>
  </si>
  <si>
    <t xml:space="preserve">The book publishes annual figures; the model behind them is quarterly. Rebuilding a quarterly lease-event engine from a printed annual table requires convention choices the text does not spell out — when exactly a rent-free period ends inside a quarter, whether a renewed rent indexes annually or stays fixed to the next review.</t>
  </si>
  <si>
    <t xml:space="preserve">So this workbook does two things at once. The Cash Flow sheet carries a live income engine built from the rent roll and the stated assumptions, and it carries the published Chapter 19 figures beside it with the variance shown. The engine lands within about 0.3% of the book across the hold. The Debt, Returns and Sensitivity sheets run off the published cash flow, so every headline number in Chapter 19 reproduces exactly.</t>
  </si>
  <si>
    <t xml:space="preserve">That visible variance is deliberate. Chapter 3, Rule 4: a model must contain checks, and they must be impossible to ignore. A companion file that quietly buried a 0.3% difference would be teaching the opposite of the book.</t>
  </si>
  <si>
    <t xml:space="preserve">Not investment advice. All figures are illustrative and the property is fictional.</t>
  </si>
  <si>
    <t xml:space="preserve">MERIDIAN HOUSE — INVESTMENT SUMMARY</t>
  </si>
  <si>
    <t xml:space="preserve">Built last, read first. Everything here is linked; nothing here is calculated (Chapter 2).</t>
  </si>
  <si>
    <t xml:space="preserve">CHECKS</t>
  </si>
  <si>
    <t xml:space="preserve">Sources equal uses</t>
  </si>
  <si>
    <t xml:space="preserve">NOI reconciles to the rent roll in year one</t>
  </si>
  <si>
    <t xml:space="preserve">Occupied plus vacant equals total area</t>
  </si>
  <si>
    <t xml:space="preserve">Exit value is consistent with yield and forward income</t>
  </si>
  <si>
    <t xml:space="preserve">Levered cash flow ties to unlevered less debt</t>
  </si>
  <si>
    <t xml:space="preserve">Income engine within tolerance of the book</t>
  </si>
  <si>
    <t xml:space="preserve">THE DEAL</t>
  </si>
  <si>
    <t xml:space="preserve">Purchase price</t>
  </si>
  <si>
    <t xml:space="preserve">Total cost including acquisition costs</t>
  </si>
  <si>
    <t xml:space="preserve">Area (sq m)</t>
  </si>
  <si>
    <t xml:space="preserve">All-in cost per sq m</t>
  </si>
  <si>
    <t xml:space="preserve">Occupancy at acquisition</t>
  </si>
  <si>
    <t xml:space="preserve">Passing rent</t>
  </si>
  <si>
    <t xml:space="preserve">Estimated rental value</t>
  </si>
  <si>
    <t xml:space="preserve">RETURNS</t>
  </si>
  <si>
    <t xml:space="preserve">Unlevered</t>
  </si>
  <si>
    <t xml:space="preserve">Levered</t>
  </si>
  <si>
    <t xml:space="preserve">Internal rate of return</t>
  </si>
  <si>
    <t xml:space="preserve">Equity multiple</t>
  </si>
  <si>
    <t xml:space="preserve">Total profit</t>
  </si>
  <si>
    <t xml:space="preserve">THE RECOMMENDATION</t>
  </si>
  <si>
    <t xml:space="preserve">Meridian House offers a levered return of about 11 percent and a 1.6 times multiple over five years, driven by letting the vacant fifth floor and growing income to a fully occupied 1.74 million by year six, and achieved despite assuming 53 basis points of exit yield widening. The return is most sensitive to the exit yield — 50 basis points is worth roughly 300 basis points of equity return — and the equity break-even sits at a 7.82 percent exit yield, which is 207 basis points of headroom. The principal risk is tenant B, which is nine percent over-rented with two years to run: in the downside case the debt yield covenant is breached in year three and distributions are trapped, so we would want the lender covenant set at 8.5 rather than 9 percent, and we would want to open a renewal conversation with B within the first six months of ownership.</t>
  </si>
  <si>
    <t xml:space="preserve">A number, its driver, its sensitivity, its break-even, its specific risk, and two actions. Note also what it does not contain — the word conservative, any adjective at all, and any claim to precision beyond two significant figures.</t>
  </si>
  <si>
    <t xml:space="preserve">ASSUMPTIONS</t>
  </si>
  <si>
    <t xml:space="preserve">Every input in the model lives here. Each carries a label, a unit, a value and a source (Chapter 3, Rule 6).</t>
  </si>
  <si>
    <t xml:space="preserve">Input</t>
  </si>
  <si>
    <t xml:space="preserve">Value</t>
  </si>
  <si>
    <t xml:space="preserve">Unit</t>
  </si>
  <si>
    <t xml:space="preserve">Source / reasoning</t>
  </si>
  <si>
    <t xml:space="preserve">PROPERTY AND PURCHASE</t>
  </si>
  <si>
    <t xml:space="preserve">Total lettable area</t>
  </si>
  <si>
    <t xml:space="preserve">sq m</t>
  </si>
  <si>
    <t xml:space="preserve">Brief. Four units, 2004 build, refurbished 2016.</t>
  </si>
  <si>
    <t xml:space="preserve">currency</t>
  </si>
  <si>
    <t xml:space="preserve">Asking price in the brief.</t>
  </si>
  <si>
    <t xml:space="preserve">Acquisition costs</t>
  </si>
  <si>
    <t xml:space="preserve">% of price</t>
  </si>
  <si>
    <t xml:space="preserve">Brief. Transfer tax, agent, legal, survey.</t>
  </si>
  <si>
    <t xml:space="preserve">Disposal costs</t>
  </si>
  <si>
    <t xml:space="preserve">% of gross proceeds</t>
  </si>
  <si>
    <t xml:space="preserve">Brief.</t>
  </si>
  <si>
    <t xml:space="preserve">Hold period</t>
  </si>
  <si>
    <t xml:space="preserve">years</t>
  </si>
  <si>
    <t xml:space="preserve">MARKET AND GROWTH</t>
  </si>
  <si>
    <t xml:space="preserve">Market rent (ERV)</t>
  </si>
  <si>
    <t xml:space="preserve">per sq m / yr</t>
  </si>
  <si>
    <t xml:space="preserve">Agent's evidence, per the brief. Applied to all four units.</t>
  </si>
  <si>
    <t xml:space="preserve">Rental growth</t>
  </si>
  <si>
    <t xml:space="preserve">% per year</t>
  </si>
  <si>
    <t xml:space="preserve">Cost inflation</t>
  </si>
  <si>
    <t xml:space="preserve">Brief. Costs inflate faster than rents — the historical pattern, and the one most models get backwards (Ch.19, Step 2).</t>
  </si>
  <si>
    <t xml:space="preserve">OPERATING COSTS AND RECOVERY</t>
  </si>
  <si>
    <t xml:space="preserve">Recoverable operating cost</t>
  </si>
  <si>
    <t xml:space="preserve">Non-recoverable operating cost</t>
  </si>
  <si>
    <t xml:space="preserve">Void cost on empty space</t>
  </si>
  <si>
    <t xml:space="preserve">Brief. Rates, security, heating, service charge on the void.</t>
  </si>
  <si>
    <t xml:space="preserve">Recovery leakage factor</t>
  </si>
  <si>
    <t xml:space="preserve">% of recoverable</t>
  </si>
  <si>
    <t xml:space="preserve">Ch.19, Step 2. Applied on top of occupancy.</t>
  </si>
  <si>
    <t xml:space="preserve">LEASING — UNIT D (VACANT)</t>
  </si>
  <si>
    <t xml:space="preserve">Time to let</t>
  </si>
  <si>
    <t xml:space="preserve">months from acquisition</t>
  </si>
  <si>
    <t xml:space="preserve">Ch.19, Step 2.</t>
  </si>
  <si>
    <t xml:space="preserve">Rent-free on letting</t>
  </si>
  <si>
    <t xml:space="preserve">months</t>
  </si>
  <si>
    <t xml:space="preserve">Fit-out contribution</t>
  </si>
  <si>
    <t xml:space="preserve">per sq m</t>
  </si>
  <si>
    <t xml:space="preserve">Letting commission</t>
  </si>
  <si>
    <t xml:space="preserve">% of first-year rent</t>
  </si>
  <si>
    <t xml:space="preserve">LEASING — TENANT B AT EXPIRY</t>
  </si>
  <si>
    <t xml:space="preserve">Renewal probability</t>
  </si>
  <si>
    <t xml:space="preserve">%</t>
  </si>
  <si>
    <t xml:space="preserve">Ch.19, Step 2. The second assumption to sensitise, after the exit yield.</t>
  </si>
  <si>
    <t xml:space="preserve">Renewal — rent-free</t>
  </si>
  <si>
    <t xml:space="preserve">Renewal branch. Rent re-bases to market.</t>
  </si>
  <si>
    <t xml:space="preserve">Renewal — works</t>
  </si>
  <si>
    <t xml:space="preserve">Renewal branch.</t>
  </si>
  <si>
    <t xml:space="preserve">Renewal — commission</t>
  </si>
  <si>
    <t xml:space="preserve">Re-letting — downtime</t>
  </si>
  <si>
    <t xml:space="preserve">Re-letting branch.</t>
  </si>
  <si>
    <t xml:space="preserve">Re-letting — rent-free</t>
  </si>
  <si>
    <t xml:space="preserve">Re-letting — works</t>
  </si>
  <si>
    <t xml:space="preserve">Re-letting — commission</t>
  </si>
  <si>
    <t xml:space="preserve">CAPITAL EXPENDITURE</t>
  </si>
  <si>
    <t xml:space="preserve">Building capex allowance</t>
  </si>
  <si>
    <t xml:space="preserve">% of gross rent / yr</t>
  </si>
  <si>
    <t xml:space="preserve">Ch.19, Step 2. An allowance, because the survey identifies nothing specific.</t>
  </si>
  <si>
    <t xml:space="preserve">DEBT</t>
  </si>
  <si>
    <t xml:space="preserve">Loan-to-value limit</t>
  </si>
  <si>
    <t xml:space="preserve">Interest rate</t>
  </si>
  <si>
    <t xml:space="preserve">% per year, interest-only</t>
  </si>
  <si>
    <t xml:space="preserve">Minimum interest cover</t>
  </si>
  <si>
    <t xml:space="preserve">x</t>
  </si>
  <si>
    <t xml:space="preserve">Lender test (Ch.10).</t>
  </si>
  <si>
    <t xml:space="preserve">Minimum debt yield</t>
  </si>
  <si>
    <t xml:space="preserve">Arrangement fee</t>
  </si>
  <si>
    <t xml:space="preserve">% of loan</t>
  </si>
  <si>
    <t xml:space="preserve">Ch.19, Step 5.</t>
  </si>
  <si>
    <t xml:space="preserve">EXIT</t>
  </si>
  <si>
    <t xml:space="preserve">Exit yield</t>
  </si>
  <si>
    <t xml:space="preserve">Ch.19, Step 4. 53 bp wider than entry NIY: the building is five years older and tenant A has one year to run at exit.</t>
  </si>
  <si>
    <t xml:space="preserve">RENT ROLL</t>
  </si>
  <si>
    <t xml:space="preserve">A record of what is contractually true today. This is a data sheet and it should look like one (Chapter 5).</t>
  </si>
  <si>
    <t xml:space="preserve">Floors</t>
  </si>
  <si>
    <t xml:space="preserve">Rent per sq m</t>
  </si>
  <si>
    <t xml:space="preserve">ERV per sq m</t>
  </si>
  <si>
    <t xml:space="preserve">ERV</t>
  </si>
  <si>
    <t xml:space="preserve">Years to expiry</t>
  </si>
  <si>
    <t xml:space="preserve">Vs market</t>
  </si>
  <si>
    <t xml:space="preserve">Tenant A</t>
  </si>
  <si>
    <t xml:space="preserve">Ground and first</t>
  </si>
  <si>
    <t xml:space="preserve">Tenant B</t>
  </si>
  <si>
    <t xml:space="preserve">Second and third</t>
  </si>
  <si>
    <t xml:space="preserve">Tenant C</t>
  </si>
  <si>
    <t xml:space="preserve">Fourth</t>
  </si>
  <si>
    <t xml:space="preserve">Unit D</t>
  </si>
  <si>
    <t xml:space="preserve">Fifth</t>
  </si>
  <si>
    <t xml:space="preserve">Total</t>
  </si>
  <si>
    <t xml:space="preserve">Step 1 — read the rent roll before touching the keyboard</t>
  </si>
  <si>
    <t xml:space="preserve">Let area (sq m)</t>
  </si>
  <si>
    <t xml:space="preserve">Occupancy</t>
  </si>
  <si>
    <t xml:space="preserve">Gap: ERV less passing</t>
  </si>
  <si>
    <t xml:space="preserve">  of which the vacant floor</t>
  </si>
  <si>
    <t xml:space="preserve">  of which net of B over / C under</t>
  </si>
  <si>
    <t xml:space="preserve">This is a vacancy story, not a reversion story — and the risk is that tenant B, currently paying above market, re-bases downward in two years. Everything the model produces should be tested against that sentence (Chapter 19, Step 1).</t>
  </si>
  <si>
    <t xml:space="preserve">PROPERTY CASH FLOW</t>
  </si>
  <si>
    <t xml:space="preserve">Annual. Time runs across the columns, line items down the rows, one formula per row copied across without exception (Chapter 2 and Chapter 3, Rule 1).</t>
  </si>
  <si>
    <t xml:space="preserve">Year</t>
  </si>
  <si>
    <t xml:space="preserve">Flags — in hold / acquisition / exit</t>
  </si>
  <si>
    <t xml:space="preserve">INCOME ENGINE — built from the rent roll and the assumptions</t>
  </si>
  <si>
    <t xml:space="preserve">Tenant A — contracted rent</t>
  </si>
  <si>
    <t xml:space="preserve">Tenant C — contracted rent</t>
  </si>
  <si>
    <t xml:space="preserve">Tenant B — contracted rent</t>
  </si>
  <si>
    <t xml:space="preserve">Unit D — contracted rent</t>
  </si>
  <si>
    <t xml:space="preserve">Contracted rent</t>
  </si>
  <si>
    <t xml:space="preserve">Occupied area (sq m)</t>
  </si>
  <si>
    <t xml:space="preserve">Recoveries</t>
  </si>
  <si>
    <t xml:space="preserve">Total income</t>
  </si>
  <si>
    <t xml:space="preserve">Operating costs</t>
  </si>
  <si>
    <t xml:space="preserve">Void costs</t>
  </si>
  <si>
    <t xml:space="preserve">Net operating income — model</t>
  </si>
  <si>
    <t xml:space="preserve">NOI margin</t>
  </si>
  <si>
    <t xml:space="preserve">TIE-OUT TO CHAPTER 19</t>
  </si>
  <si>
    <t xml:space="preserve">NOI published in the book</t>
  </si>
  <si>
    <t xml:space="preserve">Variance vs model</t>
  </si>
  <si>
    <t xml:space="preserve">Check</t>
  </si>
  <si>
    <t xml:space="preserve">CAPITAL AND LEASING</t>
  </si>
  <si>
    <t xml:space="preserve">Building capex</t>
  </si>
  <si>
    <t xml:space="preserve">Unit D — fit-out and commission</t>
  </si>
  <si>
    <t xml:space="preserve">Tenant B — works and commission, blended</t>
  </si>
  <si>
    <t xml:space="preserve">Total leasing costs</t>
  </si>
  <si>
    <t xml:space="preserve">UNLEVERED CASH FLOW</t>
  </si>
  <si>
    <t xml:space="preserve">Acquisition — price and costs</t>
  </si>
  <si>
    <t xml:space="preserve">Net sale proceeds</t>
  </si>
  <si>
    <t xml:space="preserve">Unlevered cash flow — published (Ch.19)</t>
  </si>
  <si>
    <t xml:space="preserve">The Debt, Returns and Sensitivity sheets run off this published row, so every headline figure in Chapter 19 reproduces exactly. The engine above is the live rebuild; its variance is shown so you can see it rather than take it on trust.</t>
  </si>
  <si>
    <t xml:space="preserve">(unused)</t>
  </si>
  <si>
    <t xml:space="preserve">Tenant B market rent at Y3 review</t>
  </si>
  <si>
    <t xml:space="preserve">Unit D market rent at letting (Y2)</t>
  </si>
  <si>
    <t xml:space="preserve">Three sizing tests, always all three. The binding test is a fact about the rate environment, not about the building (Chapter 10 and Chapter 19, Step 5).</t>
  </si>
  <si>
    <t xml:space="preserve">SIZING — the three tests</t>
  </si>
  <si>
    <t xml:space="preserve">Year-one net operating income</t>
  </si>
  <si>
    <t xml:space="preserve">By loan-to-value</t>
  </si>
  <si>
    <t xml:space="preserve">By interest cover</t>
  </si>
  <si>
    <t xml:space="preserve">By debt yield</t>
  </si>
  <si>
    <t xml:space="preserve">Loan — the binding test</t>
  </si>
  <si>
    <t xml:space="preserve">Binding constraint</t>
  </si>
  <si>
    <t xml:space="preserve">At this interest rate the coverage test is not remotely binding — it would permit a loan 60 percent larger. Move the rate to 7.8 percent and coverage becomes the constraint. Try it on the Assumptions sheet.</t>
  </si>
  <si>
    <t xml:space="preserve">FUNDING AT CLOSE</t>
  </si>
  <si>
    <t xml:space="preserve">Total acquisition cost</t>
  </si>
  <si>
    <t xml:space="preserve">Equity at close</t>
  </si>
  <si>
    <t xml:space="preserve">Loan to total cost</t>
  </si>
  <si>
    <t xml:space="preserve">Annual interest, interest-only</t>
  </si>
  <si>
    <t xml:space="preserve">COVENANT TESTS THROUGH THE HOLD</t>
  </si>
  <si>
    <t xml:space="preserve">Net operating income (model)</t>
  </si>
  <si>
    <t xml:space="preserve">Interest</t>
  </si>
  <si>
    <t xml:space="preserve">Interest cover</t>
  </si>
  <si>
    <t xml:space="preserve">Debt yield</t>
  </si>
  <si>
    <t xml:space="preserve">Covenant check</t>
  </si>
  <si>
    <t xml:space="preserve">Minimum through the hold</t>
  </si>
  <si>
    <t xml:space="preserve">The tightest coverage year coincides with the tenant B expiry — which is the correct place for the worst covenant year to fall, and a useful thing to be able to point at.</t>
  </si>
  <si>
    <t xml:space="preserve">RETURNS AND ATTRIBUTION</t>
  </si>
  <si>
    <t xml:space="preserve">Unlevered and levered, always both. Leverage does not create profit; it concentrates a smaller profit onto a smaller equity base (Chapter 9).</t>
  </si>
  <si>
    <t xml:space="preserve">THE EXIT</t>
  </si>
  <si>
    <t xml:space="preserve">Forward net operating income (year 6)</t>
  </si>
  <si>
    <t xml:space="preserve">Gross proceeds at exit yield</t>
  </si>
  <si>
    <t xml:space="preserve">Net sale proceeds after disposal costs</t>
  </si>
  <si>
    <t xml:space="preserve">YIELDS AT ENTRY</t>
  </si>
  <si>
    <t xml:space="preserve">Gross initial yield</t>
  </si>
  <si>
    <t xml:space="preserve">Net initial yield</t>
  </si>
  <si>
    <t xml:space="preserve">Exit yield less entry net initial yield (bp)</t>
  </si>
  <si>
    <t xml:space="preserve">CASH FLOWS</t>
  </si>
  <si>
    <t xml:space="preserve">Unlevered cash flow</t>
  </si>
  <si>
    <t xml:space="preserve">Debt drawn / repaid</t>
  </si>
  <si>
    <t xml:space="preserve">Levered equity cash flow</t>
  </si>
  <si>
    <t xml:space="preserve">RETURN METRICS</t>
  </si>
  <si>
    <t xml:space="preserve">Year-one cash-on-cash</t>
  </si>
  <si>
    <t xml:space="preserve">Leverage adds (bp of IRR)</t>
  </si>
  <si>
    <t xml:space="preserve">ATTRIBUTION — where the return came from</t>
  </si>
  <si>
    <t xml:space="preserve">Income received over the hold</t>
  </si>
  <si>
    <t xml:space="preserve">Capital gain on exit vs total cost</t>
  </si>
  <si>
    <t xml:space="preserve">Total unlevered profit</t>
  </si>
  <si>
    <t xml:space="preserve">Cost of the assumed yield widening</t>
  </si>
  <si>
    <t xml:space="preserve">The return is driven by income — letting the vacant floor and growing rents — and it is achieved despite an assumed 53 basis points of yield widening, which costs roughly three million.</t>
  </si>
  <si>
    <t xml:space="preserve">SENSITIVITY, SCENARIOS AND BREAK-EVENS</t>
  </si>
  <si>
    <t xml:space="preserve">Sensitivity moves one variable. A scenario moves a coherent set. A stress solves for failure. They are not the same thing (Chapter 15).</t>
  </si>
  <si>
    <t xml:space="preserve">EXIT YIELD — the dominant assumption</t>
  </si>
  <si>
    <t xml:space="preserve">Levered equity, year 5</t>
  </si>
  <si>
    <t xml:space="preserve">Levered IRR</t>
  </si>
  <si>
    <t xml:space="preserve">Fifty basis points of exit yield is worth roughly 300 basis points of levered return. Nothing in the leasing assumptions comes close, which is the honest answer to what drives this deal.</t>
  </si>
  <si>
    <t xml:space="preserve">SCENARIOS — published in Chapter 19</t>
  </si>
  <si>
    <t xml:space="preserve">Downside</t>
  </si>
  <si>
    <t xml:space="preserve">Base</t>
  </si>
  <si>
    <t xml:space="preserve">Upside</t>
  </si>
  <si>
    <t xml:space="preserve">NOI vs base</t>
  </si>
  <si>
    <t xml:space="preserve">Exit loan-to-value</t>
  </si>
  <si>
    <t xml:space="preserve">In the downside the debt yield reaches 8.90 percent in year three, against a 9 percent covenant. The equity is not lost — the multiple is still above one — but distributions would be trapped. A model without covenant logic would have shown a positive return with no indication that the lender had taken control of the cash.</t>
  </si>
  <si>
    <t xml:space="preserve">BREAK-EVEN</t>
  </si>
  <si>
    <t xml:space="preserve">Exit yield at which the equity earns nothing</t>
  </si>
  <si>
    <t xml:space="preserve">Headroom from base (bp)</t>
  </si>
  <si>
    <t xml:space="preserve">That is a wide margin, and it is the sentence to lead with in the recommendation.</t>
  </si>
</sst>
</file>

<file path=xl/styles.xml><?xml version="1.0" encoding="utf-8"?>
<styleSheet xmlns="http://schemas.openxmlformats.org/spreadsheetml/2006/main">
  <numFmts count="8">
    <numFmt numFmtId="164" formatCode="General"/>
    <numFmt numFmtId="165" formatCode="#,##0;\(#,##0\);\-"/>
    <numFmt numFmtId="166" formatCode="#,##0"/>
    <numFmt numFmtId="167" formatCode="0.0%"/>
    <numFmt numFmtId="168" formatCode="0.00%"/>
    <numFmt numFmtId="169" formatCode="0.00\x"/>
    <numFmt numFmtId="170" formatCode="#,##0.00;\(#,##0.00\);\-"/>
    <numFmt numFmtId="171" formatCode="0"/>
  </numFmts>
  <fonts count="12">
    <font>
      <sz val="11"/>
      <color theme="1"/>
      <name val="Calibri"/>
      <family val="2"/>
      <charset val="1"/>
    </font>
    <font>
      <sz val="10"/>
      <name val="Arial"/>
      <family val="0"/>
    </font>
    <font>
      <sz val="10"/>
      <name val="Arial"/>
      <family val="0"/>
    </font>
    <font>
      <sz val="10"/>
      <name val="Arial"/>
      <family val="0"/>
    </font>
    <font>
      <b val="true"/>
      <sz val="14"/>
      <color rgb="FF1F3864"/>
      <name val="Arial"/>
      <family val="0"/>
      <charset val="1"/>
    </font>
    <font>
      <i val="true"/>
      <sz val="9"/>
      <color rgb="FF595959"/>
      <name val="Arial"/>
      <family val="0"/>
      <charset val="1"/>
    </font>
    <font>
      <b val="true"/>
      <sz val="11"/>
      <color rgb="FF1F3864"/>
      <name val="Arial"/>
      <family val="0"/>
      <charset val="1"/>
    </font>
    <font>
      <sz val="10"/>
      <name val="Arial"/>
      <family val="0"/>
      <charset val="1"/>
    </font>
    <font>
      <sz val="10"/>
      <color rgb="FF0000FF"/>
      <name val="Arial"/>
      <family val="0"/>
      <charset val="1"/>
    </font>
    <font>
      <sz val="10"/>
      <color rgb="FF008000"/>
      <name val="Arial"/>
      <family val="0"/>
      <charset val="1"/>
    </font>
    <font>
      <b val="true"/>
      <sz val="10"/>
      <name val="Arial"/>
      <family val="0"/>
      <charset val="1"/>
    </font>
    <font>
      <b val="true"/>
      <sz val="10"/>
      <color rgb="FFFFFFFF"/>
      <name val="Arial"/>
      <family val="0"/>
      <charset val="1"/>
    </font>
  </fonts>
  <fills count="6">
    <fill>
      <patternFill patternType="none"/>
    </fill>
    <fill>
      <patternFill patternType="gray125"/>
    </fill>
    <fill>
      <patternFill patternType="solid">
        <fgColor rgb="FFE2EFDA"/>
        <bgColor rgb="FFEEF2F8"/>
      </patternFill>
    </fill>
    <fill>
      <patternFill patternType="solid">
        <fgColor rgb="FF1F3864"/>
        <bgColor rgb="FF333333"/>
      </patternFill>
    </fill>
    <fill>
      <patternFill patternType="solid">
        <fgColor rgb="FFEEF2F8"/>
        <bgColor rgb="FFE2EFDA"/>
      </patternFill>
    </fill>
    <fill>
      <patternFill patternType="solid">
        <fgColor rgb="FFFFFF00"/>
        <bgColor rgb="FFFFFF00"/>
      </patternFill>
    </fill>
  </fills>
  <borders count="2">
    <border diagonalUp="false" diagonalDown="false">
      <left/>
      <right/>
      <top/>
      <bottom/>
      <diagonal/>
    </border>
    <border diagonalUp="false" diagonalDown="false">
      <left/>
      <right/>
      <top style="thin">
        <color rgb="FFBFBFBF"/>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9" fillId="0" borderId="0" xfId="0" applyFont="true" applyBorder="false" applyAlignment="true" applyProtection="false">
      <alignment horizontal="general" vertical="top" textRotation="0" wrapText="tru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10" fillId="2" borderId="0" xfId="0" applyFont="true" applyBorder="false" applyAlignment="true" applyProtection="false">
      <alignment horizontal="center" vertical="bottom" textRotation="0" wrapText="false" indent="0" shrinkToFit="false"/>
      <protection locked="true" hidden="false"/>
    </xf>
    <xf numFmtId="165" fontId="9" fillId="0" borderId="0" xfId="0" applyFont="true" applyBorder="false" applyAlignment="false" applyProtection="false">
      <alignment horizontal="general" vertical="bottom" textRotation="0" wrapText="false" indent="0" shrinkToFit="false"/>
      <protection locked="true" hidden="false"/>
    </xf>
    <xf numFmtId="166" fontId="9" fillId="0" borderId="0" xfId="0" applyFont="true" applyBorder="false" applyAlignment="false" applyProtection="false">
      <alignment horizontal="general" vertical="bottom" textRotation="0" wrapText="false" indent="0" shrinkToFit="false"/>
      <protection locked="true" hidden="false"/>
    </xf>
    <xf numFmtId="167" fontId="9" fillId="0" borderId="0" xfId="0" applyFont="true" applyBorder="false" applyAlignment="false" applyProtection="false">
      <alignment horizontal="general" vertical="bottom" textRotation="0" wrapText="false" indent="0" shrinkToFit="false"/>
      <protection locked="true" hidden="false"/>
    </xf>
    <xf numFmtId="164" fontId="11" fillId="3" borderId="0" xfId="0" applyFont="true" applyBorder="false" applyAlignment="false" applyProtection="false">
      <alignment horizontal="general" vertical="bottom" textRotation="0" wrapText="false" indent="0" shrinkToFit="false"/>
      <protection locked="true" hidden="false"/>
    </xf>
    <xf numFmtId="168" fontId="9" fillId="0" borderId="0" xfId="0" applyFont="true" applyBorder="false" applyAlignment="false" applyProtection="false">
      <alignment horizontal="general" vertical="bottom" textRotation="0" wrapText="false" indent="0" shrinkToFit="false"/>
      <protection locked="true" hidden="false"/>
    </xf>
    <xf numFmtId="169" fontId="9"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true" applyAlignment="true" applyProtection="false">
      <alignment horizontal="general" vertical="top" textRotation="0" wrapText="true" indent="0" shrinkToFit="false"/>
      <protection locked="true" hidden="false"/>
    </xf>
    <xf numFmtId="164" fontId="5" fillId="0" borderId="0" xfId="0" applyFont="true" applyBorder="true" applyAlignment="true" applyProtection="false">
      <alignment horizontal="general" vertical="top" textRotation="0" wrapText="true" indent="0" shrinkToFit="false"/>
      <protection locked="true" hidden="false"/>
    </xf>
    <xf numFmtId="164" fontId="6" fillId="4" borderId="0" xfId="0" applyFont="true" applyBorder="false" applyAlignment="false" applyProtection="false">
      <alignment horizontal="general" vertical="bottom" textRotation="0" wrapText="fals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5" fontId="8" fillId="0" borderId="0" xfId="0" applyFont="true" applyBorder="false" applyAlignment="false" applyProtection="false">
      <alignment horizontal="general" vertical="bottom" textRotation="0" wrapText="false" indent="0" shrinkToFit="false"/>
      <protection locked="true" hidden="false"/>
    </xf>
    <xf numFmtId="168" fontId="8" fillId="0" borderId="0" xfId="0" applyFont="true" applyBorder="false" applyAlignment="false" applyProtection="false">
      <alignment horizontal="general" vertical="bottom" textRotation="0" wrapText="false" indent="0" shrinkToFit="false"/>
      <protection locked="true" hidden="false"/>
    </xf>
    <xf numFmtId="168" fontId="8" fillId="5" borderId="0" xfId="0" applyFont="true" applyBorder="false" applyAlignment="false" applyProtection="false">
      <alignment horizontal="general" vertical="bottom" textRotation="0" wrapText="false" indent="0" shrinkToFit="false"/>
      <protection locked="true" hidden="false"/>
    </xf>
    <xf numFmtId="169" fontId="8" fillId="0" borderId="0" xfId="0" applyFont="true" applyBorder="false" applyAlignment="false" applyProtection="false">
      <alignment horizontal="general" vertical="bottom" textRotation="0" wrapText="false" indent="0" shrinkToFit="false"/>
      <protection locked="true" hidden="false"/>
    </xf>
    <xf numFmtId="164" fontId="11" fillId="3" borderId="0" xfId="0" applyFont="true" applyBorder="false" applyAlignment="true" applyProtection="false">
      <alignment horizontal="center" vertical="bottom" textRotation="0" wrapText="true" indent="0" shrinkToFit="false"/>
      <protection locked="true" hidden="false"/>
    </xf>
    <xf numFmtId="170" fontId="0" fillId="0" borderId="0" xfId="0" applyFont="false" applyBorder="false" applyAlignment="false" applyProtection="false">
      <alignment horizontal="general" vertical="bottom" textRotation="0" wrapText="false" indent="0" shrinkToFit="false"/>
      <protection locked="true" hidden="false"/>
    </xf>
    <xf numFmtId="170" fontId="9" fillId="0" borderId="0" xfId="0" applyFont="tru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5" fontId="10" fillId="0" borderId="1" xfId="0" applyFont="true" applyBorder="true" applyAlignment="false" applyProtection="false">
      <alignment horizontal="general" vertical="bottom" textRotation="0" wrapText="false" indent="0" shrinkToFit="false"/>
      <protection locked="true" hidden="false"/>
    </xf>
    <xf numFmtId="165" fontId="7" fillId="0" borderId="0" xfId="0" applyFont="true" applyBorder="false" applyAlignment="false" applyProtection="false">
      <alignment horizontal="general" vertical="bottom" textRotation="0" wrapText="false" indent="0" shrinkToFit="false"/>
      <protection locked="true" hidden="false"/>
    </xf>
    <xf numFmtId="167" fontId="7" fillId="0" borderId="0" xfId="0" applyFont="true" applyBorder="false" applyAlignment="false" applyProtection="false">
      <alignment horizontal="general" vertical="bottom" textRotation="0" wrapText="false" indent="0" shrinkToFit="false"/>
      <protection locked="true" hidden="false"/>
    </xf>
    <xf numFmtId="164" fontId="11" fillId="3" borderId="0" xfId="0" applyFont="true" applyBorder="false" applyAlignment="true" applyProtection="false">
      <alignment horizontal="center" vertical="bottom" textRotation="0" wrapText="false" indent="0" shrinkToFit="false"/>
      <protection locked="true" hidden="false"/>
    </xf>
    <xf numFmtId="164" fontId="5" fillId="0" borderId="0" xfId="0" applyFont="true" applyBorder="false" applyAlignment="true" applyProtection="false">
      <alignment horizontal="center" vertical="bottom" textRotation="0" wrapText="false" indent="0" shrinkToFit="false"/>
      <protection locked="true" hidden="false"/>
    </xf>
    <xf numFmtId="165" fontId="10" fillId="0" borderId="0" xfId="0" applyFont="true" applyBorder="false" applyAlignment="false" applyProtection="false">
      <alignment horizontal="general" vertical="bottom" textRotation="0" wrapText="false" indent="0" shrinkToFit="false"/>
      <protection locked="true" hidden="false"/>
    </xf>
    <xf numFmtId="168" fontId="0" fillId="0" borderId="0" xfId="0" applyFont="false" applyBorder="false" applyAlignment="false" applyProtection="false">
      <alignment horizontal="general" vertical="bottom" textRotation="0" wrapText="false" indent="0" shrinkToFit="false"/>
      <protection locked="true" hidden="false"/>
    </xf>
    <xf numFmtId="169" fontId="0" fillId="0" borderId="0" xfId="0" applyFont="false" applyBorder="false" applyAlignment="false" applyProtection="false">
      <alignment horizontal="general" vertical="bottom" textRotation="0" wrapText="false" indent="0" shrinkToFit="false"/>
      <protection locked="true" hidden="false"/>
    </xf>
    <xf numFmtId="171" fontId="0" fillId="0" borderId="0" xfId="0" applyFont="false" applyBorder="false" applyAlignment="false" applyProtection="false">
      <alignment horizontal="general" vertical="bottom" textRotation="0" wrapText="false" indent="0" shrinkToFit="false"/>
      <protection locked="true" hidden="false"/>
    </xf>
    <xf numFmtId="168" fontId="11" fillId="3" borderId="0" xfId="0" applyFont="true" applyBorder="false" applyAlignment="true" applyProtection="false">
      <alignment horizontal="center" vertical="bottom" textRotation="0" wrapText="false" indent="0" shrinkToFit="false"/>
      <protection locked="true" hidden="false"/>
    </xf>
    <xf numFmtId="168" fontId="10" fillId="0" borderId="0" xfId="0" applyFont="true" applyBorder="false" applyAlignment="false" applyProtection="false">
      <alignment horizontal="general" vertical="bottom" textRotation="0" wrapText="false" indent="0" shrinkToFit="false"/>
      <protection locked="true" hidden="false"/>
    </xf>
    <xf numFmtId="167" fontId="8"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EEF2F8"/>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1F3864"/>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2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104"/>
  </cols>
  <sheetData>
    <row r="2" customFormat="false" ht="17.35" hidden="false" customHeight="false" outlineLevel="0" collapsed="false">
      <c r="B2" s="1" t="s">
        <v>0</v>
      </c>
    </row>
    <row r="3" customFormat="false" ht="15" hidden="false" customHeight="false" outlineLevel="0" collapsed="false">
      <c r="B3" s="2" t="s">
        <v>1</v>
      </c>
    </row>
    <row r="5" customFormat="false" ht="15" hidden="false" customHeight="false" outlineLevel="0" collapsed="false">
      <c r="B5" s="3" t="s">
        <v>2</v>
      </c>
    </row>
    <row r="6" customFormat="false" ht="23.85" hidden="false" customHeight="false" outlineLevel="0" collapsed="false">
      <c r="B6" s="4" t="s">
        <v>3</v>
      </c>
    </row>
    <row r="7" customFormat="false" ht="15" hidden="false" customHeight="false" outlineLevel="0" collapsed="false">
      <c r="B7" s="4"/>
    </row>
    <row r="8" customFormat="false" ht="23.85" hidden="false" customHeight="false" outlineLevel="0" collapsed="false">
      <c r="B8" s="4" t="s">
        <v>4</v>
      </c>
    </row>
    <row r="9" customFormat="false" ht="15" hidden="false" customHeight="false" outlineLevel="0" collapsed="false">
      <c r="B9" s="4"/>
    </row>
    <row r="10" customFormat="false" ht="15" hidden="false" customHeight="false" outlineLevel="0" collapsed="false">
      <c r="B10" s="3" t="s">
        <v>5</v>
      </c>
    </row>
    <row r="11" customFormat="false" ht="23.85" hidden="false" customHeight="false" outlineLevel="0" collapsed="false">
      <c r="B11" s="4" t="s">
        <v>6</v>
      </c>
    </row>
    <row r="12" customFormat="false" ht="15" hidden="false" customHeight="false" outlineLevel="0" collapsed="false">
      <c r="B12" s="4"/>
    </row>
    <row r="13" customFormat="false" ht="15" hidden="false" customHeight="false" outlineLevel="0" collapsed="false">
      <c r="B13" s="3" t="s">
        <v>7</v>
      </c>
    </row>
    <row r="14" customFormat="false" ht="15" hidden="false" customHeight="false" outlineLevel="0" collapsed="false">
      <c r="B14" s="5" t="s">
        <v>8</v>
      </c>
    </row>
    <row r="15" customFormat="false" ht="15" hidden="false" customHeight="false" outlineLevel="0" collapsed="false">
      <c r="B15" s="4" t="s">
        <v>9</v>
      </c>
    </row>
    <row r="16" customFormat="false" ht="15" hidden="false" customHeight="false" outlineLevel="0" collapsed="false">
      <c r="B16" s="6" t="s">
        <v>10</v>
      </c>
    </row>
    <row r="17" customFormat="false" ht="15" hidden="false" customHeight="false" outlineLevel="0" collapsed="false">
      <c r="B17" s="4" t="s">
        <v>11</v>
      </c>
    </row>
    <row r="18" customFormat="false" ht="15" hidden="false" customHeight="false" outlineLevel="0" collapsed="false">
      <c r="B18" s="4"/>
    </row>
    <row r="19" customFormat="false" ht="15" hidden="false" customHeight="false" outlineLevel="0" collapsed="false">
      <c r="B19" s="3" t="s">
        <v>12</v>
      </c>
    </row>
    <row r="20" customFormat="false" ht="35.05" hidden="false" customHeight="false" outlineLevel="0" collapsed="false">
      <c r="B20" s="4" t="s">
        <v>13</v>
      </c>
    </row>
    <row r="21" customFormat="false" ht="15" hidden="false" customHeight="false" outlineLevel="0" collapsed="false">
      <c r="B21" s="4"/>
    </row>
    <row r="22" customFormat="false" ht="46.25" hidden="false" customHeight="false" outlineLevel="0" collapsed="false">
      <c r="B22" s="4" t="s">
        <v>14</v>
      </c>
    </row>
    <row r="23" customFormat="false" ht="15" hidden="false" customHeight="false" outlineLevel="0" collapsed="false">
      <c r="B23" s="4"/>
    </row>
    <row r="24" customFormat="false" ht="22.35" hidden="false" customHeight="false" outlineLevel="0" collapsed="false">
      <c r="B24" s="2" t="s">
        <v>15</v>
      </c>
    </row>
    <row r="25" customFormat="false" ht="15" hidden="false" customHeight="false" outlineLevel="0" collapsed="false">
      <c r="B25" s="4"/>
    </row>
    <row r="26" customFormat="false" ht="15" hidden="false" customHeight="false" outlineLevel="0" collapsed="false">
      <c r="B26" s="2" t="s">
        <v>16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F3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6"/>
    <col collapsed="false" customWidth="true" hidden="false" outlineLevel="0" max="6" min="3" style="0" width="17"/>
  </cols>
  <sheetData>
    <row r="2" customFormat="false" ht="17.35" hidden="false" customHeight="false" outlineLevel="0" collapsed="false">
      <c r="B2" s="7" t="s">
        <v>17</v>
      </c>
    </row>
    <row r="3" customFormat="false" ht="15" hidden="false" customHeight="false" outlineLevel="0" collapsed="false">
      <c r="B3" s="8" t="s">
        <v>18</v>
      </c>
    </row>
    <row r="5" customFormat="false" ht="15" hidden="false" customHeight="false" outlineLevel="0" collapsed="false">
      <c r="B5" s="9" t="s">
        <v>19</v>
      </c>
    </row>
    <row r="6" customFormat="false" ht="15" hidden="false" customHeight="false" outlineLevel="0" collapsed="false">
      <c r="B6" s="10" t="s">
        <v>20</v>
      </c>
      <c r="C6" s="11" t="str">
        <f aca="false">IF(ABS((Debt!$C$10+Debt!$C$18)-(Debt!$C$16+Debt!$C$10*Assumptions!$C$42))&lt;1,"OK","ERROR")</f>
        <v>OK</v>
      </c>
    </row>
    <row r="7" customFormat="false" ht="15" hidden="false" customHeight="false" outlineLevel="0" collapsed="false">
      <c r="B7" s="10" t="s">
        <v>21</v>
      </c>
      <c r="C7" s="11" t="str">
        <f aca="false">IF(ABS('Cash Flow'!$D$13-'Rent Roll'!$E$10)&lt;1,"OK","ERROR")</f>
        <v>OK</v>
      </c>
    </row>
    <row r="8" customFormat="false" ht="15" hidden="false" customHeight="false" outlineLevel="0" collapsed="false">
      <c r="B8" s="10" t="s">
        <v>22</v>
      </c>
      <c r="C8" s="11" t="str">
        <f aca="false">IF(ABS('Cash Flow'!$D$13*0+'Rent Roll'!$D$10-SUM('Rent Roll'!$D$6:$D$9))&lt;1,"OK","ERROR")</f>
        <v>OK</v>
      </c>
    </row>
    <row r="9" customFormat="false" ht="15" hidden="false" customHeight="false" outlineLevel="0" collapsed="false">
      <c r="B9" s="10" t="s">
        <v>23</v>
      </c>
      <c r="C9" s="11" t="str">
        <f aca="false">IF(ABS(Returns!$C$8/(1-Assumptions!$C$10)*Assumptions!$C$44-Returns!$C$6)&lt;1,"OK","ERROR")</f>
        <v>OK</v>
      </c>
    </row>
    <row r="10" customFormat="false" ht="15" hidden="false" customHeight="false" outlineLevel="0" collapsed="false">
      <c r="B10" s="10" t="s">
        <v>24</v>
      </c>
      <c r="C10" s="11" t="str">
        <f aca="false">IF(ABS(SUM(Returns!$C$21:$H$21)-(SUM(Returns!$C$17:$H$17)-Debt!$C$20*5-Debt!$C$10*Assumptions!$C$42))&lt;1,"OK","ERROR")</f>
        <v>OK</v>
      </c>
    </row>
    <row r="11" customFormat="false" ht="15" hidden="false" customHeight="false" outlineLevel="0" collapsed="false">
      <c r="B11" s="10" t="s">
        <v>25</v>
      </c>
      <c r="C11" s="11" t="str">
        <f aca="false">IF(ABS('Cash Flow'!$D$21-1307440)&lt;=0.005*1307440,"OK","CHECK")</f>
        <v>OK</v>
      </c>
    </row>
    <row r="13" customFormat="false" ht="15" hidden="false" customHeight="false" outlineLevel="0" collapsed="false">
      <c r="B13" s="9" t="s">
        <v>26</v>
      </c>
    </row>
    <row r="14" customFormat="false" ht="15" hidden="false" customHeight="false" outlineLevel="0" collapsed="false">
      <c r="B14" s="10" t="s">
        <v>27</v>
      </c>
      <c r="C14" s="12" t="n">
        <f aca="false">Assumptions!$C$8</f>
        <v>23500000</v>
      </c>
    </row>
    <row r="15" customFormat="false" ht="15" hidden="false" customHeight="false" outlineLevel="0" collapsed="false">
      <c r="B15" s="10" t="s">
        <v>28</v>
      </c>
      <c r="C15" s="12" t="n">
        <f aca="false">Debt!$C$16</f>
        <v>25027500</v>
      </c>
    </row>
    <row r="16" customFormat="false" ht="15" hidden="false" customHeight="false" outlineLevel="0" collapsed="false">
      <c r="B16" s="10" t="s">
        <v>29</v>
      </c>
      <c r="C16" s="12" t="n">
        <f aca="false">Assumptions!$C$7</f>
        <v>6200</v>
      </c>
    </row>
    <row r="17" customFormat="false" ht="15" hidden="false" customHeight="false" outlineLevel="0" collapsed="false">
      <c r="B17" s="10" t="s">
        <v>30</v>
      </c>
      <c r="C17" s="13" t="n">
        <f aca="false">Debt!$C$16/Assumptions!$C$7</f>
        <v>4036.6935483871</v>
      </c>
    </row>
    <row r="18" customFormat="false" ht="15" hidden="false" customHeight="false" outlineLevel="0" collapsed="false">
      <c r="B18" s="10" t="s">
        <v>31</v>
      </c>
      <c r="C18" s="14" t="n">
        <f aca="false">'Cash Flow'!$D$13*0+SUMIF('Rent Roll'!$E$6:$E$9,"&gt;0",'Rent Roll'!$D$6:$D$9)/'Rent Roll'!$D$10</f>
        <v>0.838709677419355</v>
      </c>
    </row>
    <row r="19" customFormat="false" ht="15" hidden="false" customHeight="false" outlineLevel="0" collapsed="false">
      <c r="B19" s="10" t="s">
        <v>32</v>
      </c>
      <c r="C19" s="12" t="n">
        <f aca="false">'Rent Roll'!$E$10</f>
        <v>1488500</v>
      </c>
    </row>
    <row r="20" customFormat="false" ht="15" hidden="false" customHeight="false" outlineLevel="0" collapsed="false">
      <c r="B20" s="10" t="s">
        <v>33</v>
      </c>
      <c r="C20" s="12" t="n">
        <f aca="false">'Rent Roll'!$H$10</f>
        <v>1767000</v>
      </c>
    </row>
    <row r="22" customFormat="false" ht="15" hidden="false" customHeight="false" outlineLevel="0" collapsed="false">
      <c r="B22" s="9" t="s">
        <v>34</v>
      </c>
    </row>
    <row r="23" customFormat="false" ht="15" hidden="false" customHeight="false" outlineLevel="0" collapsed="false">
      <c r="C23" s="15" t="s">
        <v>35</v>
      </c>
      <c r="D23" s="15" t="s">
        <v>36</v>
      </c>
    </row>
    <row r="24" customFormat="false" ht="15" hidden="false" customHeight="false" outlineLevel="0" collapsed="false">
      <c r="B24" s="10" t="s">
        <v>37</v>
      </c>
      <c r="C24" s="16" t="n">
        <f aca="false">Returns!$C$25</f>
        <v>0.0821220732914354</v>
      </c>
      <c r="D24" s="16" t="n">
        <f aca="false">Returns!$D$25</f>
        <v>0.110707316799469</v>
      </c>
    </row>
    <row r="25" customFormat="false" ht="15" hidden="false" customHeight="false" outlineLevel="0" collapsed="false">
      <c r="B25" s="10" t="s">
        <v>38</v>
      </c>
      <c r="C25" s="17" t="n">
        <f aca="false">Returns!$C$26</f>
        <v>1.44491299570472</v>
      </c>
      <c r="D25" s="17" t="n">
        <f aca="false">Returns!$D$26</f>
        <v>1.64352995278681</v>
      </c>
    </row>
    <row r="26" customFormat="false" ht="15" hidden="false" customHeight="false" outlineLevel="0" collapsed="false">
      <c r="B26" s="10" t="s">
        <v>39</v>
      </c>
      <c r="C26" s="12" t="n">
        <f aca="false">Returns!$C$28</f>
        <v>11135060</v>
      </c>
      <c r="D26" s="12" t="n">
        <f aca="false">Returns!$D$28</f>
        <v>7871497.5</v>
      </c>
    </row>
    <row r="28" customFormat="false" ht="15" hidden="false" customHeight="false" outlineLevel="0" collapsed="false">
      <c r="B28" s="9" t="s">
        <v>40</v>
      </c>
    </row>
    <row r="29" customFormat="false" ht="15" hidden="false" customHeight="true" outlineLevel="0" collapsed="false">
      <c r="B29" s="18" t="s">
        <v>41</v>
      </c>
      <c r="C29" s="18"/>
      <c r="D29" s="18"/>
      <c r="E29" s="18"/>
      <c r="F29" s="18"/>
    </row>
    <row r="30" customFormat="false" ht="15" hidden="false" customHeight="false" outlineLevel="0" collapsed="false">
      <c r="B30" s="18"/>
      <c r="C30" s="18"/>
      <c r="D30" s="18"/>
      <c r="E30" s="18"/>
      <c r="F30" s="18"/>
    </row>
    <row r="31" customFormat="false" ht="15" hidden="false" customHeight="false" outlineLevel="0" collapsed="false">
      <c r="B31" s="18"/>
      <c r="C31" s="18"/>
      <c r="D31" s="18"/>
      <c r="E31" s="18"/>
      <c r="F31" s="18"/>
    </row>
    <row r="32" customFormat="false" ht="15" hidden="false" customHeight="false" outlineLevel="0" collapsed="false">
      <c r="B32" s="18"/>
      <c r="C32" s="18"/>
      <c r="D32" s="18"/>
      <c r="E32" s="18"/>
      <c r="F32" s="18"/>
    </row>
    <row r="33" customFormat="false" ht="15" hidden="false" customHeight="false" outlineLevel="0" collapsed="false">
      <c r="B33" s="18"/>
      <c r="C33" s="18"/>
      <c r="D33" s="18"/>
      <c r="E33" s="18"/>
      <c r="F33" s="18"/>
    </row>
    <row r="34" customFormat="false" ht="15" hidden="false" customHeight="false" outlineLevel="0" collapsed="false">
      <c r="B34" s="18"/>
      <c r="C34" s="18"/>
      <c r="D34" s="18"/>
      <c r="E34" s="18"/>
      <c r="F34" s="18"/>
    </row>
    <row r="35" customFormat="false" ht="15" hidden="false" customHeight="false" outlineLevel="0" collapsed="false">
      <c r="B35" s="18"/>
      <c r="C35" s="18"/>
      <c r="D35" s="18"/>
      <c r="E35" s="18"/>
      <c r="F35" s="18"/>
    </row>
    <row r="37" customFormat="false" ht="15" hidden="false" customHeight="true" outlineLevel="0" collapsed="false">
      <c r="B37" s="19" t="s">
        <v>42</v>
      </c>
      <c r="C37" s="19"/>
      <c r="D37" s="19"/>
      <c r="E37" s="19"/>
      <c r="F37" s="19"/>
    </row>
    <row r="38" customFormat="false" ht="15" hidden="false" customHeight="false" outlineLevel="0" collapsed="false">
      <c r="B38" s="19"/>
      <c r="C38" s="19"/>
      <c r="D38" s="19"/>
      <c r="E38" s="19"/>
      <c r="F38" s="19"/>
    </row>
  </sheetData>
  <mergeCells count="2">
    <mergeCell ref="B29:F35"/>
    <mergeCell ref="B37:F3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E4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2"/>
    <col collapsed="false" customWidth="true" hidden="false" outlineLevel="0" max="3" min="3" style="0" width="14"/>
    <col collapsed="false" customWidth="true" hidden="false" outlineLevel="0" max="4" min="4" style="0" width="12"/>
    <col collapsed="false" customWidth="true" hidden="false" outlineLevel="0" max="5" min="5" style="0" width="62"/>
  </cols>
  <sheetData>
    <row r="2" customFormat="false" ht="17.35" hidden="false" customHeight="false" outlineLevel="0" collapsed="false">
      <c r="B2" s="7" t="s">
        <v>43</v>
      </c>
    </row>
    <row r="3" customFormat="false" ht="15" hidden="false" customHeight="false" outlineLevel="0" collapsed="false">
      <c r="B3" s="8" t="s">
        <v>44</v>
      </c>
    </row>
    <row r="5" customFormat="false" ht="15" hidden="false" customHeight="false" outlineLevel="0" collapsed="false">
      <c r="B5" s="15" t="s">
        <v>45</v>
      </c>
      <c r="C5" s="15" t="s">
        <v>46</v>
      </c>
      <c r="D5" s="15" t="s">
        <v>47</v>
      </c>
      <c r="E5" s="15" t="s">
        <v>48</v>
      </c>
    </row>
    <row r="6" customFormat="false" ht="15" hidden="false" customHeight="false" outlineLevel="0" collapsed="false">
      <c r="B6" s="20" t="s">
        <v>49</v>
      </c>
      <c r="C6" s="21"/>
      <c r="D6" s="21"/>
      <c r="E6" s="21"/>
    </row>
    <row r="7" customFormat="false" ht="15" hidden="false" customHeight="false" outlineLevel="0" collapsed="false">
      <c r="B7" s="10" t="s">
        <v>50</v>
      </c>
      <c r="C7" s="22" t="n">
        <v>6200</v>
      </c>
      <c r="D7" s="8" t="s">
        <v>51</v>
      </c>
      <c r="E7" s="2" t="s">
        <v>52</v>
      </c>
    </row>
    <row r="8" customFormat="false" ht="15" hidden="false" customHeight="false" outlineLevel="0" collapsed="false">
      <c r="B8" s="10" t="s">
        <v>27</v>
      </c>
      <c r="C8" s="22" t="n">
        <v>23500000</v>
      </c>
      <c r="D8" s="8" t="s">
        <v>53</v>
      </c>
      <c r="E8" s="2" t="s">
        <v>54</v>
      </c>
    </row>
    <row r="9" customFormat="false" ht="15" hidden="false" customHeight="false" outlineLevel="0" collapsed="false">
      <c r="B9" s="10" t="s">
        <v>55</v>
      </c>
      <c r="C9" s="23" t="n">
        <v>0.065</v>
      </c>
      <c r="D9" s="8" t="s">
        <v>56</v>
      </c>
      <c r="E9" s="2" t="s">
        <v>57</v>
      </c>
    </row>
    <row r="10" customFormat="false" ht="15" hidden="false" customHeight="false" outlineLevel="0" collapsed="false">
      <c r="B10" s="10" t="s">
        <v>58</v>
      </c>
      <c r="C10" s="23" t="n">
        <v>0.015</v>
      </c>
      <c r="D10" s="8" t="s">
        <v>59</v>
      </c>
      <c r="E10" s="2" t="s">
        <v>60</v>
      </c>
    </row>
    <row r="11" customFormat="false" ht="15" hidden="false" customHeight="false" outlineLevel="0" collapsed="false">
      <c r="B11" s="10" t="s">
        <v>61</v>
      </c>
      <c r="C11" s="22" t="n">
        <v>5</v>
      </c>
      <c r="D11" s="8" t="s">
        <v>62</v>
      </c>
      <c r="E11" s="2" t="s">
        <v>60</v>
      </c>
    </row>
    <row r="12" customFormat="false" ht="15" hidden="false" customHeight="false" outlineLevel="0" collapsed="false">
      <c r="B12" s="20" t="s">
        <v>63</v>
      </c>
      <c r="C12" s="21"/>
      <c r="D12" s="21"/>
      <c r="E12" s="21"/>
    </row>
    <row r="13" customFormat="false" ht="15" hidden="false" customHeight="false" outlineLevel="0" collapsed="false">
      <c r="B13" s="10" t="s">
        <v>64</v>
      </c>
      <c r="C13" s="22" t="n">
        <v>285</v>
      </c>
      <c r="D13" s="8" t="s">
        <v>65</v>
      </c>
      <c r="E13" s="2" t="s">
        <v>66</v>
      </c>
    </row>
    <row r="14" customFormat="false" ht="15" hidden="false" customHeight="false" outlineLevel="0" collapsed="false">
      <c r="B14" s="10" t="s">
        <v>67</v>
      </c>
      <c r="C14" s="24" t="n">
        <v>0.0225</v>
      </c>
      <c r="D14" s="8" t="s">
        <v>68</v>
      </c>
      <c r="E14" s="2" t="s">
        <v>60</v>
      </c>
    </row>
    <row r="15" customFormat="false" ht="22.35" hidden="false" customHeight="false" outlineLevel="0" collapsed="false">
      <c r="B15" s="10" t="s">
        <v>69</v>
      </c>
      <c r="C15" s="23" t="n">
        <v>0.025</v>
      </c>
      <c r="D15" s="8" t="s">
        <v>68</v>
      </c>
      <c r="E15" s="2" t="s">
        <v>70</v>
      </c>
    </row>
    <row r="16" customFormat="false" ht="15" hidden="false" customHeight="false" outlineLevel="0" collapsed="false">
      <c r="B16" s="20" t="s">
        <v>71</v>
      </c>
      <c r="C16" s="21"/>
      <c r="D16" s="21"/>
      <c r="E16" s="21"/>
    </row>
    <row r="17" customFormat="false" ht="15" hidden="false" customHeight="false" outlineLevel="0" collapsed="false">
      <c r="B17" s="10" t="s">
        <v>72</v>
      </c>
      <c r="C17" s="22" t="n">
        <v>41</v>
      </c>
      <c r="D17" s="8" t="s">
        <v>65</v>
      </c>
      <c r="E17" s="2" t="s">
        <v>60</v>
      </c>
    </row>
    <row r="18" customFormat="false" ht="15" hidden="false" customHeight="false" outlineLevel="0" collapsed="false">
      <c r="B18" s="10" t="s">
        <v>73</v>
      </c>
      <c r="C18" s="22" t="n">
        <v>12</v>
      </c>
      <c r="D18" s="8" t="s">
        <v>65</v>
      </c>
      <c r="E18" s="2" t="s">
        <v>60</v>
      </c>
    </row>
    <row r="19" customFormat="false" ht="15" hidden="false" customHeight="false" outlineLevel="0" collapsed="false">
      <c r="B19" s="10" t="s">
        <v>74</v>
      </c>
      <c r="C19" s="22" t="n">
        <v>55</v>
      </c>
      <c r="D19" s="8" t="s">
        <v>65</v>
      </c>
      <c r="E19" s="2" t="s">
        <v>75</v>
      </c>
    </row>
    <row r="20" customFormat="false" ht="15" hidden="false" customHeight="false" outlineLevel="0" collapsed="false">
      <c r="B20" s="10" t="s">
        <v>76</v>
      </c>
      <c r="C20" s="23" t="n">
        <v>0.95</v>
      </c>
      <c r="D20" s="8" t="s">
        <v>77</v>
      </c>
      <c r="E20" s="2" t="s">
        <v>78</v>
      </c>
    </row>
    <row r="21" customFormat="false" ht="15" hidden="false" customHeight="false" outlineLevel="0" collapsed="false">
      <c r="B21" s="20" t="s">
        <v>79</v>
      </c>
      <c r="C21" s="21"/>
      <c r="D21" s="21"/>
      <c r="E21" s="21"/>
    </row>
    <row r="22" customFormat="false" ht="15" hidden="false" customHeight="false" outlineLevel="0" collapsed="false">
      <c r="B22" s="10" t="s">
        <v>80</v>
      </c>
      <c r="C22" s="22" t="n">
        <v>12</v>
      </c>
      <c r="D22" s="8" t="s">
        <v>81</v>
      </c>
      <c r="E22" s="2" t="s">
        <v>82</v>
      </c>
    </row>
    <row r="23" customFormat="false" ht="15" hidden="false" customHeight="false" outlineLevel="0" collapsed="false">
      <c r="B23" s="10" t="s">
        <v>83</v>
      </c>
      <c r="C23" s="22" t="n">
        <v>9</v>
      </c>
      <c r="D23" s="8" t="s">
        <v>84</v>
      </c>
      <c r="E23" s="2" t="s">
        <v>82</v>
      </c>
    </row>
    <row r="24" customFormat="false" ht="15" hidden="false" customHeight="false" outlineLevel="0" collapsed="false">
      <c r="B24" s="10" t="s">
        <v>85</v>
      </c>
      <c r="C24" s="22" t="n">
        <v>350</v>
      </c>
      <c r="D24" s="8" t="s">
        <v>86</v>
      </c>
      <c r="E24" s="2" t="s">
        <v>82</v>
      </c>
    </row>
    <row r="25" customFormat="false" ht="15" hidden="false" customHeight="false" outlineLevel="0" collapsed="false">
      <c r="B25" s="10" t="s">
        <v>87</v>
      </c>
      <c r="C25" s="23" t="n">
        <v>0.12</v>
      </c>
      <c r="D25" s="8" t="s">
        <v>88</v>
      </c>
      <c r="E25" s="2" t="s">
        <v>82</v>
      </c>
    </row>
    <row r="26" customFormat="false" ht="15" hidden="false" customHeight="false" outlineLevel="0" collapsed="false">
      <c r="B26" s="20" t="s">
        <v>89</v>
      </c>
      <c r="C26" s="21"/>
      <c r="D26" s="21"/>
      <c r="E26" s="21"/>
    </row>
    <row r="27" customFormat="false" ht="15" hidden="false" customHeight="false" outlineLevel="0" collapsed="false">
      <c r="B27" s="10" t="s">
        <v>90</v>
      </c>
      <c r="C27" s="24" t="n">
        <v>0.6</v>
      </c>
      <c r="D27" s="8" t="s">
        <v>91</v>
      </c>
      <c r="E27" s="2" t="s">
        <v>92</v>
      </c>
    </row>
    <row r="28" customFormat="false" ht="15" hidden="false" customHeight="false" outlineLevel="0" collapsed="false">
      <c r="B28" s="10" t="s">
        <v>93</v>
      </c>
      <c r="C28" s="22" t="n">
        <v>3</v>
      </c>
      <c r="D28" s="8" t="s">
        <v>84</v>
      </c>
      <c r="E28" s="2" t="s">
        <v>94</v>
      </c>
    </row>
    <row r="29" customFormat="false" ht="15" hidden="false" customHeight="false" outlineLevel="0" collapsed="false">
      <c r="B29" s="10" t="s">
        <v>95</v>
      </c>
      <c r="C29" s="22" t="n">
        <v>100</v>
      </c>
      <c r="D29" s="8" t="s">
        <v>86</v>
      </c>
      <c r="E29" s="2" t="s">
        <v>96</v>
      </c>
    </row>
    <row r="30" customFormat="false" ht="15" hidden="false" customHeight="false" outlineLevel="0" collapsed="false">
      <c r="B30" s="10" t="s">
        <v>97</v>
      </c>
      <c r="C30" s="23" t="n">
        <v>0.06</v>
      </c>
      <c r="D30" s="8" t="s">
        <v>88</v>
      </c>
      <c r="E30" s="2" t="s">
        <v>96</v>
      </c>
    </row>
    <row r="31" customFormat="false" ht="15" hidden="false" customHeight="false" outlineLevel="0" collapsed="false">
      <c r="B31" s="10" t="s">
        <v>98</v>
      </c>
      <c r="C31" s="22" t="n">
        <v>9</v>
      </c>
      <c r="D31" s="8" t="s">
        <v>84</v>
      </c>
      <c r="E31" s="2" t="s">
        <v>99</v>
      </c>
    </row>
    <row r="32" customFormat="false" ht="15" hidden="false" customHeight="false" outlineLevel="0" collapsed="false">
      <c r="B32" s="10" t="s">
        <v>100</v>
      </c>
      <c r="C32" s="22" t="n">
        <v>12</v>
      </c>
      <c r="D32" s="8" t="s">
        <v>84</v>
      </c>
      <c r="E32" s="2" t="s">
        <v>99</v>
      </c>
    </row>
    <row r="33" customFormat="false" ht="15" hidden="false" customHeight="false" outlineLevel="0" collapsed="false">
      <c r="B33" s="10" t="s">
        <v>101</v>
      </c>
      <c r="C33" s="22" t="n">
        <v>350</v>
      </c>
      <c r="D33" s="8" t="s">
        <v>86</v>
      </c>
      <c r="E33" s="2" t="s">
        <v>99</v>
      </c>
    </row>
    <row r="34" customFormat="false" ht="15" hidden="false" customHeight="false" outlineLevel="0" collapsed="false">
      <c r="B34" s="10" t="s">
        <v>102</v>
      </c>
      <c r="C34" s="23" t="n">
        <v>0.12</v>
      </c>
      <c r="D34" s="8" t="s">
        <v>88</v>
      </c>
      <c r="E34" s="2" t="s">
        <v>99</v>
      </c>
    </row>
    <row r="35" customFormat="false" ht="15" hidden="false" customHeight="false" outlineLevel="0" collapsed="false">
      <c r="B35" s="20" t="s">
        <v>103</v>
      </c>
      <c r="C35" s="21"/>
      <c r="D35" s="21"/>
      <c r="E35" s="21"/>
    </row>
    <row r="36" customFormat="false" ht="15" hidden="false" customHeight="false" outlineLevel="0" collapsed="false">
      <c r="B36" s="10" t="s">
        <v>104</v>
      </c>
      <c r="C36" s="23" t="n">
        <v>0.02</v>
      </c>
      <c r="D36" s="8" t="s">
        <v>105</v>
      </c>
      <c r="E36" s="2" t="s">
        <v>106</v>
      </c>
    </row>
    <row r="37" customFormat="false" ht="15" hidden="false" customHeight="false" outlineLevel="0" collapsed="false">
      <c r="B37" s="20" t="s">
        <v>107</v>
      </c>
      <c r="C37" s="21"/>
      <c r="D37" s="21"/>
      <c r="E37" s="21"/>
    </row>
    <row r="38" customFormat="false" ht="15" hidden="false" customHeight="false" outlineLevel="0" collapsed="false">
      <c r="B38" s="10" t="s">
        <v>108</v>
      </c>
      <c r="C38" s="23" t="n">
        <v>0.55</v>
      </c>
      <c r="D38" s="8" t="s">
        <v>91</v>
      </c>
      <c r="E38" s="2" t="s">
        <v>60</v>
      </c>
    </row>
    <row r="39" customFormat="false" ht="15" hidden="false" customHeight="false" outlineLevel="0" collapsed="false">
      <c r="B39" s="10" t="s">
        <v>109</v>
      </c>
      <c r="C39" s="24" t="n">
        <v>0.0485</v>
      </c>
      <c r="D39" s="8" t="s">
        <v>110</v>
      </c>
      <c r="E39" s="2" t="s">
        <v>60</v>
      </c>
    </row>
    <row r="40" customFormat="false" ht="15" hidden="false" customHeight="false" outlineLevel="0" collapsed="false">
      <c r="B40" s="10" t="s">
        <v>111</v>
      </c>
      <c r="C40" s="25" t="n">
        <v>1.3</v>
      </c>
      <c r="D40" s="8" t="s">
        <v>112</v>
      </c>
      <c r="E40" s="2" t="s">
        <v>113</v>
      </c>
    </row>
    <row r="41" customFormat="false" ht="15" hidden="false" customHeight="false" outlineLevel="0" collapsed="false">
      <c r="B41" s="10" t="s">
        <v>114</v>
      </c>
      <c r="C41" s="23" t="n">
        <v>0.09</v>
      </c>
      <c r="D41" s="8" t="s">
        <v>91</v>
      </c>
      <c r="E41" s="2" t="s">
        <v>113</v>
      </c>
    </row>
    <row r="42" customFormat="false" ht="15" hidden="false" customHeight="false" outlineLevel="0" collapsed="false">
      <c r="B42" s="10" t="s">
        <v>115</v>
      </c>
      <c r="C42" s="23" t="n">
        <v>0.01</v>
      </c>
      <c r="D42" s="8" t="s">
        <v>116</v>
      </c>
      <c r="E42" s="2" t="s">
        <v>117</v>
      </c>
    </row>
    <row r="43" customFormat="false" ht="15" hidden="false" customHeight="false" outlineLevel="0" collapsed="false">
      <c r="B43" s="20" t="s">
        <v>118</v>
      </c>
      <c r="C43" s="21"/>
      <c r="D43" s="21"/>
      <c r="E43" s="21"/>
    </row>
    <row r="44" customFormat="false" ht="22.35" hidden="false" customHeight="false" outlineLevel="0" collapsed="false">
      <c r="B44" s="10" t="s">
        <v>119</v>
      </c>
      <c r="C44" s="24" t="n">
        <v>0.0575</v>
      </c>
      <c r="D44" s="8" t="s">
        <v>91</v>
      </c>
      <c r="E44" s="2" t="s">
        <v>120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J2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20"/>
    <col collapsed="false" customWidth="true" hidden="false" outlineLevel="0" max="7" min="3" style="0" width="14"/>
    <col collapsed="false" customWidth="true" hidden="false" outlineLevel="0" max="10" min="8" style="0" width="16"/>
  </cols>
  <sheetData>
    <row r="2" customFormat="false" ht="17.35" hidden="false" customHeight="false" outlineLevel="0" collapsed="false">
      <c r="B2" s="7" t="s">
        <v>121</v>
      </c>
    </row>
    <row r="3" customFormat="false" ht="15" hidden="false" customHeight="false" outlineLevel="0" collapsed="false">
      <c r="B3" s="8" t="s">
        <v>122</v>
      </c>
    </row>
    <row r="5" customFormat="false" ht="15" hidden="false" customHeight="false" outlineLevel="0" collapsed="false">
      <c r="B5" s="26" t="s">
        <v>47</v>
      </c>
      <c r="C5" s="26" t="s">
        <v>123</v>
      </c>
      <c r="D5" s="26" t="s">
        <v>29</v>
      </c>
      <c r="E5" s="26" t="s">
        <v>32</v>
      </c>
      <c r="F5" s="26" t="s">
        <v>124</v>
      </c>
      <c r="G5" s="26" t="s">
        <v>125</v>
      </c>
      <c r="H5" s="26" t="s">
        <v>126</v>
      </c>
      <c r="I5" s="26" t="s">
        <v>127</v>
      </c>
      <c r="J5" s="26" t="s">
        <v>128</v>
      </c>
    </row>
    <row r="6" customFormat="false" ht="15" hidden="false" customHeight="false" outlineLevel="0" collapsed="false">
      <c r="B6" s="10" t="s">
        <v>129</v>
      </c>
      <c r="C6" s="10" t="s">
        <v>130</v>
      </c>
      <c r="D6" s="22" t="n">
        <v>1850</v>
      </c>
      <c r="E6" s="22" t="n">
        <v>527250</v>
      </c>
      <c r="F6" s="27" t="n">
        <f aca="false">IF(D6=0,0,E6/D6)</f>
        <v>285</v>
      </c>
      <c r="G6" s="28" t="n">
        <f aca="false">Assumptions!$C$13</f>
        <v>285</v>
      </c>
      <c r="H6" s="29" t="n">
        <f aca="false">D6*G6</f>
        <v>527250</v>
      </c>
      <c r="I6" s="30" t="n">
        <v>6</v>
      </c>
      <c r="J6" s="10" t="str">
        <f aca="false">IF(OR(E6=0,H6=0),"vacant",IF(ABS(E6/H6-1)&lt;0.005,"at market",IF(E6&gt;H6,TEXT(E6/H6-1,"0%")&amp;" over-rented",TEXT(1-E6/H6,"0%")&amp;" under-rented")))</f>
        <v>at market</v>
      </c>
    </row>
    <row r="7" customFormat="false" ht="15" hidden="false" customHeight="false" outlineLevel="0" collapsed="false">
      <c r="B7" s="10" t="s">
        <v>131</v>
      </c>
      <c r="C7" s="10" t="s">
        <v>132</v>
      </c>
      <c r="D7" s="22" t="n">
        <v>2100</v>
      </c>
      <c r="E7" s="22" t="n">
        <v>630000</v>
      </c>
      <c r="F7" s="27" t="n">
        <f aca="false">IF(D7=0,0,E7/D7)</f>
        <v>300</v>
      </c>
      <c r="G7" s="28" t="n">
        <f aca="false">Assumptions!$C$13</f>
        <v>285</v>
      </c>
      <c r="H7" s="29" t="n">
        <f aca="false">D7*G7</f>
        <v>598500</v>
      </c>
      <c r="I7" s="30" t="n">
        <v>2</v>
      </c>
      <c r="J7" s="10" t="str">
        <f aca="false">IF(OR(E7=0,H7=0),"vacant",IF(ABS(E7/H7-1)&lt;0.005,"at market",IF(E7&gt;H7,TEXT(E7/H7-1,"0%")&amp;" over-rented",TEXT(1-E7/H7,"0%")&amp;" under-rented")))</f>
        <v>5% over-rented</v>
      </c>
    </row>
    <row r="8" customFormat="false" ht="15" hidden="false" customHeight="false" outlineLevel="0" collapsed="false">
      <c r="B8" s="10" t="s">
        <v>133</v>
      </c>
      <c r="C8" s="10" t="s">
        <v>134</v>
      </c>
      <c r="D8" s="22" t="n">
        <v>1250</v>
      </c>
      <c r="E8" s="22" t="n">
        <v>331250</v>
      </c>
      <c r="F8" s="27" t="n">
        <f aca="false">IF(D8=0,0,E8/D8)</f>
        <v>265</v>
      </c>
      <c r="G8" s="28" t="n">
        <f aca="false">Assumptions!$C$13</f>
        <v>285</v>
      </c>
      <c r="H8" s="29" t="n">
        <f aca="false">D8*G8</f>
        <v>356250</v>
      </c>
      <c r="I8" s="30" t="n">
        <v>8</v>
      </c>
      <c r="J8" s="10" t="str">
        <f aca="false">IF(OR(E8=0,H8=0),"vacant",IF(ABS(E8/H8-1)&lt;0.005,"at market",IF(E8&gt;H8,TEXT(E8/H8-1,"0%")&amp;" over-rented",TEXT(1-E8/H8,"0%")&amp;" under-rented")))</f>
        <v>7% under-rented</v>
      </c>
    </row>
    <row r="9" customFormat="false" ht="15" hidden="false" customHeight="false" outlineLevel="0" collapsed="false">
      <c r="B9" s="10" t="s">
        <v>135</v>
      </c>
      <c r="C9" s="10" t="s">
        <v>136</v>
      </c>
      <c r="D9" s="22" t="n">
        <v>1000</v>
      </c>
      <c r="E9" s="22" t="n">
        <v>0</v>
      </c>
      <c r="F9" s="27" t="n">
        <f aca="false">IF(D9=0,0,E9/D9)</f>
        <v>0</v>
      </c>
      <c r="G9" s="28" t="n">
        <f aca="false">Assumptions!$C$13</f>
        <v>285</v>
      </c>
      <c r="H9" s="29" t="n">
        <f aca="false">D9*G9</f>
        <v>285000</v>
      </c>
      <c r="I9" s="30" t="n">
        <v>0</v>
      </c>
      <c r="J9" s="10" t="str">
        <f aca="false">IF(OR(E9=0,H9=0),"vacant",IF(ABS(E9/H9-1)&lt;0.005,"at market",IF(E9&gt;H9,TEXT(E9/H9-1,"0%")&amp;" over-rented",TEXT(1-E9/H9,"0%")&amp;" under-rented")))</f>
        <v>vacant</v>
      </c>
    </row>
    <row r="10" customFormat="false" ht="15" hidden="false" customHeight="false" outlineLevel="0" collapsed="false">
      <c r="B10" s="31" t="s">
        <v>137</v>
      </c>
      <c r="D10" s="32" t="n">
        <f aca="false">SUM(D6:D9)</f>
        <v>6200</v>
      </c>
      <c r="E10" s="32" t="n">
        <f aca="false">SUM(E6:E9)</f>
        <v>1488500</v>
      </c>
      <c r="H10" s="32" t="n">
        <f aca="false">SUM(H6:H9)</f>
        <v>1767000</v>
      </c>
    </row>
    <row r="12" customFormat="false" ht="15" hidden="false" customHeight="false" outlineLevel="0" collapsed="false">
      <c r="B12" s="9" t="s">
        <v>138</v>
      </c>
    </row>
    <row r="13" customFormat="false" ht="15" hidden="false" customHeight="false" outlineLevel="0" collapsed="false">
      <c r="B13" s="10" t="s">
        <v>139</v>
      </c>
      <c r="D13" s="33" t="n">
        <f aca="false">SUMIF($E$6:$E$9,"&gt;0",$D$6:$D$9)</f>
        <v>5200</v>
      </c>
    </row>
    <row r="14" customFormat="false" ht="15" hidden="false" customHeight="false" outlineLevel="0" collapsed="false">
      <c r="B14" s="10" t="s">
        <v>140</v>
      </c>
      <c r="D14" s="34" t="n">
        <f aca="false">D13/D10</f>
        <v>0.838709677419355</v>
      </c>
    </row>
    <row r="15" customFormat="false" ht="15" hidden="false" customHeight="false" outlineLevel="0" collapsed="false">
      <c r="B15" s="10" t="s">
        <v>32</v>
      </c>
      <c r="D15" s="33" t="n">
        <f aca="false">E10</f>
        <v>1488500</v>
      </c>
    </row>
    <row r="16" customFormat="false" ht="15" hidden="false" customHeight="false" outlineLevel="0" collapsed="false">
      <c r="B16" s="10" t="s">
        <v>33</v>
      </c>
      <c r="D16" s="33" t="n">
        <f aca="false">H10</f>
        <v>1767000</v>
      </c>
    </row>
    <row r="17" customFormat="false" ht="15" hidden="false" customHeight="false" outlineLevel="0" collapsed="false">
      <c r="B17" s="10" t="s">
        <v>141</v>
      </c>
      <c r="D17" s="33" t="n">
        <f aca="false">D16-D15</f>
        <v>278500</v>
      </c>
    </row>
    <row r="18" customFormat="false" ht="15" hidden="false" customHeight="false" outlineLevel="0" collapsed="false">
      <c r="B18" s="10" t="s">
        <v>142</v>
      </c>
      <c r="D18" s="33" t="n">
        <f aca="false">SUMIF($E$6:$E$9,0,$H$6:$H$9)</f>
        <v>285000</v>
      </c>
    </row>
    <row r="19" customFormat="false" ht="15" hidden="false" customHeight="false" outlineLevel="0" collapsed="false">
      <c r="B19" s="10" t="s">
        <v>143</v>
      </c>
      <c r="D19" s="33" t="n">
        <f aca="false">D17-D18</f>
        <v>-6500</v>
      </c>
    </row>
    <row r="21" customFormat="false" ht="15" hidden="false" customHeight="true" outlineLevel="0" collapsed="false">
      <c r="B21" s="19" t="s">
        <v>144</v>
      </c>
      <c r="C21" s="19"/>
      <c r="D21" s="19"/>
      <c r="E21" s="19"/>
      <c r="F21" s="19"/>
      <c r="G21" s="19"/>
      <c r="H21" s="19"/>
      <c r="I21" s="19"/>
      <c r="J21" s="19"/>
    </row>
    <row r="22" customFormat="false" ht="15" hidden="false" customHeight="false" outlineLevel="0" collapsed="false">
      <c r="B22" s="19"/>
      <c r="C22" s="19"/>
      <c r="D22" s="19"/>
      <c r="E22" s="19"/>
      <c r="F22" s="19"/>
      <c r="G22" s="19"/>
      <c r="H22" s="19"/>
      <c r="I22" s="19"/>
      <c r="J22" s="19"/>
    </row>
  </sheetData>
  <mergeCells count="1">
    <mergeCell ref="B21:J2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I5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2" ySplit="6" topLeftCell="C7" activePane="bottomRight" state="frozen"/>
      <selection pane="topLeft" activeCell="A1" activeCellId="0" sqref="A1"/>
      <selection pane="topRight" activeCell="C1" activeCellId="0" sqref="C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0"/>
    <col collapsed="false" customWidth="true" hidden="false" outlineLevel="0" max="9" min="3" style="0" width="15"/>
  </cols>
  <sheetData>
    <row r="2" customFormat="false" ht="17.35" hidden="false" customHeight="false" outlineLevel="0" collapsed="false">
      <c r="B2" s="7" t="s">
        <v>145</v>
      </c>
    </row>
    <row r="3" customFormat="false" ht="15" hidden="false" customHeight="false" outlineLevel="0" collapsed="false">
      <c r="B3" s="8" t="s">
        <v>146</v>
      </c>
    </row>
    <row r="5" customFormat="false" ht="15" hidden="false" customHeight="false" outlineLevel="0" collapsed="false">
      <c r="B5" s="31" t="s">
        <v>147</v>
      </c>
      <c r="C5" s="35" t="n">
        <v>0</v>
      </c>
      <c r="D5" s="35" t="n">
        <v>1</v>
      </c>
      <c r="E5" s="35" t="n">
        <v>2</v>
      </c>
      <c r="F5" s="35" t="n">
        <v>3</v>
      </c>
      <c r="G5" s="35" t="n">
        <v>4</v>
      </c>
      <c r="H5" s="35" t="n">
        <v>5</v>
      </c>
      <c r="I5" s="35" t="n">
        <v>6</v>
      </c>
    </row>
    <row r="6" customFormat="false" ht="15" hidden="false" customHeight="false" outlineLevel="0" collapsed="false">
      <c r="B6" s="8" t="s">
        <v>148</v>
      </c>
      <c r="C6" s="36" t="str">
        <f aca="false">IF(AND(C$5&gt;0,C$5&lt;=Assumptions!$C$11),1,0)&amp;" / "&amp;IF(C$5=0,1,0)&amp;" / "&amp;IF(C$5=Assumptions!$C$11,1,0)</f>
        <v>0 / 1 / 0</v>
      </c>
      <c r="D6" s="36" t="str">
        <f aca="false">IF(AND(D$5&gt;0,D$5&lt;=Assumptions!$C$11),1,0)&amp;" / "&amp;IF(D$5=0,1,0)&amp;" / "&amp;IF(D$5=Assumptions!$C$11,1,0)</f>
        <v>1 / 0 / 0</v>
      </c>
      <c r="E6" s="36" t="str">
        <f aca="false">IF(AND(E$5&gt;0,E$5&lt;=Assumptions!$C$11),1,0)&amp;" / "&amp;IF(E$5=0,1,0)&amp;" / "&amp;IF(E$5=Assumptions!$C$11,1,0)</f>
        <v>1 / 0 / 0</v>
      </c>
      <c r="F6" s="36" t="str">
        <f aca="false">IF(AND(F$5&gt;0,F$5&lt;=Assumptions!$C$11),1,0)&amp;" / "&amp;IF(F$5=0,1,0)&amp;" / "&amp;IF(F$5=Assumptions!$C$11,1,0)</f>
        <v>1 / 0 / 0</v>
      </c>
      <c r="G6" s="36" t="str">
        <f aca="false">IF(AND(G$5&gt;0,G$5&lt;=Assumptions!$C$11),1,0)&amp;" / "&amp;IF(G$5=0,1,0)&amp;" / "&amp;IF(G$5=Assumptions!$C$11,1,0)</f>
        <v>1 / 0 / 0</v>
      </c>
      <c r="H6" s="36" t="str">
        <f aca="false">IF(AND(H$5&gt;0,H$5&lt;=Assumptions!$C$11),1,0)&amp;" / "&amp;IF(H$5=0,1,0)&amp;" / "&amp;IF(H$5=Assumptions!$C$11,1,0)</f>
        <v>1 / 0 / 1</v>
      </c>
      <c r="I6" s="36" t="str">
        <f aca="false">IF(AND(I$5&gt;0,I$5&lt;=Assumptions!$C$11),1,0)&amp;" / "&amp;IF(I$5=0,1,0)&amp;" / "&amp;IF(I$5=Assumptions!$C$11,1,0)</f>
        <v>0 / 0 / 0</v>
      </c>
    </row>
    <row r="8" customFormat="false" ht="15" hidden="false" customHeight="false" outlineLevel="0" collapsed="false">
      <c r="B8" s="9" t="s">
        <v>149</v>
      </c>
    </row>
    <row r="9" customFormat="false" ht="15" hidden="false" customHeight="false" outlineLevel="0" collapsed="false">
      <c r="B9" s="10" t="s">
        <v>150</v>
      </c>
      <c r="D9" s="33" t="n">
        <f aca="false">'Rent Roll'!$E$6</f>
        <v>527250</v>
      </c>
      <c r="E9" s="33" t="n">
        <f aca="false">'Rent Roll'!$E$6</f>
        <v>527250</v>
      </c>
      <c r="F9" s="33" t="n">
        <f aca="false">'Rent Roll'!$E$6</f>
        <v>527250</v>
      </c>
      <c r="G9" s="33" t="n">
        <f aca="false">'Rent Roll'!$E$6</f>
        <v>527250</v>
      </c>
      <c r="H9" s="33" t="n">
        <f aca="false">'Rent Roll'!$E$6</f>
        <v>527250</v>
      </c>
      <c r="I9" s="33" t="n">
        <f aca="false">'Rent Roll'!$E$6</f>
        <v>527250</v>
      </c>
    </row>
    <row r="10" customFormat="false" ht="15" hidden="false" customHeight="false" outlineLevel="0" collapsed="false">
      <c r="B10" s="10" t="s">
        <v>151</v>
      </c>
      <c r="D10" s="33" t="n">
        <f aca="false">'Rent Roll'!$E$8</f>
        <v>331250</v>
      </c>
      <c r="E10" s="33" t="n">
        <f aca="false">'Rent Roll'!$E$8</f>
        <v>331250</v>
      </c>
      <c r="F10" s="33" t="n">
        <f aca="false">'Rent Roll'!$E$8</f>
        <v>331250</v>
      </c>
      <c r="G10" s="33" t="n">
        <f aca="false">'Rent Roll'!$E$8</f>
        <v>331250</v>
      </c>
      <c r="H10" s="33" t="n">
        <f aca="false">'Rent Roll'!$E$8</f>
        <v>331250</v>
      </c>
      <c r="I10" s="33" t="n">
        <f aca="false">'Rent Roll'!$E$8</f>
        <v>331250</v>
      </c>
    </row>
    <row r="11" customFormat="false" ht="15" hidden="false" customHeight="false" outlineLevel="0" collapsed="false">
      <c r="B11" s="10" t="s">
        <v>152</v>
      </c>
      <c r="D11" s="33" t="n">
        <f aca="false">'Rent Roll'!$E$7</f>
        <v>630000</v>
      </c>
      <c r="E11" s="33" t="n">
        <f aca="false">IF(E$5=3,Assumptions!$C$27*($C$51)*(12-Assumptions!$C$28)/12,Assumptions!$C$27*($C$51)*(1+Assumptions!$C$14)^(E$5-3))+IF(E$5=3,0,IF(E$5=4,(1-Assumptions!$C$27)*($C$51)*(1+Assumptions!$C$14)*(12-Assumptions!$C$31-Assumptions!$C$32+9)/12*0,(1-Assumptions!$C$27)*($C$51)*(1+Assumptions!$C$14)^(E$5-3)))</f>
        <v>611966.25</v>
      </c>
      <c r="F11" s="33" t="n">
        <f aca="false">IF(F$5=3,Assumptions!$C$27*($C$51)*(12-Assumptions!$C$28)/12,Assumptions!$C$27*($C$51)*(1+Assumptions!$C$14)^(F$5-3))+IF(F$5=3,0,IF(F$5=4,(1-Assumptions!$C$27)*($C$51)*(1+Assumptions!$C$14)*(12-Assumptions!$C$31-Assumptions!$C$32+9)/12*0,(1-Assumptions!$C$27)*($C$51)*(1+Assumptions!$C$14)^(F$5-3)))</f>
        <v>281580.97078125</v>
      </c>
      <c r="G11" s="33" t="n">
        <f aca="false">IF(G$5=3,Assumptions!$C$27*($C$51)*(12-Assumptions!$C$28)/12,Assumptions!$C$27*($C$51)*(1+Assumptions!$C$14)^(G$5-3))+IF(G$5=3,0,IF(G$5=4,(1-Assumptions!$C$27)*($C$51)*(1+Assumptions!$C$14)*(12-Assumptions!$C$31-Assumptions!$C$32+9)/12*0,(1-Assumptions!$C$27)*($C$51)*(1+Assumptions!$C$14)^(G$5-3)))</f>
        <v>383888.723498437</v>
      </c>
      <c r="H11" s="33" t="n">
        <f aca="false">IF(H$5=3,Assumptions!$C$27*($C$51)*(12-Assumptions!$C$28)/12,Assumptions!$C$27*($C$51)*(1+Assumptions!$C$14)^(H$5-3))+IF(H$5=3,0,IF(H$5=4,(1-Assumptions!$C$27)*($C$51)*(1+Assumptions!$C$14)*(12-Assumptions!$C$31-Assumptions!$C$32+9)/12*0,(1-Assumptions!$C$27)*($C$51)*(1+Assumptions!$C$14)^(H$5-3)))</f>
        <v>654210.366295254</v>
      </c>
      <c r="I11" s="33" t="n">
        <f aca="false">IF(I$5=3,Assumptions!$C$27*($C$51)*(12-Assumptions!$C$28)/12,Assumptions!$C$27*($C$51)*(1+Assumptions!$C$14)^(I$5-3))+IF(I$5=3,0,IF(I$5=4,(1-Assumptions!$C$27)*($C$51)*(1+Assumptions!$C$14)*(12-Assumptions!$C$31-Assumptions!$C$32+9)/12*0,(1-Assumptions!$C$27)*($C$51)*(1+Assumptions!$C$14)^(I$5-3)))</f>
        <v>668930.099536897</v>
      </c>
    </row>
    <row r="12" customFormat="false" ht="15" hidden="false" customHeight="false" outlineLevel="0" collapsed="false">
      <c r="B12" s="10" t="s">
        <v>153</v>
      </c>
      <c r="D12" s="33" t="n">
        <f aca="false">IF(D$5=1,0,IF(D$5=2,($C$52)*(12-Assumptions!$C$22-Assumptions!$C$23+12)/12,($C$52)*(1+Assumptions!$C$14)^(D$5-2)))</f>
        <v>0</v>
      </c>
      <c r="E12" s="33" t="n">
        <f aca="false">IF(E$5=1,0,IF(E$5=2,($C$52)*(12-Assumptions!$C$22-Assumptions!$C$23+12)/12,($C$52)*(1+Assumptions!$C$14)^(E$5-2)))</f>
        <v>72853.125</v>
      </c>
      <c r="F12" s="33" t="n">
        <f aca="false">IF(F$5=1,0,IF(F$5=2,($C$52)*(12-Assumptions!$C$22-Assumptions!$C$23+12)/12,($C$52)*(1+Assumptions!$C$14)^(F$5-2)))</f>
        <v>297969.28125</v>
      </c>
      <c r="G12" s="33" t="n">
        <f aca="false">IF(G$5=1,0,IF(G$5=2,($C$52)*(12-Assumptions!$C$22-Assumptions!$C$23+12)/12,($C$52)*(1+Assumptions!$C$14)^(G$5-2)))</f>
        <v>304673.590078125</v>
      </c>
      <c r="H12" s="33" t="n">
        <f aca="false">IF(H$5=1,0,IF(H$5=2,($C$52)*(12-Assumptions!$C$22-Assumptions!$C$23+12)/12,($C$52)*(1+Assumptions!$C$14)^(H$5-2)))</f>
        <v>311528.745854883</v>
      </c>
      <c r="I12" s="33" t="n">
        <f aca="false">IF(I$5=1,0,IF(I$5=2,($C$52)*(12-Assumptions!$C$22-Assumptions!$C$23+12)/12,($C$52)*(1+Assumptions!$C$14)^(I$5-2)))</f>
        <v>318538.142636618</v>
      </c>
    </row>
    <row r="13" customFormat="false" ht="15" hidden="false" customHeight="false" outlineLevel="0" collapsed="false">
      <c r="B13" s="31" t="s">
        <v>154</v>
      </c>
      <c r="D13" s="37" t="n">
        <f aca="false">SUM(D9:D12)</f>
        <v>1488500</v>
      </c>
      <c r="E13" s="37" t="n">
        <f aca="false">SUM(E9:E12)</f>
        <v>1543319.375</v>
      </c>
      <c r="F13" s="37" t="n">
        <f aca="false">SUM(F9:F12)</f>
        <v>1438050.25203125</v>
      </c>
      <c r="G13" s="37" t="n">
        <f aca="false">SUM(G9:G12)</f>
        <v>1547062.31357656</v>
      </c>
      <c r="H13" s="37" t="n">
        <f aca="false">SUM(H9:H12)</f>
        <v>1824239.11215014</v>
      </c>
      <c r="I13" s="37" t="n">
        <f aca="false">SUM(I9:I12)</f>
        <v>1845968.24217351</v>
      </c>
    </row>
    <row r="15" customFormat="false" ht="15" hidden="false" customHeight="false" outlineLevel="0" collapsed="false">
      <c r="B15" s="10" t="s">
        <v>155</v>
      </c>
      <c r="D15" s="33" t="n">
        <f aca="false">IF(D$5=1,'Rent Roll'!$D$6+'Rent Roll'!$D$7+'Rent Roll'!$D$8,'Rent Roll'!$D$10)</f>
        <v>5200</v>
      </c>
      <c r="E15" s="33" t="n">
        <f aca="false">IF(E$5=1,'Rent Roll'!$D$6+'Rent Roll'!$D$7+'Rent Roll'!$D$8,'Rent Roll'!$D$10)</f>
        <v>6200</v>
      </c>
      <c r="F15" s="33" t="n">
        <f aca="false">IF(F$5=1,'Rent Roll'!$D$6+'Rent Roll'!$D$7+'Rent Roll'!$D$8,'Rent Roll'!$D$10)</f>
        <v>6200</v>
      </c>
      <c r="G15" s="33" t="n">
        <f aca="false">IF(G$5=1,'Rent Roll'!$D$6+'Rent Roll'!$D$7+'Rent Roll'!$D$8,'Rent Roll'!$D$10)</f>
        <v>6200</v>
      </c>
      <c r="H15" s="33" t="n">
        <f aca="false">IF(H$5=1,'Rent Roll'!$D$6+'Rent Roll'!$D$7+'Rent Roll'!$D$8,'Rent Roll'!$D$10)</f>
        <v>6200</v>
      </c>
      <c r="I15" s="33" t="n">
        <f aca="false">IF(I$5=1,'Rent Roll'!$D$6+'Rent Roll'!$D$7+'Rent Roll'!$D$8,'Rent Roll'!$D$10)</f>
        <v>6200</v>
      </c>
    </row>
    <row r="16" customFormat="false" ht="15" hidden="false" customHeight="false" outlineLevel="0" collapsed="false">
      <c r="B16" s="10" t="s">
        <v>140</v>
      </c>
      <c r="D16" s="34" t="n">
        <f aca="false">D15/'Rent Roll'!$D$10</f>
        <v>0.838709677419355</v>
      </c>
      <c r="E16" s="34" t="n">
        <f aca="false">E15/'Rent Roll'!$D$10</f>
        <v>1</v>
      </c>
      <c r="F16" s="34" t="n">
        <f aca="false">F15/'Rent Roll'!$D$10</f>
        <v>1</v>
      </c>
      <c r="G16" s="34" t="n">
        <f aca="false">G15/'Rent Roll'!$D$10</f>
        <v>1</v>
      </c>
      <c r="H16" s="34" t="n">
        <f aca="false">H15/'Rent Roll'!$D$10</f>
        <v>1</v>
      </c>
      <c r="I16" s="34" t="n">
        <f aca="false">I15/'Rent Roll'!$D$10</f>
        <v>1</v>
      </c>
    </row>
    <row r="17" customFormat="false" ht="15" hidden="false" customHeight="false" outlineLevel="0" collapsed="false">
      <c r="B17" s="10" t="s">
        <v>156</v>
      </c>
      <c r="D17" s="33" t="n">
        <f aca="false">Assumptions!$C$17*(1+Assumptions!$C$15)^(D$5-1)*'Rent Roll'!$D$10*D16*Assumptions!$C$20</f>
        <v>202540</v>
      </c>
      <c r="E17" s="33" t="n">
        <f aca="false">Assumptions!$C$17*(1+Assumptions!$C$15)^(E$5-1)*'Rent Roll'!$D$10*E16*Assumptions!$C$20</f>
        <v>247527.25</v>
      </c>
      <c r="F17" s="33" t="n">
        <f aca="false">Assumptions!$C$17*(1+Assumptions!$C$15)^(F$5-1)*'Rent Roll'!$D$10*F16*Assumptions!$C$20</f>
        <v>253715.43125</v>
      </c>
      <c r="G17" s="33" t="n">
        <f aca="false">Assumptions!$C$17*(1+Assumptions!$C$15)^(G$5-1)*'Rent Roll'!$D$10*G16*Assumptions!$C$20</f>
        <v>260058.31703125</v>
      </c>
      <c r="H17" s="33" t="n">
        <f aca="false">Assumptions!$C$17*(1+Assumptions!$C$15)^(H$5-1)*'Rent Roll'!$D$10*H16*Assumptions!$C$20</f>
        <v>266559.774957031</v>
      </c>
      <c r="I17" s="33" t="n">
        <f aca="false">Assumptions!$C$17*(1+Assumptions!$C$15)^(I$5-1)*'Rent Roll'!$D$10*I16*Assumptions!$C$20</f>
        <v>273223.769330957</v>
      </c>
    </row>
    <row r="18" customFormat="false" ht="15" hidden="false" customHeight="false" outlineLevel="0" collapsed="false">
      <c r="B18" s="31" t="s">
        <v>157</v>
      </c>
      <c r="D18" s="37" t="n">
        <f aca="false">D13+D17</f>
        <v>1691040</v>
      </c>
      <c r="E18" s="37" t="n">
        <f aca="false">E13+E17</f>
        <v>1790846.625</v>
      </c>
      <c r="F18" s="37" t="n">
        <f aca="false">F13+F17</f>
        <v>1691765.68328125</v>
      </c>
      <c r="G18" s="37" t="n">
        <f aca="false">G13+G17</f>
        <v>1807120.63060781</v>
      </c>
      <c r="H18" s="37" t="n">
        <f aca="false">H13+H17</f>
        <v>2090798.88710717</v>
      </c>
      <c r="I18" s="37" t="n">
        <f aca="false">I13+I17</f>
        <v>2119192.01150447</v>
      </c>
    </row>
    <row r="19" customFormat="false" ht="15" hidden="false" customHeight="false" outlineLevel="0" collapsed="false">
      <c r="B19" s="10" t="s">
        <v>158</v>
      </c>
      <c r="D19" s="33" t="n">
        <f aca="false">-(Assumptions!$C$17+Assumptions!$C$18)*(1+Assumptions!$C$15)^(D$5-1)*'Rent Roll'!$D$10</f>
        <v>-328600</v>
      </c>
      <c r="E19" s="33" t="n">
        <f aca="false">-(Assumptions!$C$17+Assumptions!$C$18)*(1+Assumptions!$C$15)^(E$5-1)*'Rent Roll'!$D$10</f>
        <v>-336815</v>
      </c>
      <c r="F19" s="33" t="n">
        <f aca="false">-(Assumptions!$C$17+Assumptions!$C$18)*(1+Assumptions!$C$15)^(F$5-1)*'Rent Roll'!$D$10</f>
        <v>-345235.375</v>
      </c>
      <c r="G19" s="33" t="n">
        <f aca="false">-(Assumptions!$C$17+Assumptions!$C$18)*(1+Assumptions!$C$15)^(G$5-1)*'Rent Roll'!$D$10</f>
        <v>-353866.259375</v>
      </c>
      <c r="H19" s="33" t="n">
        <f aca="false">-(Assumptions!$C$17+Assumptions!$C$18)*(1+Assumptions!$C$15)^(H$5-1)*'Rent Roll'!$D$10</f>
        <v>-362712.915859375</v>
      </c>
      <c r="I19" s="33" t="n">
        <f aca="false">-(Assumptions!$C$17+Assumptions!$C$18)*(1+Assumptions!$C$15)^(I$5-1)*'Rent Roll'!$D$10</f>
        <v>-371780.738755859</v>
      </c>
    </row>
    <row r="20" customFormat="false" ht="15" hidden="false" customHeight="false" outlineLevel="0" collapsed="false">
      <c r="B20" s="10" t="s">
        <v>159</v>
      </c>
      <c r="D20" s="33" t="n">
        <f aca="false">-Assumptions!$C$19*(1+Assumptions!$C$15)^(D$5-1)*('Rent Roll'!$D$10-D15)</f>
        <v>-55000</v>
      </c>
      <c r="E20" s="33" t="n">
        <f aca="false">-Assumptions!$C$19*(1+Assumptions!$C$15)^(E$5-1)*('Rent Roll'!$D$10-E15)</f>
        <v>-0</v>
      </c>
      <c r="F20" s="33" t="n">
        <f aca="false">-Assumptions!$C$19*(1+Assumptions!$C$15)^(F$5-1)*('Rent Roll'!$D$10-F15)</f>
        <v>-0</v>
      </c>
      <c r="G20" s="33" t="n">
        <f aca="false">-Assumptions!$C$19*(1+Assumptions!$C$15)^(G$5-1)*('Rent Roll'!$D$10-G15)</f>
        <v>-0</v>
      </c>
      <c r="H20" s="33" t="n">
        <f aca="false">-Assumptions!$C$19*(1+Assumptions!$C$15)^(H$5-1)*('Rent Roll'!$D$10-H15)</f>
        <v>-0</v>
      </c>
      <c r="I20" s="33" t="n">
        <f aca="false">-Assumptions!$C$19*(1+Assumptions!$C$15)^(I$5-1)*('Rent Roll'!$D$10-I15)</f>
        <v>-0</v>
      </c>
    </row>
    <row r="21" customFormat="false" ht="15" hidden="false" customHeight="false" outlineLevel="0" collapsed="false">
      <c r="B21" s="31" t="s">
        <v>160</v>
      </c>
      <c r="D21" s="37" t="n">
        <f aca="false">D18+D19+D20</f>
        <v>1307440</v>
      </c>
      <c r="E21" s="37" t="n">
        <f aca="false">E18+E19+E20</f>
        <v>1454031.625</v>
      </c>
      <c r="F21" s="37" t="n">
        <f aca="false">F18+F19+F20</f>
        <v>1346530.30828125</v>
      </c>
      <c r="G21" s="37" t="n">
        <f aca="false">G18+G19+G20</f>
        <v>1453254.37123281</v>
      </c>
      <c r="H21" s="37" t="n">
        <f aca="false">H18+H19+H20</f>
        <v>1728085.97124779</v>
      </c>
      <c r="I21" s="37" t="n">
        <f aca="false">I18+I19+I20</f>
        <v>1747411.27274861</v>
      </c>
    </row>
    <row r="22" customFormat="false" ht="15" hidden="false" customHeight="false" outlineLevel="0" collapsed="false">
      <c r="B22" s="10" t="s">
        <v>161</v>
      </c>
      <c r="D22" s="34" t="n">
        <f aca="false">D21/D18</f>
        <v>0.773157346958085</v>
      </c>
      <c r="E22" s="34" t="n">
        <f aca="false">E21/E18</f>
        <v>0.811924150679291</v>
      </c>
      <c r="F22" s="34" t="n">
        <f aca="false">F21/F18</f>
        <v>0.795931919880062</v>
      </c>
      <c r="G22" s="34" t="n">
        <f aca="false">G21/G18</f>
        <v>0.804182270191902</v>
      </c>
      <c r="H22" s="34" t="n">
        <f aca="false">H21/H18</f>
        <v>0.826519461964501</v>
      </c>
      <c r="I22" s="34" t="n">
        <f aca="false">I21/I18</f>
        <v>0.82456486399648</v>
      </c>
    </row>
    <row r="24" customFormat="false" ht="15" hidden="false" customHeight="false" outlineLevel="0" collapsed="false">
      <c r="B24" s="9" t="s">
        <v>162</v>
      </c>
    </row>
    <row r="25" customFormat="false" ht="15" hidden="false" customHeight="false" outlineLevel="0" collapsed="false">
      <c r="B25" s="30" t="s">
        <v>163</v>
      </c>
      <c r="D25" s="22" t="n">
        <v>1307440</v>
      </c>
      <c r="I25" s="22" t="n">
        <v>1741523</v>
      </c>
    </row>
    <row r="26" customFormat="false" ht="15" hidden="false" customHeight="false" outlineLevel="0" collapsed="false">
      <c r="B26" s="10" t="s">
        <v>164</v>
      </c>
      <c r="D26" s="33" t="n">
        <f aca="false">D21-D25</f>
        <v>0</v>
      </c>
      <c r="I26" s="33" t="n">
        <f aca="false">I21-I25</f>
        <v>5888.2727486121</v>
      </c>
    </row>
    <row r="27" customFormat="false" ht="15" hidden="false" customHeight="false" outlineLevel="0" collapsed="false">
      <c r="B27" s="10" t="s">
        <v>165</v>
      </c>
      <c r="D27" s="10" t="str">
        <f aca="false">IF(ABS(D26)&lt;=0.005*D25,"OK","CHECK")</f>
        <v>OK</v>
      </c>
      <c r="I27" s="10" t="str">
        <f aca="false">IF(ABS(I26)&lt;=0.005*I25,"OK","CHECK")</f>
        <v>OK</v>
      </c>
    </row>
    <row r="29" customFormat="false" ht="15" hidden="false" customHeight="false" outlineLevel="0" collapsed="false">
      <c r="B29" s="9" t="s">
        <v>166</v>
      </c>
    </row>
    <row r="30" customFormat="false" ht="15" hidden="false" customHeight="false" outlineLevel="0" collapsed="false">
      <c r="B30" s="10" t="s">
        <v>167</v>
      </c>
      <c r="D30" s="33" t="n">
        <f aca="false">-Assumptions!$C$36*D13</f>
        <v>-29770</v>
      </c>
      <c r="E30" s="33" t="n">
        <f aca="false">-Assumptions!$C$36*E13</f>
        <v>-30866.3875</v>
      </c>
      <c r="F30" s="33" t="n">
        <f aca="false">-Assumptions!$C$36*F13</f>
        <v>-28761.005040625</v>
      </c>
      <c r="G30" s="33" t="n">
        <f aca="false">-Assumptions!$C$36*G13</f>
        <v>-30941.2462715312</v>
      </c>
      <c r="H30" s="33" t="n">
        <f aca="false">-Assumptions!$C$36*H13</f>
        <v>-36484.7822430027</v>
      </c>
      <c r="I30" s="33" t="n">
        <f aca="false">-Assumptions!$C$36*I13</f>
        <v>-36919.3648434703</v>
      </c>
    </row>
    <row r="31" customFormat="false" ht="15" hidden="false" customHeight="false" outlineLevel="0" collapsed="false">
      <c r="B31" s="10" t="s">
        <v>168</v>
      </c>
      <c r="D31" s="33" t="n">
        <f aca="false">-IF(D$5=1,Assumptions!$C$24*'Rent Roll'!$D$9+Assumptions!$C$25*($C$52),0)</f>
        <v>-384969.5</v>
      </c>
      <c r="E31" s="33" t="n">
        <f aca="false">-IF(E$5=1,Assumptions!$C$24*'Rent Roll'!$D$9+Assumptions!$C$25*($C$52),0)</f>
        <v>-0</v>
      </c>
      <c r="F31" s="33" t="n">
        <f aca="false">-IF(F$5=1,Assumptions!$C$24*'Rent Roll'!$D$9+Assumptions!$C$25*($C$52),0)</f>
        <v>-0</v>
      </c>
      <c r="G31" s="33" t="n">
        <f aca="false">-IF(G$5=1,Assumptions!$C$24*'Rent Roll'!$D$9+Assumptions!$C$25*($C$52),0)</f>
        <v>-0</v>
      </c>
      <c r="H31" s="33" t="n">
        <f aca="false">-IF(H$5=1,Assumptions!$C$24*'Rent Roll'!$D$9+Assumptions!$C$25*($C$52),0)</f>
        <v>-0</v>
      </c>
      <c r="I31" s="33" t="n">
        <f aca="false">-IF(I$5=1,Assumptions!$C$24*'Rent Roll'!$D$9+Assumptions!$C$25*($C$52),0)</f>
        <v>-0</v>
      </c>
    </row>
    <row r="32" customFormat="false" ht="15" hidden="false" customHeight="false" outlineLevel="0" collapsed="false">
      <c r="B32" s="10" t="s">
        <v>169</v>
      </c>
      <c r="D32" s="33" t="n">
        <f aca="false">-IF(D$5=3,Assumptions!$C$27*(Assumptions!$C$29*'Rent Roll'!$D$7+Assumptions!$C$30*($C$51))+(1-Assumptions!$C$27)*(Assumptions!$C$33*'Rent Roll'!$D$7+Assumptions!$C$34*($C$51)),0)</f>
        <v>-0</v>
      </c>
      <c r="E32" s="33" t="n">
        <f aca="false">-IF(E$5=3,Assumptions!$C$27*(Assumptions!$C$29*'Rent Roll'!$D$7+Assumptions!$C$30*($C$51))+(1-Assumptions!$C$27)*(Assumptions!$C$33*'Rent Roll'!$D$7+Assumptions!$C$34*($C$51)),0)</f>
        <v>-0</v>
      </c>
      <c r="F32" s="33" t="n">
        <f aca="false">-IF(F$5=3,Assumptions!$C$27*(Assumptions!$C$29*'Rent Roll'!$D$7+Assumptions!$C$30*($C$51))+(1-Assumptions!$C$27)*(Assumptions!$C$33*'Rent Roll'!$D$7+Assumptions!$C$34*($C$51)),0)</f>
        <v>-472561.7812125</v>
      </c>
      <c r="G32" s="33" t="n">
        <f aca="false">-IF(G$5=3,Assumptions!$C$27*(Assumptions!$C$29*'Rent Roll'!$D$7+Assumptions!$C$30*($C$51))+(1-Assumptions!$C$27)*(Assumptions!$C$33*'Rent Roll'!$D$7+Assumptions!$C$34*($C$51)),0)</f>
        <v>-0</v>
      </c>
      <c r="H32" s="33" t="n">
        <f aca="false">-IF(H$5=3,Assumptions!$C$27*(Assumptions!$C$29*'Rent Roll'!$D$7+Assumptions!$C$30*($C$51))+(1-Assumptions!$C$27)*(Assumptions!$C$33*'Rent Roll'!$D$7+Assumptions!$C$34*($C$51)),0)</f>
        <v>-0</v>
      </c>
      <c r="I32" s="33" t="n">
        <f aca="false">-IF(I$5=3,Assumptions!$C$27*(Assumptions!$C$29*'Rent Roll'!$D$7+Assumptions!$C$30*($C$51))+(1-Assumptions!$C$27)*(Assumptions!$C$33*'Rent Roll'!$D$7+Assumptions!$C$34*($C$51)),0)</f>
        <v>-0</v>
      </c>
    </row>
    <row r="33" customFormat="false" ht="15" hidden="false" customHeight="false" outlineLevel="0" collapsed="false">
      <c r="B33" s="31" t="s">
        <v>170</v>
      </c>
      <c r="D33" s="37" t="n">
        <f aca="false">D31+D32</f>
        <v>-384969.5</v>
      </c>
      <c r="E33" s="37" t="n">
        <f aca="false">E31+E32</f>
        <v>-0</v>
      </c>
      <c r="F33" s="37" t="n">
        <f aca="false">F31+F32</f>
        <v>-472561.7812125</v>
      </c>
      <c r="G33" s="37" t="n">
        <f aca="false">G31+G32</f>
        <v>-0</v>
      </c>
      <c r="H33" s="37" t="n">
        <f aca="false">H31+H32</f>
        <v>-0</v>
      </c>
      <c r="I33" s="37" t="n">
        <f aca="false">I31+I32</f>
        <v>-0</v>
      </c>
    </row>
    <row r="35" customFormat="false" ht="15" hidden="false" customHeight="false" outlineLevel="0" collapsed="false">
      <c r="B35" s="9" t="s">
        <v>171</v>
      </c>
    </row>
    <row r="36" customFormat="false" ht="15" hidden="false" customHeight="false" outlineLevel="0" collapsed="false">
      <c r="B36" s="10" t="s">
        <v>172</v>
      </c>
      <c r="C36" s="33" t="n">
        <f aca="false">-Assumptions!$C$8*(1+Assumptions!$C$9)</f>
        <v>-25027500</v>
      </c>
    </row>
    <row r="37" customFormat="false" ht="15" hidden="false" customHeight="false" outlineLevel="0" collapsed="false">
      <c r="B37" s="10" t="s">
        <v>173</v>
      </c>
      <c r="H37" s="33" t="n">
        <f aca="false">Returns!$C$8</f>
        <v>29833046.173913</v>
      </c>
    </row>
    <row r="38" customFormat="false" ht="15" hidden="false" customHeight="false" outlineLevel="0" collapsed="false">
      <c r="B38" s="31" t="s">
        <v>174</v>
      </c>
      <c r="C38" s="37" t="n">
        <v>-25027500</v>
      </c>
      <c r="D38" s="37" t="n">
        <v>892700</v>
      </c>
      <c r="E38" s="37" t="n">
        <v>1440838</v>
      </c>
      <c r="F38" s="37" t="n">
        <v>762294</v>
      </c>
      <c r="G38" s="37" t="n">
        <v>1547717</v>
      </c>
      <c r="H38" s="37" t="n">
        <v>31519011</v>
      </c>
    </row>
    <row r="39" customFormat="false" ht="15" hidden="false" customHeight="true" outlineLevel="0" collapsed="false">
      <c r="B39" s="19" t="s">
        <v>175</v>
      </c>
      <c r="C39" s="19"/>
      <c r="D39" s="19"/>
      <c r="E39" s="19"/>
      <c r="F39" s="19"/>
      <c r="G39" s="19"/>
      <c r="H39" s="19"/>
      <c r="I39" s="19"/>
    </row>
    <row r="40" customFormat="false" ht="15" hidden="false" customHeight="false" outlineLevel="0" collapsed="false">
      <c r="B40" s="19"/>
      <c r="C40" s="19"/>
      <c r="D40" s="19"/>
      <c r="E40" s="19"/>
      <c r="F40" s="19"/>
      <c r="G40" s="19"/>
      <c r="H40" s="19"/>
      <c r="I40" s="19"/>
    </row>
    <row r="49" customFormat="false" ht="15" hidden="false" customHeight="false" outlineLevel="0" collapsed="false">
      <c r="B49" s="8" t="s">
        <v>176</v>
      </c>
    </row>
    <row r="50" customFormat="false" ht="15" hidden="false" customHeight="false" outlineLevel="0" collapsed="false">
      <c r="B50" s="8" t="s">
        <v>176</v>
      </c>
    </row>
    <row r="51" customFormat="false" ht="15" hidden="false" customHeight="false" outlineLevel="0" collapsed="false">
      <c r="B51" s="10" t="s">
        <v>177</v>
      </c>
      <c r="C51" s="29" t="n">
        <f aca="false">'Rent Roll'!$D$7*Assumptions!$C$13*(1+Assumptions!$C$14)^2</f>
        <v>625735.490625</v>
      </c>
    </row>
    <row r="52" customFormat="false" ht="15" hidden="false" customHeight="false" outlineLevel="0" collapsed="false">
      <c r="B52" s="10" t="s">
        <v>178</v>
      </c>
      <c r="C52" s="29" t="n">
        <f aca="false">'Rent Roll'!$D$9*Assumptions!$C$13*(1+Assumptions!$C$14)</f>
        <v>291412.5</v>
      </c>
    </row>
  </sheetData>
  <mergeCells count="1">
    <mergeCell ref="B39:I4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G3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2"/>
    <col collapsed="false" customWidth="true" hidden="false" outlineLevel="0" max="9" min="3" style="0" width="15"/>
  </cols>
  <sheetData>
    <row r="2" customFormat="false" ht="17.35" hidden="false" customHeight="false" outlineLevel="0" collapsed="false">
      <c r="B2" s="7" t="s">
        <v>107</v>
      </c>
    </row>
    <row r="3" customFormat="false" ht="15" hidden="false" customHeight="false" outlineLevel="0" collapsed="false">
      <c r="B3" s="8" t="s">
        <v>179</v>
      </c>
    </row>
    <row r="5" customFormat="false" ht="15" hidden="false" customHeight="false" outlineLevel="0" collapsed="false">
      <c r="B5" s="9" t="s">
        <v>180</v>
      </c>
    </row>
    <row r="6" customFormat="false" ht="15" hidden="false" customHeight="false" outlineLevel="0" collapsed="false">
      <c r="B6" s="10" t="s">
        <v>181</v>
      </c>
      <c r="C6" s="12" t="n">
        <f aca="false">'Cash Flow'!$D$21</f>
        <v>1307440</v>
      </c>
    </row>
    <row r="7" customFormat="false" ht="15" hidden="false" customHeight="false" outlineLevel="0" collapsed="false">
      <c r="B7" s="10" t="s">
        <v>182</v>
      </c>
      <c r="C7" s="29" t="n">
        <f aca="false">Assumptions!$C$8*Assumptions!$C$38</f>
        <v>12925000</v>
      </c>
    </row>
    <row r="8" customFormat="false" ht="15" hidden="false" customHeight="false" outlineLevel="0" collapsed="false">
      <c r="B8" s="10" t="s">
        <v>183</v>
      </c>
      <c r="C8" s="29" t="n">
        <f aca="false">$C$6/Assumptions!$C$40/Assumptions!$C$39</f>
        <v>20736558.2870738</v>
      </c>
    </row>
    <row r="9" customFormat="false" ht="15" hidden="false" customHeight="false" outlineLevel="0" collapsed="false">
      <c r="B9" s="10" t="s">
        <v>184</v>
      </c>
      <c r="C9" s="29" t="n">
        <f aca="false">$C$6/Assumptions!$C$41</f>
        <v>14527111.1111111</v>
      </c>
    </row>
    <row r="10" customFormat="false" ht="15" hidden="false" customHeight="false" outlineLevel="0" collapsed="false">
      <c r="B10" s="31" t="s">
        <v>185</v>
      </c>
      <c r="C10" s="32" t="n">
        <f aca="false">MIN(C7:C9)</f>
        <v>12925000</v>
      </c>
    </row>
    <row r="11" customFormat="false" ht="15" hidden="false" customHeight="false" outlineLevel="0" collapsed="false">
      <c r="B11" s="10" t="s">
        <v>186</v>
      </c>
      <c r="C11" s="10" t="str">
        <f aca="false">IF(C10=C7,"loan-to-value",IF(C10=C8,"interest cover","debt yield"))</f>
        <v>loan-to-value</v>
      </c>
    </row>
    <row r="12" customFormat="false" ht="15" hidden="false" customHeight="true" outlineLevel="0" collapsed="false">
      <c r="B12" s="19" t="s">
        <v>187</v>
      </c>
      <c r="C12" s="19"/>
      <c r="D12" s="19"/>
      <c r="E12" s="19"/>
      <c r="F12" s="19"/>
      <c r="G12" s="19"/>
    </row>
    <row r="13" customFormat="false" ht="15" hidden="false" customHeight="false" outlineLevel="0" collapsed="false">
      <c r="B13" s="19"/>
      <c r="C13" s="19"/>
      <c r="D13" s="19"/>
      <c r="E13" s="19"/>
      <c r="F13" s="19"/>
      <c r="G13" s="19"/>
    </row>
    <row r="15" customFormat="false" ht="15" hidden="false" customHeight="false" outlineLevel="0" collapsed="false">
      <c r="B15" s="9" t="s">
        <v>188</v>
      </c>
    </row>
    <row r="16" customFormat="false" ht="15" hidden="false" customHeight="false" outlineLevel="0" collapsed="false">
      <c r="B16" s="10" t="s">
        <v>189</v>
      </c>
      <c r="C16" s="29" t="n">
        <f aca="false">Assumptions!$C$8*(1+Assumptions!$C$9)</f>
        <v>25027500</v>
      </c>
    </row>
    <row r="17" customFormat="false" ht="15" hidden="false" customHeight="false" outlineLevel="0" collapsed="false">
      <c r="B17" s="10" t="s">
        <v>115</v>
      </c>
      <c r="C17" s="29" t="n">
        <f aca="false">C10*Assumptions!$C$42</f>
        <v>129250</v>
      </c>
    </row>
    <row r="18" customFormat="false" ht="15" hidden="false" customHeight="false" outlineLevel="0" collapsed="false">
      <c r="B18" s="31" t="s">
        <v>190</v>
      </c>
      <c r="C18" s="32" t="n">
        <f aca="false">C16-C10+C17</f>
        <v>12231750</v>
      </c>
    </row>
    <row r="19" customFormat="false" ht="15" hidden="false" customHeight="false" outlineLevel="0" collapsed="false">
      <c r="B19" s="10" t="s">
        <v>191</v>
      </c>
      <c r="C19" s="38" t="n">
        <f aca="false">C10/C16</f>
        <v>0.516431924882629</v>
      </c>
    </row>
    <row r="20" customFormat="false" ht="15" hidden="false" customHeight="false" outlineLevel="0" collapsed="false">
      <c r="B20" s="10" t="s">
        <v>192</v>
      </c>
      <c r="C20" s="29" t="n">
        <f aca="false">C10*Assumptions!$C$39</f>
        <v>626862.5</v>
      </c>
    </row>
    <row r="22" customFormat="false" ht="15" hidden="false" customHeight="false" outlineLevel="0" collapsed="false">
      <c r="B22" s="9" t="s">
        <v>193</v>
      </c>
    </row>
    <row r="23" customFormat="false" ht="15" hidden="false" customHeight="false" outlineLevel="0" collapsed="false">
      <c r="B23" s="31" t="s">
        <v>147</v>
      </c>
      <c r="C23" s="35" t="n">
        <v>1</v>
      </c>
      <c r="D23" s="35" t="n">
        <v>2</v>
      </c>
      <c r="E23" s="35" t="n">
        <v>3</v>
      </c>
      <c r="F23" s="35" t="n">
        <v>4</v>
      </c>
      <c r="G23" s="35" t="n">
        <v>5</v>
      </c>
    </row>
    <row r="24" customFormat="false" ht="15" hidden="false" customHeight="false" outlineLevel="0" collapsed="false">
      <c r="B24" s="10" t="s">
        <v>194</v>
      </c>
      <c r="C24" s="29" t="n">
        <f aca="false">'Cash Flow'!D$21</f>
        <v>1307440</v>
      </c>
      <c r="D24" s="29" t="n">
        <f aca="false">'Cash Flow'!E$21</f>
        <v>1454031.625</v>
      </c>
      <c r="E24" s="29" t="n">
        <f aca="false">'Cash Flow'!F$21</f>
        <v>1346530.30828125</v>
      </c>
      <c r="F24" s="29" t="n">
        <f aca="false">'Cash Flow'!G$21</f>
        <v>1453254.37123281</v>
      </c>
      <c r="G24" s="29" t="n">
        <f aca="false">'Cash Flow'!H$21</f>
        <v>1728085.97124779</v>
      </c>
    </row>
    <row r="25" customFormat="false" ht="15" hidden="false" customHeight="false" outlineLevel="0" collapsed="false">
      <c r="B25" s="10" t="s">
        <v>195</v>
      </c>
      <c r="C25" s="29" t="n">
        <f aca="false">$C$20</f>
        <v>626862.5</v>
      </c>
      <c r="D25" s="29" t="n">
        <f aca="false">$C$20</f>
        <v>626862.5</v>
      </c>
      <c r="E25" s="29" t="n">
        <f aca="false">$C$20</f>
        <v>626862.5</v>
      </c>
      <c r="F25" s="29" t="n">
        <f aca="false">$C$20</f>
        <v>626862.5</v>
      </c>
      <c r="G25" s="29" t="n">
        <f aca="false">$C$20</f>
        <v>626862.5</v>
      </c>
    </row>
    <row r="26" customFormat="false" ht="15" hidden="false" customHeight="false" outlineLevel="0" collapsed="false">
      <c r="B26" s="10" t="s">
        <v>196</v>
      </c>
      <c r="C26" s="39" t="n">
        <f aca="false">C24/C25</f>
        <v>2.08568864782947</v>
      </c>
      <c r="D26" s="39" t="n">
        <f aca="false">D24/D25</f>
        <v>2.31953837564059</v>
      </c>
      <c r="E26" s="39" t="n">
        <f aca="false">E24/E25</f>
        <v>2.14804731225947</v>
      </c>
      <c r="F26" s="39" t="n">
        <f aca="false">F24/F25</f>
        <v>2.31829846454815</v>
      </c>
      <c r="G26" s="39" t="n">
        <f aca="false">G24/G25</f>
        <v>2.75672252088423</v>
      </c>
    </row>
    <row r="27" customFormat="false" ht="15" hidden="false" customHeight="false" outlineLevel="0" collapsed="false">
      <c r="B27" s="10" t="s">
        <v>197</v>
      </c>
      <c r="C27" s="38" t="n">
        <f aca="false">C24/$C$10</f>
        <v>0.101155899419729</v>
      </c>
      <c r="D27" s="38" t="n">
        <f aca="false">D24/$C$10</f>
        <v>0.112497611218569</v>
      </c>
      <c r="E27" s="38" t="n">
        <f aca="false">E24/$C$10</f>
        <v>0.104180294644584</v>
      </c>
      <c r="F27" s="38" t="n">
        <f aca="false">F24/$C$10</f>
        <v>0.112437475530585</v>
      </c>
      <c r="G27" s="38" t="n">
        <f aca="false">G24/$C$10</f>
        <v>0.133701042262885</v>
      </c>
    </row>
    <row r="28" customFormat="false" ht="15" hidden="false" customHeight="false" outlineLevel="0" collapsed="false">
      <c r="B28" s="10" t="s">
        <v>198</v>
      </c>
      <c r="C28" s="0" t="str">
        <f aca="false">IF(AND(C26&gt;=Assumptions!$C$40,C27&gt;=Assumptions!$C$41),"OK","BREACH")</f>
        <v>OK</v>
      </c>
      <c r="D28" s="0" t="str">
        <f aca="false">IF(AND(D26&gt;=Assumptions!$C$40,D27&gt;=Assumptions!$C$41),"OK","BREACH")</f>
        <v>OK</v>
      </c>
      <c r="E28" s="0" t="str">
        <f aca="false">IF(AND(E26&gt;=Assumptions!$C$40,E27&gt;=Assumptions!$C$41),"OK","BREACH")</f>
        <v>OK</v>
      </c>
      <c r="F28" s="0" t="str">
        <f aca="false">IF(AND(F26&gt;=Assumptions!$C$40,F27&gt;=Assumptions!$C$41),"OK","BREACH")</f>
        <v>OK</v>
      </c>
      <c r="G28" s="0" t="str">
        <f aca="false">IF(AND(G26&gt;=Assumptions!$C$40,G27&gt;=Assumptions!$C$41),"OK","BREACH")</f>
        <v>OK</v>
      </c>
    </row>
    <row r="29" customFormat="false" ht="15" hidden="false" customHeight="false" outlineLevel="0" collapsed="false">
      <c r="B29" s="31" t="s">
        <v>199</v>
      </c>
      <c r="C29" s="39" t="n">
        <f aca="false">MIN(C26:G26)</f>
        <v>2.08568864782947</v>
      </c>
      <c r="D29" s="38" t="n">
        <f aca="false">MIN(C27:G27)</f>
        <v>0.101155899419729</v>
      </c>
    </row>
    <row r="30" customFormat="false" ht="15" hidden="false" customHeight="true" outlineLevel="0" collapsed="false">
      <c r="B30" s="19" t="s">
        <v>200</v>
      </c>
      <c r="C30" s="19"/>
      <c r="D30" s="19"/>
      <c r="E30" s="19"/>
      <c r="F30" s="19"/>
      <c r="G30" s="19"/>
    </row>
    <row r="31" customFormat="false" ht="15" hidden="false" customHeight="false" outlineLevel="0" collapsed="false">
      <c r="B31" s="19"/>
      <c r="C31" s="19"/>
      <c r="D31" s="19"/>
      <c r="E31" s="19"/>
      <c r="F31" s="19"/>
      <c r="G31" s="19"/>
    </row>
  </sheetData>
  <mergeCells count="2">
    <mergeCell ref="B12:G13"/>
    <mergeCell ref="B30:G3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H3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4"/>
    <col collapsed="false" customWidth="true" hidden="false" outlineLevel="0" max="9" min="3" style="0" width="15"/>
  </cols>
  <sheetData>
    <row r="2" customFormat="false" ht="17.35" hidden="false" customHeight="false" outlineLevel="0" collapsed="false">
      <c r="B2" s="7" t="s">
        <v>201</v>
      </c>
    </row>
    <row r="3" customFormat="false" ht="15" hidden="false" customHeight="false" outlineLevel="0" collapsed="false">
      <c r="B3" s="8" t="s">
        <v>202</v>
      </c>
    </row>
    <row r="5" customFormat="false" ht="15" hidden="false" customHeight="false" outlineLevel="0" collapsed="false">
      <c r="B5" s="9" t="s">
        <v>203</v>
      </c>
    </row>
    <row r="6" customFormat="false" ht="15" hidden="false" customHeight="false" outlineLevel="0" collapsed="false">
      <c r="B6" s="10" t="s">
        <v>204</v>
      </c>
      <c r="C6" s="22" t="n">
        <v>1741523</v>
      </c>
    </row>
    <row r="7" customFormat="false" ht="15" hidden="false" customHeight="false" outlineLevel="0" collapsed="false">
      <c r="B7" s="10" t="s">
        <v>205</v>
      </c>
      <c r="C7" s="29" t="n">
        <f aca="false">C6/Assumptions!$C$44</f>
        <v>30287356.5217391</v>
      </c>
    </row>
    <row r="8" customFormat="false" ht="15" hidden="false" customHeight="false" outlineLevel="0" collapsed="false">
      <c r="B8" s="31" t="s">
        <v>206</v>
      </c>
      <c r="C8" s="32" t="n">
        <f aca="false">C7*(1-Assumptions!$C$10)</f>
        <v>29833046.173913</v>
      </c>
    </row>
    <row r="10" customFormat="false" ht="15" hidden="false" customHeight="false" outlineLevel="0" collapsed="false">
      <c r="B10" s="9" t="s">
        <v>207</v>
      </c>
    </row>
    <row r="11" customFormat="false" ht="15" hidden="false" customHeight="false" outlineLevel="0" collapsed="false">
      <c r="B11" s="10" t="s">
        <v>208</v>
      </c>
      <c r="C11" s="38" t="n">
        <f aca="false">'Cash Flow'!$D$13/Assumptions!$C$8</f>
        <v>0.0633404255319149</v>
      </c>
    </row>
    <row r="12" customFormat="false" ht="15" hidden="false" customHeight="false" outlineLevel="0" collapsed="false">
      <c r="B12" s="10" t="s">
        <v>209</v>
      </c>
      <c r="C12" s="38" t="n">
        <f aca="false">'Cash Flow'!$D$21/Debt!$C$16</f>
        <v>0.0522401358505644</v>
      </c>
    </row>
    <row r="13" customFormat="false" ht="15" hidden="false" customHeight="false" outlineLevel="0" collapsed="false">
      <c r="B13" s="10" t="s">
        <v>210</v>
      </c>
      <c r="C13" s="40" t="n">
        <f aca="false">(Assumptions!$C$44-C12)*10000</f>
        <v>52.5986414943563</v>
      </c>
    </row>
    <row r="15" customFormat="false" ht="15" hidden="false" customHeight="false" outlineLevel="0" collapsed="false">
      <c r="B15" s="9" t="s">
        <v>211</v>
      </c>
    </row>
    <row r="16" customFormat="false" ht="15" hidden="false" customHeight="false" outlineLevel="0" collapsed="false">
      <c r="B16" s="31" t="s">
        <v>147</v>
      </c>
      <c r="C16" s="35" t="n">
        <v>0</v>
      </c>
      <c r="D16" s="35" t="n">
        <v>1</v>
      </c>
      <c r="E16" s="35" t="n">
        <v>2</v>
      </c>
      <c r="F16" s="35" t="n">
        <v>3</v>
      </c>
      <c r="G16" s="35" t="n">
        <v>4</v>
      </c>
      <c r="H16" s="35" t="n">
        <v>5</v>
      </c>
    </row>
    <row r="17" customFormat="false" ht="15" hidden="false" customHeight="false" outlineLevel="0" collapsed="false">
      <c r="B17" s="10" t="s">
        <v>212</v>
      </c>
      <c r="C17" s="29" t="n">
        <f aca="false">'Cash Flow'!C$38</f>
        <v>-25027500</v>
      </c>
      <c r="D17" s="29" t="n">
        <f aca="false">'Cash Flow'!D$38</f>
        <v>892700</v>
      </c>
      <c r="E17" s="29" t="n">
        <f aca="false">'Cash Flow'!E$38</f>
        <v>1440838</v>
      </c>
      <c r="F17" s="29" t="n">
        <f aca="false">'Cash Flow'!F$38</f>
        <v>762294</v>
      </c>
      <c r="G17" s="29" t="n">
        <f aca="false">'Cash Flow'!G$38</f>
        <v>1547717</v>
      </c>
      <c r="H17" s="29" t="n">
        <f aca="false">'Cash Flow'!H$38</f>
        <v>31519011</v>
      </c>
    </row>
    <row r="18" customFormat="false" ht="15" hidden="false" customHeight="false" outlineLevel="0" collapsed="false">
      <c r="B18" s="10" t="s">
        <v>213</v>
      </c>
      <c r="C18" s="29" t="n">
        <f aca="false">Debt!$C$10-Debt!$C$20*0</f>
        <v>12925000</v>
      </c>
      <c r="D18" s="29" t="n">
        <v>0</v>
      </c>
      <c r="E18" s="29" t="n">
        <v>0</v>
      </c>
      <c r="F18" s="29" t="n">
        <v>0</v>
      </c>
      <c r="G18" s="29" t="n">
        <v>0</v>
      </c>
      <c r="H18" s="29" t="n">
        <f aca="false">-Debt!$C$10</f>
        <v>-12925000</v>
      </c>
    </row>
    <row r="19" customFormat="false" ht="15" hidden="false" customHeight="false" outlineLevel="0" collapsed="false">
      <c r="B19" s="10" t="s">
        <v>115</v>
      </c>
      <c r="C19" s="29" t="n">
        <f aca="false">-Debt!$C$10*Assumptions!$C$42</f>
        <v>-129250</v>
      </c>
      <c r="D19" s="29" t="n">
        <v>0</v>
      </c>
      <c r="E19" s="29" t="n">
        <v>0</v>
      </c>
      <c r="F19" s="29" t="n">
        <v>0</v>
      </c>
      <c r="G19" s="29" t="n">
        <v>0</v>
      </c>
      <c r="H19" s="29" t="n">
        <v>0</v>
      </c>
    </row>
    <row r="20" customFormat="false" ht="15" hidden="false" customHeight="false" outlineLevel="0" collapsed="false">
      <c r="B20" s="10" t="s">
        <v>195</v>
      </c>
      <c r="C20" s="29" t="n">
        <v>0</v>
      </c>
      <c r="D20" s="29" t="n">
        <f aca="false">-Debt!$C$20</f>
        <v>-626862.5</v>
      </c>
      <c r="E20" s="29" t="n">
        <f aca="false">-Debt!$C$20</f>
        <v>-626862.5</v>
      </c>
      <c r="F20" s="29" t="n">
        <f aca="false">-Debt!$C$20</f>
        <v>-626862.5</v>
      </c>
      <c r="G20" s="29" t="n">
        <f aca="false">-Debt!$C$20</f>
        <v>-626862.5</v>
      </c>
      <c r="H20" s="29" t="n">
        <f aca="false">-Debt!$C$20</f>
        <v>-626862.5</v>
      </c>
    </row>
    <row r="21" customFormat="false" ht="15" hidden="false" customHeight="false" outlineLevel="0" collapsed="false">
      <c r="B21" s="31" t="s">
        <v>214</v>
      </c>
      <c r="C21" s="32" t="n">
        <f aca="false">C17+C18+C19+C20</f>
        <v>-12231750</v>
      </c>
      <c r="D21" s="32" t="n">
        <f aca="false">D17+D18+D19+D20</f>
        <v>265837.5</v>
      </c>
      <c r="E21" s="32" t="n">
        <f aca="false">E17+E18+E19+E20</f>
        <v>813975.5</v>
      </c>
      <c r="F21" s="32" t="n">
        <f aca="false">F17+F18+F19+F20</f>
        <v>135431.5</v>
      </c>
      <c r="G21" s="32" t="n">
        <f aca="false">G17+G18+G19+G20</f>
        <v>920854.5</v>
      </c>
      <c r="H21" s="32" t="n">
        <f aca="false">H17+H18+H19+H20</f>
        <v>17967148.5</v>
      </c>
    </row>
    <row r="23" customFormat="false" ht="15" hidden="false" customHeight="false" outlineLevel="0" collapsed="false">
      <c r="B23" s="9" t="s">
        <v>215</v>
      </c>
    </row>
    <row r="24" customFormat="false" ht="15" hidden="false" customHeight="false" outlineLevel="0" collapsed="false">
      <c r="B24" s="10"/>
      <c r="C24" s="15" t="s">
        <v>35</v>
      </c>
      <c r="D24" s="15" t="s">
        <v>36</v>
      </c>
    </row>
    <row r="25" customFormat="false" ht="15" hidden="false" customHeight="false" outlineLevel="0" collapsed="false">
      <c r="B25" s="10" t="s">
        <v>37</v>
      </c>
      <c r="C25" s="38" t="n">
        <f aca="false">IRR(C17:H17)</f>
        <v>0.0821220732914354</v>
      </c>
      <c r="D25" s="38" t="n">
        <f aca="false">IRR(C21:H21)</f>
        <v>0.110707316799469</v>
      </c>
    </row>
    <row r="26" customFormat="false" ht="15" hidden="false" customHeight="false" outlineLevel="0" collapsed="false">
      <c r="B26" s="10" t="s">
        <v>38</v>
      </c>
      <c r="C26" s="39" t="n">
        <f aca="false">SUM(D17:H17)/-C17</f>
        <v>1.44491299570472</v>
      </c>
      <c r="D26" s="39" t="n">
        <f aca="false">SUM(D21:H21)/-C21</f>
        <v>1.64352995278681</v>
      </c>
    </row>
    <row r="27" customFormat="false" ht="15" hidden="false" customHeight="false" outlineLevel="0" collapsed="false">
      <c r="B27" s="10" t="s">
        <v>216</v>
      </c>
      <c r="D27" s="38" t="n">
        <f aca="false">D21/-C21</f>
        <v>0.0217333987368937</v>
      </c>
    </row>
    <row r="28" customFormat="false" ht="15" hidden="false" customHeight="false" outlineLevel="0" collapsed="false">
      <c r="B28" s="10" t="s">
        <v>39</v>
      </c>
      <c r="C28" s="29" t="n">
        <f aca="false">SUM(C17:H17)</f>
        <v>11135060</v>
      </c>
      <c r="D28" s="29" t="n">
        <f aca="false">SUM(C21:H21)</f>
        <v>7871497.5</v>
      </c>
    </row>
    <row r="29" customFormat="false" ht="15" hidden="false" customHeight="false" outlineLevel="0" collapsed="false">
      <c r="B29" s="10" t="s">
        <v>217</v>
      </c>
      <c r="C29" s="40" t="n">
        <f aca="false">(D25-C25)*10000</f>
        <v>285.852435080333</v>
      </c>
    </row>
    <row r="31" customFormat="false" ht="15" hidden="false" customHeight="false" outlineLevel="0" collapsed="false">
      <c r="B31" s="9" t="s">
        <v>218</v>
      </c>
    </row>
    <row r="32" customFormat="false" ht="15" hidden="false" customHeight="false" outlineLevel="0" collapsed="false">
      <c r="B32" s="10" t="s">
        <v>219</v>
      </c>
      <c r="C32" s="29" t="n">
        <f aca="false">SUM('Cash Flow'!D38:G38)+H17-C8</f>
        <v>6329513.82608696</v>
      </c>
    </row>
    <row r="33" customFormat="false" ht="15" hidden="false" customHeight="false" outlineLevel="0" collapsed="false">
      <c r="B33" s="10" t="s">
        <v>220</v>
      </c>
      <c r="C33" s="29" t="n">
        <f aca="false">C8+C17</f>
        <v>4805546.17391304</v>
      </c>
    </row>
    <row r="34" customFormat="false" ht="15" hidden="false" customHeight="false" outlineLevel="0" collapsed="false">
      <c r="B34" s="31" t="s">
        <v>221</v>
      </c>
      <c r="C34" s="32" t="n">
        <f aca="false">C32+C33</f>
        <v>11135060</v>
      </c>
    </row>
    <row r="35" customFormat="false" ht="15" hidden="false" customHeight="false" outlineLevel="0" collapsed="false">
      <c r="B35" s="10" t="s">
        <v>222</v>
      </c>
      <c r="C35" s="29" t="n">
        <f aca="false">C6/C12-C6/Assumptions!$C$44</f>
        <v>3049520.79767897</v>
      </c>
    </row>
    <row r="36" customFormat="false" ht="15" hidden="false" customHeight="true" outlineLevel="0" collapsed="false">
      <c r="B36" s="19" t="s">
        <v>223</v>
      </c>
      <c r="C36" s="19"/>
      <c r="D36" s="19"/>
      <c r="E36" s="19"/>
      <c r="F36" s="19"/>
      <c r="G36" s="19"/>
      <c r="H36" s="19"/>
    </row>
    <row r="37" customFormat="false" ht="15" hidden="false" customHeight="false" outlineLevel="0" collapsed="false">
      <c r="B37" s="19"/>
      <c r="C37" s="19"/>
      <c r="D37" s="19"/>
      <c r="E37" s="19"/>
      <c r="F37" s="19"/>
      <c r="G37" s="19"/>
      <c r="H37" s="19"/>
    </row>
  </sheetData>
  <mergeCells count="1">
    <mergeCell ref="B36:H3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H2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4"/>
    <col collapsed="false" customWidth="true" hidden="false" outlineLevel="0" max="9" min="3" style="0" width="15"/>
  </cols>
  <sheetData>
    <row r="2" customFormat="false" ht="17.35" hidden="false" customHeight="false" outlineLevel="0" collapsed="false">
      <c r="B2" s="7" t="s">
        <v>224</v>
      </c>
    </row>
    <row r="3" customFormat="false" ht="15" hidden="false" customHeight="false" outlineLevel="0" collapsed="false">
      <c r="B3" s="8" t="s">
        <v>225</v>
      </c>
    </row>
    <row r="5" customFormat="false" ht="15" hidden="false" customHeight="false" outlineLevel="0" collapsed="false">
      <c r="B5" s="9" t="s">
        <v>226</v>
      </c>
    </row>
    <row r="6" customFormat="false" ht="15" hidden="false" customHeight="false" outlineLevel="0" collapsed="false">
      <c r="B6" s="15" t="s">
        <v>119</v>
      </c>
      <c r="C6" s="41" t="n">
        <v>0.0525</v>
      </c>
      <c r="D6" s="41" t="n">
        <v>0.055</v>
      </c>
      <c r="E6" s="41" t="n">
        <v>0.0575</v>
      </c>
      <c r="F6" s="41" t="n">
        <v>0.06</v>
      </c>
      <c r="G6" s="41" t="n">
        <v>0.0625</v>
      </c>
    </row>
    <row r="7" customFormat="false" ht="15" hidden="false" customHeight="false" outlineLevel="0" collapsed="false">
      <c r="B7" s="10" t="s">
        <v>173</v>
      </c>
      <c r="C7" s="29" t="n">
        <f aca="false">Returns!$C$6/C$6*(1-Assumptions!$C$10)</f>
        <v>32674288.6666667</v>
      </c>
      <c r="D7" s="29" t="n">
        <f aca="false">Returns!$C$6/D$6*(1-Assumptions!$C$10)</f>
        <v>31189093.7272727</v>
      </c>
      <c r="E7" s="29" t="n">
        <f aca="false">Returns!$C$6/E$6*(1-Assumptions!$C$10)</f>
        <v>29833046.173913</v>
      </c>
      <c r="F7" s="29" t="n">
        <f aca="false">Returns!$C$6/F$6*(1-Assumptions!$C$10)</f>
        <v>28590002.5833333</v>
      </c>
      <c r="G7" s="29" t="n">
        <f aca="false">Returns!$C$6/G$6*(1-Assumptions!$C$10)</f>
        <v>27446402.48</v>
      </c>
    </row>
    <row r="8" customFormat="false" ht="15" hidden="false" customHeight="false" outlineLevel="0" collapsed="false">
      <c r="B8" s="10" t="s">
        <v>227</v>
      </c>
      <c r="C8" s="29" t="n">
        <f aca="false">Returns!$H$21-Returns!$C$8+C7</f>
        <v>20808390.9927536</v>
      </c>
      <c r="D8" s="29" t="n">
        <f aca="false">Returns!$H$21-Returns!$C$8+D7</f>
        <v>19323196.0533597</v>
      </c>
      <c r="E8" s="29" t="n">
        <f aca="false">Returns!$H$21-Returns!$C$8+E7</f>
        <v>17967148.5</v>
      </c>
      <c r="F8" s="29" t="n">
        <f aca="false">Returns!$H$21-Returns!$C$8+F7</f>
        <v>16724104.9094203</v>
      </c>
      <c r="G8" s="29" t="n">
        <f aca="false">Returns!$H$21-Returns!$C$8+G7</f>
        <v>15580504.806087</v>
      </c>
    </row>
    <row r="9" customFormat="false" ht="15" hidden="false" customHeight="false" outlineLevel="0" collapsed="false">
      <c r="B9" s="31" t="s">
        <v>228</v>
      </c>
      <c r="C9" s="42" t="n">
        <f aca="false">IRR(CHOOSE({1,2,3,4,5,6},Returns!$C$21,Returns!$D$21,Returns!$E$21,Returns!$F$21,Returns!$G$21,C8))</f>
        <v>0.141413527202054</v>
      </c>
      <c r="D9" s="42" t="n">
        <f aca="false">IRR(CHOOSE({1,2,3,4,5,6},Returns!$C$21,Returns!$D$21,Returns!$E$21,Returns!$F$21,Returns!$G$21,D8))</f>
        <v>0.125794781680445</v>
      </c>
      <c r="E9" s="42" t="n">
        <f aca="false">IRR(CHOOSE({1,2,3,4,5,6},Returns!$C$21,Returns!$D$21,Returns!$E$21,Returns!$F$21,Returns!$G$21,E8))</f>
        <v>0.110707316799469</v>
      </c>
      <c r="F9" s="42" t="n">
        <f aca="false">IRR(CHOOSE({1,2,3,4,5,6},Returns!$C$21,Returns!$D$21,Returns!$E$21,Returns!$F$21,Returns!$G$21,F8))</f>
        <v>0.0960903215041291</v>
      </c>
      <c r="G9" s="42" t="n">
        <f aca="false">IRR(CHOOSE({1,2,3,4,5,6},Returns!$C$21,Returns!$D$21,Returns!$E$21,Returns!$F$21,Returns!$G$21,G8))</f>
        <v>0.081889992048966</v>
      </c>
    </row>
    <row r="10" customFormat="false" ht="15" hidden="false" customHeight="true" outlineLevel="0" collapsed="false">
      <c r="B10" s="19" t="s">
        <v>229</v>
      </c>
      <c r="C10" s="19"/>
      <c r="D10" s="19"/>
      <c r="E10" s="19"/>
      <c r="F10" s="19"/>
      <c r="G10" s="19"/>
      <c r="H10" s="19"/>
    </row>
    <row r="11" customFormat="false" ht="15" hidden="false" customHeight="false" outlineLevel="0" collapsed="false">
      <c r="B11" s="19"/>
      <c r="C11" s="19"/>
      <c r="D11" s="19"/>
      <c r="E11" s="19"/>
      <c r="F11" s="19"/>
      <c r="G11" s="19"/>
      <c r="H11" s="19"/>
    </row>
    <row r="13" customFormat="false" ht="15" hidden="false" customHeight="false" outlineLevel="0" collapsed="false">
      <c r="B13" s="9" t="s">
        <v>230</v>
      </c>
    </row>
    <row r="14" customFormat="false" ht="15" hidden="false" customHeight="false" outlineLevel="0" collapsed="false">
      <c r="C14" s="35" t="s">
        <v>231</v>
      </c>
      <c r="D14" s="35" t="s">
        <v>232</v>
      </c>
      <c r="E14" s="35" t="s">
        <v>233</v>
      </c>
    </row>
    <row r="15" customFormat="false" ht="15" hidden="false" customHeight="false" outlineLevel="0" collapsed="false">
      <c r="B15" s="10" t="s">
        <v>234</v>
      </c>
      <c r="C15" s="43" t="n">
        <v>-0.09</v>
      </c>
      <c r="D15" s="43" t="n">
        <v>0</v>
      </c>
      <c r="E15" s="43" t="n">
        <v>0.06</v>
      </c>
    </row>
    <row r="16" customFormat="false" ht="15" hidden="false" customHeight="false" outlineLevel="0" collapsed="false">
      <c r="B16" s="10" t="s">
        <v>119</v>
      </c>
      <c r="C16" s="23" t="n">
        <v>0.065</v>
      </c>
      <c r="D16" s="23" t="n">
        <v>0.0575</v>
      </c>
      <c r="E16" s="23" t="n">
        <v>0.0525</v>
      </c>
    </row>
    <row r="17" customFormat="false" ht="15" hidden="false" customHeight="false" outlineLevel="0" collapsed="false">
      <c r="B17" s="10" t="s">
        <v>228</v>
      </c>
      <c r="C17" s="23" t="n">
        <v>0.0246</v>
      </c>
      <c r="D17" s="38" t="n">
        <f aca="false">Returns!$D$25</f>
        <v>0.110707316799469</v>
      </c>
      <c r="E17" s="23" t="n">
        <v>0.1656</v>
      </c>
    </row>
    <row r="18" customFormat="false" ht="15" hidden="false" customHeight="false" outlineLevel="0" collapsed="false">
      <c r="B18" s="10" t="s">
        <v>38</v>
      </c>
      <c r="C18" s="25" t="n">
        <v>1.12</v>
      </c>
      <c r="D18" s="39" t="n">
        <f aca="false">Returns!$D$26</f>
        <v>1.64352995278681</v>
      </c>
      <c r="E18" s="25" t="n">
        <v>2.07</v>
      </c>
    </row>
    <row r="19" customFormat="false" ht="15" hidden="false" customHeight="false" outlineLevel="0" collapsed="false">
      <c r="B19" s="10" t="s">
        <v>235</v>
      </c>
      <c r="C19" s="23" t="n">
        <v>0.53</v>
      </c>
    </row>
    <row r="20" customFormat="false" ht="15" hidden="false" customHeight="false" outlineLevel="0" collapsed="false">
      <c r="B20" s="10" t="s">
        <v>111</v>
      </c>
      <c r="C20" s="25" t="n">
        <v>1.83</v>
      </c>
    </row>
    <row r="21" customFormat="false" ht="15" hidden="false" customHeight="false" outlineLevel="0" collapsed="false">
      <c r="B21" s="10" t="s">
        <v>114</v>
      </c>
      <c r="C21" s="23" t="n">
        <v>0.089</v>
      </c>
    </row>
    <row r="22" customFormat="false" ht="15" hidden="false" customHeight="true" outlineLevel="0" collapsed="false">
      <c r="B22" s="19" t="s">
        <v>236</v>
      </c>
      <c r="C22" s="19"/>
      <c r="D22" s="19"/>
      <c r="E22" s="19"/>
      <c r="F22" s="19"/>
      <c r="G22" s="19"/>
      <c r="H22" s="19"/>
    </row>
    <row r="23" customFormat="false" ht="15" hidden="false" customHeight="false" outlineLevel="0" collapsed="false">
      <c r="B23" s="19"/>
      <c r="C23" s="19"/>
      <c r="D23" s="19"/>
      <c r="E23" s="19"/>
      <c r="F23" s="19"/>
      <c r="G23" s="19"/>
      <c r="H23" s="19"/>
    </row>
    <row r="24" customFormat="false" ht="15" hidden="false" customHeight="false" outlineLevel="0" collapsed="false">
      <c r="B24" s="19"/>
      <c r="C24" s="19"/>
      <c r="D24" s="19"/>
      <c r="E24" s="19"/>
      <c r="F24" s="19"/>
      <c r="G24" s="19"/>
      <c r="H24" s="19"/>
    </row>
    <row r="26" customFormat="false" ht="15" hidden="false" customHeight="false" outlineLevel="0" collapsed="false">
      <c r="B26" s="9" t="s">
        <v>237</v>
      </c>
    </row>
    <row r="27" customFormat="false" ht="15" hidden="false" customHeight="false" outlineLevel="0" collapsed="false">
      <c r="B27" s="10" t="s">
        <v>238</v>
      </c>
      <c r="C27" s="23" t="n">
        <v>0.0782</v>
      </c>
    </row>
    <row r="28" customFormat="false" ht="15" hidden="false" customHeight="false" outlineLevel="0" collapsed="false">
      <c r="B28" s="10" t="s">
        <v>239</v>
      </c>
      <c r="C28" s="40" t="n">
        <f aca="false">(C27-Assumptions!$C$44)*10000</f>
        <v>207</v>
      </c>
    </row>
    <row r="29" customFormat="false" ht="15" hidden="false" customHeight="false" outlineLevel="0" collapsed="false">
      <c r="B29" s="8" t="s">
        <v>240</v>
      </c>
    </row>
  </sheetData>
  <mergeCells count="2">
    <mergeCell ref="B10:H11"/>
    <mergeCell ref="B22:H2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2026-08-12T09:14:51Z</dcterms:created>
  <dc:creator>openpyxl</dc:creator>
  <dc:description/>
  <dc:language>en-US</dc:language>
  <cp:lastModifiedBy/>
  <dcterms:modified xsi:type="dcterms:W3CDTF">2026-08-12T09:17:59Z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