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Case 1 — Logistics" sheetId="2" state="visible" r:id="rId4"/>
    <sheet name="Case 2 — Development" sheetId="3" state="visible" r:id="rId5"/>
    <sheet name="Case 3 — Waterfall"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<sst xmlns="http://schemas.openxmlformats.org/spreadsheetml/2006/main" count="135" uniqueCount="120">
  <si>
    <t xml:space="preserve">PRACTICE CASES 1–3</t>
  </si>
  <si>
    <t xml:space="preserve">Companion file to Real Estate Financial Modeling by Julian R. Sterling — Appendix C</t>
  </si>
  <si>
    <t xml:space="preserve">Three timed cases, each on its own sheet: the brief, a blank working area, and the full solution.</t>
  </si>
  <si>
    <t xml:space="preserve">Case 1 — Single-let logistics · 45 minutes</t>
  </si>
  <si>
    <t xml:space="preserve">Case 2 — Development residual · 60 minutes</t>
  </si>
  <si>
    <t xml:space="preserve">Case 3 — Equity waterfall · 30 minutes</t>
  </si>
  <si>
    <t xml:space="preserve">Work them against a clock, on the blank area, before you look at the solution block below it. The solution cells are live formulas, so once you have your own answer you can change an input and watch both move.</t>
  </si>
  <si>
    <t xml:space="preserve">Blue text is an input you may edit. Black text is a formula.</t>
  </si>
  <si>
    <t xml:space="preserve">The modeling test is not an arithmetic test. It is a test of whether you can state an assumption, defend it, and say what the answer depends on (Chapter 18).</t>
  </si>
  <si>
    <t xml:space="preserve">Not investment advice. All figures are illustrative.</t>
  </si>
  <si>
    <t xml:space="preserve">CASE 1 — SINGLE-LET LOGISTICS</t>
  </si>
  <si>
    <t xml:space="preserve">45 minutes. A 12,000 sq m distribution warehouse, let on a full repairing and insuring lease with ten years unexpired, no break. Rent fixed with an open-market review at the end of year five. Required: net initial yield, unlevered internal rate of return, and the two sentences you would say about the risk.</t>
  </si>
  <si>
    <t xml:space="preserve">INPUTS</t>
  </si>
  <si>
    <t xml:space="preserve">Area</t>
  </si>
  <si>
    <t xml:space="preserve">12000</t>
  </si>
  <si>
    <t xml:space="preserve">sq m</t>
  </si>
  <si>
    <t xml:space="preserve">Passing rent</t>
  </si>
  <si>
    <t xml:space="preserve">per year</t>
  </si>
  <si>
    <t xml:space="preserve">Asking price</t>
  </si>
  <si>
    <t xml:space="preserve">Acquisition costs</t>
  </si>
  <si>
    <t xml:space="preserve">% of price</t>
  </si>
  <si>
    <t xml:space="preserve">Non-recoverable landlord costs</t>
  </si>
  <si>
    <t xml:space="preserve">% of rent</t>
  </si>
  <si>
    <t xml:space="preserve">Rental growth</t>
  </si>
  <si>
    <t xml:space="preserve">% per year</t>
  </si>
  <si>
    <t xml:space="preserve">Review at end of year</t>
  </si>
  <si>
    <t xml:space="preserve">Exit yield</t>
  </si>
  <si>
    <t xml:space="preserve">Disposal costs</t>
  </si>
  <si>
    <t xml:space="preserve">YOUR WORKING</t>
  </si>
  <si>
    <t xml:space="preserve">(use the space below)</t>
  </si>
  <si>
    <t xml:space="preserve">SOLUTION</t>
  </si>
  <si>
    <t xml:space="preserve">Total cost</t>
  </si>
  <si>
    <t xml:space="preserve">Net operating income</t>
  </si>
  <si>
    <t xml:space="preserve">Net initial yield</t>
  </si>
  <si>
    <t xml:space="preserve">Gross initial yield</t>
  </si>
  <si>
    <t xml:space="preserve">Rent after the year-five review</t>
  </si>
  <si>
    <t xml:space="preserve">Forward net operating income</t>
  </si>
  <si>
    <t xml:space="preserve">Gross exit value</t>
  </si>
  <si>
    <t xml:space="preserve">Net sale proceeds</t>
  </si>
  <si>
    <t xml:space="preserve">Cash flow</t>
  </si>
  <si>
    <t xml:space="preserve">Unlevered</t>
  </si>
  <si>
    <t xml:space="preserve">Unlevered internal rate of return</t>
  </si>
  <si>
    <t xml:space="preserve">Equity multiple</t>
  </si>
  <si>
    <t xml:space="preserve">The two sentences: this is a bond with a building attached — the entire return above the 5 percent running yield comes from one event, the year-five review, and from the exit yield. And because the income is fixed for five years while costs are not, the real return depends heavily on inflation being lower than the assumed rental growth at the review.</t>
  </si>
  <si>
    <t xml:space="preserve">CASE 2 — DEVELOPMENT RESIDUAL</t>
  </si>
  <si>
    <t xml:space="preserve">60 minutes. A cleared urban site with consent for 9,000 sq m gross internal area, 8,000 net lettable. Required: residual land value, total development cost, profit on cost, development yield and the spread.</t>
  </si>
  <si>
    <t xml:space="preserve">Gross internal area</t>
  </si>
  <si>
    <t xml:space="preserve">Net lettable area</t>
  </si>
  <si>
    <t xml:space="preserve">Build cost</t>
  </si>
  <si>
    <t xml:space="preserve">per sq m of GIA</t>
  </si>
  <si>
    <t xml:space="preserve">Soft costs</t>
  </si>
  <si>
    <t xml:space="preserve">% of build</t>
  </si>
  <si>
    <t xml:space="preserve">Contingency</t>
  </si>
  <si>
    <t xml:space="preserve">% of build + soft</t>
  </si>
  <si>
    <t xml:space="preserve">Market rent on completion</t>
  </si>
  <si>
    <t xml:space="preserve">per sq m</t>
  </si>
  <si>
    <t xml:space="preserve">Gross-to-net income gap</t>
  </si>
  <si>
    <t xml:space="preserve">Investment yield</t>
  </si>
  <si>
    <t xml:space="preserve">Sale costs</t>
  </si>
  <si>
    <t xml:space="preserve">Land acquisition costs</t>
  </si>
  <si>
    <t xml:space="preserve">Finance rate</t>
  </si>
  <si>
    <t xml:space="preserve">Land funded for</t>
  </si>
  <si>
    <t xml:space="preserve">months</t>
  </si>
  <si>
    <t xml:space="preserve">Construction period</t>
  </si>
  <si>
    <t xml:space="preserve">Average construction drawn</t>
  </si>
  <si>
    <t xml:space="preserve">Profit on cost required</t>
  </si>
  <si>
    <t xml:space="preserve">Land value — iterate this cell</t>
  </si>
  <si>
    <t xml:space="preserve">Change until profit on cost meets the requirement</t>
  </si>
  <si>
    <t xml:space="preserve">Stabilized net operating income</t>
  </si>
  <si>
    <t xml:space="preserve">Gross development value</t>
  </si>
  <si>
    <t xml:space="preserve">Construction</t>
  </si>
  <si>
    <t xml:space="preserve">Construction and soft total</t>
  </si>
  <si>
    <t xml:space="preserve">Land plus costs</t>
  </si>
  <si>
    <t xml:space="preserve">Finance on land</t>
  </si>
  <si>
    <t xml:space="preserve">Finance on construction</t>
  </si>
  <si>
    <t xml:space="preserve">Total finance</t>
  </si>
  <si>
    <t xml:space="preserve">Total development cost</t>
  </si>
  <si>
    <t xml:space="preserve">Profit</t>
  </si>
  <si>
    <t xml:space="preserve">Profit on cost</t>
  </si>
  <si>
    <t xml:space="preserve">Meets the requirement?</t>
  </si>
  <si>
    <t xml:space="preserve">Residual land value per sq m of GIA</t>
  </si>
  <si>
    <t xml:space="preserve">Development yield</t>
  </si>
  <si>
    <t xml:space="preserve">Spread over investment yield (bp)</t>
  </si>
  <si>
    <t xml:space="preserve">Land as a share of total cost</t>
  </si>
  <si>
    <t xml:space="preserve">Value lost on a 5% fall in GDV</t>
  </si>
  <si>
    <t xml:space="preserve">  as a share of land value</t>
  </si>
  <si>
    <t xml:space="preserve">The point of the case is the gearing. Land is about 15 percent of total cost. A 5 percent fall in gross development value removes roughly 39 percent of the land value. Say that sentence in the interview.</t>
  </si>
  <si>
    <t xml:space="preserve">CASE 3 — EQUITY WATERFALL</t>
  </si>
  <si>
    <t xml:space="preserve">30 minutes. A joint venture. Distributions run: an 8 percent simple preferred return on unreturned capital paid pro rata; then return of capital pro rata; then the residual split 80 percent pro rata and 20 percent as promote to the sponsor. Required: the deal-level return, the investor return, the sponsor return, and the promote as a share of profit.</t>
  </si>
  <si>
    <t xml:space="preserve">Total equity</t>
  </si>
  <si>
    <t xml:space="preserve">Investor share</t>
  </si>
  <si>
    <t xml:space="preserve">Sponsor share</t>
  </si>
  <si>
    <t xml:space="preserve">Preferred return</t>
  </si>
  <si>
    <t xml:space="preserve">simple, on unreturned capital</t>
  </si>
  <si>
    <t xml:space="preserve">Promote</t>
  </si>
  <si>
    <t xml:space="preserve">of the residual</t>
  </si>
  <si>
    <t xml:space="preserve">Annual distribution, years 1–4</t>
  </si>
  <si>
    <t xml:space="preserve">Year 5 distribution</t>
  </si>
  <si>
    <t xml:space="preserve">SOLUTION — the accrual</t>
  </si>
  <si>
    <t xml:space="preserve">Preferred accruing each year</t>
  </si>
  <si>
    <t xml:space="preserve">Shortfall accumulated after year 4</t>
  </si>
  <si>
    <t xml:space="preserve">Preferred owed at year 5</t>
  </si>
  <si>
    <t xml:space="preserve">YEAR 5 — the split</t>
  </si>
  <si>
    <t xml:space="preserve">Total</t>
  </si>
  <si>
    <t xml:space="preserve">Investor</t>
  </si>
  <si>
    <t xml:space="preserve">Sponsor</t>
  </si>
  <si>
    <t xml:space="preserve">Tier 1 — preferred return</t>
  </si>
  <si>
    <t xml:space="preserve">Tier 2 — return of capital</t>
  </si>
  <si>
    <t xml:space="preserve">Tier 3 — residual</t>
  </si>
  <si>
    <t xml:space="preserve">   promote to sponsor</t>
  </si>
  <si>
    <t xml:space="preserve">   pro rata balance</t>
  </si>
  <si>
    <t xml:space="preserve">Total year 5</t>
  </si>
  <si>
    <t xml:space="preserve">CASH FLOWS AND RETURNS</t>
  </si>
  <si>
    <t xml:space="preserve">Year</t>
  </si>
  <si>
    <t xml:space="preserve">Deal level</t>
  </si>
  <si>
    <t xml:space="preserve">IRR</t>
  </si>
  <si>
    <t xml:space="preserve">Multiple</t>
  </si>
  <si>
    <t xml:space="preserve">Total profit</t>
  </si>
  <si>
    <t xml:space="preserve">Promote as a share of profit</t>
  </si>
  <si>
    <t xml:space="preserve">A 20 percent promote costs the investor about 10 percent of the profit here — well under the headline, because the promote applies only above the preferred return and the return of capital. The answer to "how much does a 20 percent promote actually cost?" is: it depends entirely on the return, and at moderate performance it is roughly half the headline rate.</t>
  </si>
</sst>
</file>

<file path=xl/styles.xml><?xml version="1.0" encoding="utf-8"?>
<styleSheet xmlns="http://schemas.openxmlformats.org/spreadsheetml/2006/main">
  <numFmts count="6">
    <numFmt numFmtId="164" formatCode="General"/>
    <numFmt numFmtId="165" formatCode="#,##0;\(#,##0\);\-"/>
    <numFmt numFmtId="166" formatCode="0.00%"/>
    <numFmt numFmtId="167" formatCode="0"/>
    <numFmt numFmtId="168" formatCode="0.00\x"/>
    <numFmt numFmtId="169" formatCode="#,##0.00"/>
  </numFmts>
  <fonts count="11">
    <font>
      <sz val="11"/>
      <color theme="1"/>
      <name val="Calibri"/>
      <family val="2"/>
      <charset val="1"/>
    </font>
    <font>
      <sz val="10"/>
      <name val="Arial"/>
      <family val="0"/>
    </font>
    <font>
      <sz val="10"/>
      <name val="Arial"/>
      <family val="0"/>
    </font>
    <font>
      <sz val="10"/>
      <name val="Arial"/>
      <family val="0"/>
    </font>
    <font>
      <b val="true"/>
      <sz val="14"/>
      <color rgb="FF1F3864"/>
      <name val="Arial"/>
      <family val="0"/>
      <charset val="1"/>
    </font>
    <font>
      <i val="true"/>
      <sz val="9"/>
      <color rgb="FF595959"/>
      <name val="Arial"/>
      <family val="0"/>
      <charset val="1"/>
    </font>
    <font>
      <sz val="10"/>
      <name val="Arial"/>
      <family val="0"/>
      <charset val="1"/>
    </font>
    <font>
      <b val="true"/>
      <sz val="10"/>
      <name val="Arial"/>
      <family val="0"/>
      <charset val="1"/>
    </font>
    <font>
      <b val="true"/>
      <sz val="11"/>
      <color rgb="FF1F3864"/>
      <name val="Arial"/>
      <family val="0"/>
      <charset val="1"/>
    </font>
    <font>
      <sz val="10"/>
      <color rgb="FF0000FF"/>
      <name val="Arial"/>
      <family val="0"/>
      <charset val="1"/>
    </font>
    <font>
      <b val="true"/>
      <sz val="10"/>
      <color rgb="FFFFFFFF"/>
      <name val="Arial"/>
      <family val="0"/>
      <charset val="1"/>
    </font>
  </fonts>
  <fills count="5">
    <fill>
      <patternFill patternType="none"/>
    </fill>
    <fill>
      <patternFill patternType="gray125"/>
    </fill>
    <fill>
      <patternFill patternType="solid">
        <fgColor rgb="FFEEF2F8"/>
        <bgColor rgb="FFFFFFFF"/>
      </patternFill>
    </fill>
    <fill>
      <patternFill patternType="solid">
        <fgColor rgb="FF1F3864"/>
        <bgColor rgb="FF333333"/>
      </patternFill>
    </fill>
    <fill>
      <patternFill patternType="solid">
        <fgColor rgb="FFFFFF00"/>
        <bgColor rgb="FFFFFF00"/>
      </patternFill>
    </fill>
  </fills>
  <borders count="2">
    <border diagonalUp="false" diagonalDown="false">
      <left/>
      <right/>
      <top/>
      <bottom/>
      <diagonal/>
    </border>
    <border diagonalUp="false" diagonalDown="false">
      <left/>
      <right/>
      <top style="thin">
        <color rgb="FFBFBFBF"/>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5" fontId="9"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6" fontId="9" fillId="0" borderId="0" xfId="0" applyFont="true" applyBorder="false" applyAlignment="false" applyProtection="false">
      <alignment horizontal="general" vertical="bottom" textRotation="0" wrapText="false" indent="0" shrinkToFit="false"/>
      <protection locked="true" hidden="false"/>
    </xf>
    <xf numFmtId="167" fontId="9" fillId="0"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5" fontId="6" fillId="0" borderId="0" xfId="0" applyFont="true" applyBorder="false" applyAlignment="false" applyProtection="false">
      <alignment horizontal="general" vertical="bottom" textRotation="0" wrapText="false" indent="0" shrinkToFit="false"/>
      <protection locked="true" hidden="false"/>
    </xf>
    <xf numFmtId="166"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10" fillId="3" borderId="0" xfId="0" applyFont="tru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6" fontId="7" fillId="0" borderId="1" xfId="0" applyFont="true" applyBorder="true" applyAlignment="false" applyProtection="false">
      <alignment horizontal="general" vertical="bottom" textRotation="0" wrapText="false" indent="0" shrinkToFit="false"/>
      <protection locked="true" hidden="false"/>
    </xf>
    <xf numFmtId="168" fontId="7" fillId="0" borderId="1" xfId="0" applyFont="true" applyBorder="true" applyAlignment="false" applyProtection="false">
      <alignment horizontal="general" vertical="bottom" textRotation="0" wrapText="false" indent="0" shrinkToFit="false"/>
      <protection locked="true" hidden="false"/>
    </xf>
    <xf numFmtId="169" fontId="9" fillId="0" borderId="0" xfId="0" applyFont="true" applyBorder="false" applyAlignment="false" applyProtection="false">
      <alignment horizontal="general" vertical="bottom" textRotation="0" wrapText="false" indent="0" shrinkToFit="false"/>
      <protection locked="true" hidden="false"/>
    </xf>
    <xf numFmtId="165" fontId="9" fillId="4" borderId="0" xfId="0" applyFont="true" applyBorder="false" applyAlignment="false" applyProtection="false">
      <alignment horizontal="general" vertical="bottom" textRotation="0" wrapText="false" indent="0" shrinkToFit="false"/>
      <protection locked="true" hidden="false"/>
    </xf>
    <xf numFmtId="165" fontId="7" fillId="0" borderId="1" xfId="0" applyFont="true" applyBorder="true" applyAlignment="false" applyProtection="false">
      <alignment horizontal="general" vertical="bottom" textRotation="0" wrapText="false" indent="0" shrinkToFit="false"/>
      <protection locked="true" hidden="false"/>
    </xf>
    <xf numFmtId="169" fontId="6" fillId="0" borderId="0" xfId="0" applyFont="true" applyBorder="false" applyAlignment="false" applyProtection="false">
      <alignment horizontal="general" vertical="bottom" textRotation="0" wrapText="false" indent="0" shrinkToFit="false"/>
      <protection locked="true" hidden="false"/>
    </xf>
    <xf numFmtId="167" fontId="6" fillId="0" borderId="0" xfId="0" applyFont="true" applyBorder="false" applyAlignment="false" applyProtection="false">
      <alignment horizontal="general" vertical="bottom" textRotation="0" wrapText="false" indent="0" shrinkToFit="false"/>
      <protection locked="true" hidden="false"/>
    </xf>
    <xf numFmtId="164" fontId="10" fillId="3" borderId="0" xfId="0" applyFont="tru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8"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EEF2F8"/>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4"/>
  </cols>
  <sheetData>
    <row r="2" customFormat="false" ht="17.35" hidden="false" customHeight="false" outlineLevel="0" collapsed="false">
      <c r="B2" s="1" t="s">
        <v>0</v>
      </c>
    </row>
    <row r="3" customFormat="false" ht="15" hidden="false" customHeight="false" outlineLevel="0" collapsed="false">
      <c r="B3" s="2" t="s">
        <v>1</v>
      </c>
    </row>
    <row r="4" customFormat="false" ht="15" hidden="false" customHeight="false" outlineLevel="0" collapsed="false">
      <c r="B4" s="3"/>
    </row>
    <row r="5" customFormat="false" ht="15" hidden="false" customHeight="false" outlineLevel="0" collapsed="false">
      <c r="B5" s="3" t="s">
        <v>2</v>
      </c>
    </row>
    <row r="6" customFormat="false" ht="15" hidden="false" customHeight="false" outlineLevel="0" collapsed="false">
      <c r="B6" s="3"/>
    </row>
    <row r="7" customFormat="false" ht="15" hidden="false" customHeight="false" outlineLevel="0" collapsed="false">
      <c r="B7" s="4" t="s">
        <v>3</v>
      </c>
    </row>
    <row r="8" customFormat="false" ht="15" hidden="false" customHeight="false" outlineLevel="0" collapsed="false">
      <c r="B8" s="4" t="s">
        <v>4</v>
      </c>
    </row>
    <row r="9" customFormat="false" ht="15" hidden="false" customHeight="false" outlineLevel="0" collapsed="false">
      <c r="B9" s="4" t="s">
        <v>5</v>
      </c>
    </row>
    <row r="10" customFormat="false" ht="15" hidden="false" customHeight="false" outlineLevel="0" collapsed="false">
      <c r="B10" s="3"/>
    </row>
    <row r="11" customFormat="false" ht="23.85" hidden="false" customHeight="false" outlineLevel="0" collapsed="false">
      <c r="B11" s="3" t="s">
        <v>6</v>
      </c>
    </row>
    <row r="12" customFormat="false" ht="15" hidden="false" customHeight="false" outlineLevel="0" collapsed="false">
      <c r="B12" s="3"/>
    </row>
    <row r="13" customFormat="false" ht="15" hidden="false" customHeight="false" outlineLevel="0" collapsed="false">
      <c r="B13" s="3" t="s">
        <v>7</v>
      </c>
    </row>
    <row r="14" customFormat="false" ht="15" hidden="false" customHeight="false" outlineLevel="0" collapsed="false">
      <c r="B14" s="3"/>
    </row>
    <row r="15" customFormat="false" ht="22.35" hidden="false" customHeight="false" outlineLevel="0" collapsed="false">
      <c r="B15" s="2" t="s">
        <v>8</v>
      </c>
    </row>
    <row r="16" customFormat="false" ht="15" hidden="false" customHeight="false" outlineLevel="0" collapsed="false">
      <c r="B16" s="3"/>
    </row>
    <row r="17" customFormat="false" ht="15" hidden="false" customHeight="false" outlineLevel="0" collapsed="false">
      <c r="B17" s="2" t="s">
        <v>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4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6"/>
    <col collapsed="false" customWidth="true" hidden="false" outlineLevel="0" max="9" min="3" style="0" width="15"/>
  </cols>
  <sheetData>
    <row r="2" customFormat="false" ht="17.35" hidden="false" customHeight="false" outlineLevel="0" collapsed="false">
      <c r="B2" s="5" t="s">
        <v>10</v>
      </c>
    </row>
    <row r="3" customFormat="false" ht="15" hidden="false" customHeight="true" outlineLevel="0" collapsed="false">
      <c r="B3" s="6" t="s">
        <v>11</v>
      </c>
      <c r="C3" s="6"/>
      <c r="D3" s="6"/>
      <c r="E3" s="6"/>
      <c r="F3" s="6"/>
      <c r="G3" s="6"/>
      <c r="H3" s="6"/>
      <c r="I3" s="6"/>
    </row>
    <row r="4" customFormat="false" ht="15" hidden="false" customHeight="false" outlineLevel="0" collapsed="false">
      <c r="B4" s="6"/>
      <c r="C4" s="6"/>
      <c r="D4" s="6"/>
      <c r="E4" s="6"/>
      <c r="F4" s="6"/>
      <c r="G4" s="6"/>
      <c r="H4" s="6"/>
      <c r="I4" s="6"/>
    </row>
    <row r="6" customFormat="false" ht="15" hidden="false" customHeight="false" outlineLevel="0" collapsed="false">
      <c r="B6" s="7" t="s">
        <v>12</v>
      </c>
    </row>
    <row r="7" customFormat="false" ht="15" hidden="false" customHeight="false" outlineLevel="0" collapsed="false">
      <c r="B7" s="8" t="s">
        <v>13</v>
      </c>
      <c r="C7" s="9" t="s">
        <v>14</v>
      </c>
      <c r="D7" s="10" t="s">
        <v>15</v>
      </c>
    </row>
    <row r="8" customFormat="false" ht="15" hidden="false" customHeight="false" outlineLevel="0" collapsed="false">
      <c r="B8" s="8" t="s">
        <v>16</v>
      </c>
      <c r="C8" s="9" t="n">
        <v>780000</v>
      </c>
      <c r="D8" s="10" t="s">
        <v>17</v>
      </c>
    </row>
    <row r="9" customFormat="false" ht="15" hidden="false" customHeight="false" outlineLevel="0" collapsed="false">
      <c r="B9" s="8" t="s">
        <v>18</v>
      </c>
      <c r="C9" s="9" t="n">
        <v>14500000</v>
      </c>
      <c r="D9" s="10"/>
    </row>
    <row r="10" customFormat="false" ht="15" hidden="false" customHeight="false" outlineLevel="0" collapsed="false">
      <c r="B10" s="8" t="s">
        <v>19</v>
      </c>
      <c r="C10" s="11" t="n">
        <v>0.055</v>
      </c>
      <c r="D10" s="10" t="s">
        <v>20</v>
      </c>
    </row>
    <row r="11" customFormat="false" ht="15" hidden="false" customHeight="false" outlineLevel="0" collapsed="false">
      <c r="B11" s="8" t="s">
        <v>21</v>
      </c>
      <c r="C11" s="11" t="n">
        <v>0.015</v>
      </c>
      <c r="D11" s="10" t="s">
        <v>22</v>
      </c>
    </row>
    <row r="12" customFormat="false" ht="15" hidden="false" customHeight="false" outlineLevel="0" collapsed="false">
      <c r="B12" s="8" t="s">
        <v>23</v>
      </c>
      <c r="C12" s="11" t="n">
        <v>0.03</v>
      </c>
      <c r="D12" s="10" t="s">
        <v>24</v>
      </c>
    </row>
    <row r="13" customFormat="false" ht="15" hidden="false" customHeight="false" outlineLevel="0" collapsed="false">
      <c r="B13" s="8" t="s">
        <v>25</v>
      </c>
      <c r="C13" s="12" t="n">
        <v>5</v>
      </c>
      <c r="D13" s="10"/>
    </row>
    <row r="14" customFormat="false" ht="15" hidden="false" customHeight="false" outlineLevel="0" collapsed="false">
      <c r="B14" s="8" t="s">
        <v>26</v>
      </c>
      <c r="C14" s="11" t="n">
        <v>0.0525</v>
      </c>
      <c r="D14" s="10"/>
    </row>
    <row r="15" customFormat="false" ht="15" hidden="false" customHeight="false" outlineLevel="0" collapsed="false">
      <c r="B15" s="8" t="s">
        <v>27</v>
      </c>
      <c r="C15" s="11" t="n">
        <v>0.015</v>
      </c>
      <c r="D15" s="10"/>
    </row>
    <row r="17" customFormat="false" ht="15" hidden="false" customHeight="false" outlineLevel="0" collapsed="false">
      <c r="B17" s="7" t="s">
        <v>28</v>
      </c>
      <c r="C17" s="10" t="s">
        <v>29</v>
      </c>
    </row>
    <row r="18" customFormat="false" ht="15" hidden="false" customHeight="false" outlineLevel="0" collapsed="false">
      <c r="C18" s="13"/>
      <c r="D18" s="13"/>
      <c r="E18" s="13"/>
      <c r="F18" s="13"/>
      <c r="G18" s="13"/>
      <c r="H18" s="13"/>
    </row>
    <row r="19" customFormat="false" ht="15" hidden="false" customHeight="false" outlineLevel="0" collapsed="false">
      <c r="C19" s="13"/>
      <c r="D19" s="13"/>
      <c r="E19" s="13"/>
      <c r="F19" s="13"/>
      <c r="G19" s="13"/>
      <c r="H19" s="13"/>
    </row>
    <row r="20" customFormat="false" ht="15" hidden="false" customHeight="false" outlineLevel="0" collapsed="false">
      <c r="C20" s="13"/>
      <c r="D20" s="13"/>
      <c r="E20" s="13"/>
      <c r="F20" s="13"/>
      <c r="G20" s="13"/>
      <c r="H20" s="13"/>
    </row>
    <row r="21" customFormat="false" ht="15" hidden="false" customHeight="false" outlineLevel="0" collapsed="false">
      <c r="C21" s="13"/>
      <c r="D21" s="13"/>
      <c r="E21" s="13"/>
      <c r="F21" s="13"/>
      <c r="G21" s="13"/>
      <c r="H21" s="13"/>
    </row>
    <row r="22" customFormat="false" ht="15" hidden="false" customHeight="false" outlineLevel="0" collapsed="false">
      <c r="C22" s="13"/>
      <c r="D22" s="13"/>
      <c r="E22" s="13"/>
      <c r="F22" s="13"/>
      <c r="G22" s="13"/>
      <c r="H22" s="13"/>
    </row>
    <row r="23" customFormat="false" ht="15" hidden="false" customHeight="false" outlineLevel="0" collapsed="false">
      <c r="C23" s="13"/>
      <c r="D23" s="13"/>
      <c r="E23" s="13"/>
      <c r="F23" s="13"/>
      <c r="G23" s="13"/>
      <c r="H23" s="13"/>
    </row>
    <row r="24" customFormat="false" ht="15" hidden="false" customHeight="false" outlineLevel="0" collapsed="false">
      <c r="C24" s="13"/>
      <c r="D24" s="13"/>
      <c r="E24" s="13"/>
      <c r="F24" s="13"/>
      <c r="G24" s="13"/>
      <c r="H24" s="13"/>
    </row>
    <row r="25" customFormat="false" ht="15" hidden="false" customHeight="false" outlineLevel="0" collapsed="false">
      <c r="C25" s="13"/>
      <c r="D25" s="13"/>
      <c r="E25" s="13"/>
      <c r="F25" s="13"/>
      <c r="G25" s="13"/>
      <c r="H25" s="13"/>
    </row>
    <row r="27" customFormat="false" ht="15" hidden="false" customHeight="false" outlineLevel="0" collapsed="false">
      <c r="B27" s="7" t="s">
        <v>30</v>
      </c>
    </row>
    <row r="28" customFormat="false" ht="15" hidden="false" customHeight="false" outlineLevel="0" collapsed="false">
      <c r="B28" s="8" t="s">
        <v>31</v>
      </c>
      <c r="C28" s="14" t="n">
        <f aca="false">C9*(1+C10)</f>
        <v>15297500</v>
      </c>
    </row>
    <row r="29" customFormat="false" ht="15" hidden="false" customHeight="false" outlineLevel="0" collapsed="false">
      <c r="B29" s="8" t="s">
        <v>32</v>
      </c>
      <c r="C29" s="14" t="n">
        <f aca="false">C8*(1-C11)</f>
        <v>768300</v>
      </c>
    </row>
    <row r="30" customFormat="false" ht="15" hidden="false" customHeight="false" outlineLevel="0" collapsed="false">
      <c r="B30" s="8" t="s">
        <v>33</v>
      </c>
      <c r="C30" s="15" t="n">
        <f aca="false">C29/C28</f>
        <v>0.05022389279294</v>
      </c>
    </row>
    <row r="31" customFormat="false" ht="15" hidden="false" customHeight="false" outlineLevel="0" collapsed="false">
      <c r="B31" s="8" t="s">
        <v>34</v>
      </c>
      <c r="C31" s="15" t="n">
        <f aca="false">C8/C9</f>
        <v>0.0537931034482759</v>
      </c>
    </row>
    <row r="32" customFormat="false" ht="15" hidden="false" customHeight="false" outlineLevel="0" collapsed="false">
      <c r="B32" s="8" t="s">
        <v>35</v>
      </c>
      <c r="C32" s="14" t="n">
        <f aca="false">C8*(1+C12)^C13</f>
        <v>904233.777954</v>
      </c>
    </row>
    <row r="33" customFormat="false" ht="15" hidden="false" customHeight="false" outlineLevel="0" collapsed="false">
      <c r="B33" s="8" t="s">
        <v>36</v>
      </c>
      <c r="C33" s="14" t="n">
        <f aca="false">C32*(1-C11)</f>
        <v>890670.27128469</v>
      </c>
    </row>
    <row r="34" customFormat="false" ht="15" hidden="false" customHeight="false" outlineLevel="0" collapsed="false">
      <c r="B34" s="8" t="s">
        <v>37</v>
      </c>
      <c r="C34" s="14" t="n">
        <f aca="false">C33/C14</f>
        <v>16965148.0244703</v>
      </c>
    </row>
    <row r="35" customFormat="false" ht="15" hidden="false" customHeight="false" outlineLevel="0" collapsed="false">
      <c r="B35" s="8" t="s">
        <v>38</v>
      </c>
      <c r="C35" s="14" t="n">
        <f aca="false">C34*(1-C15)</f>
        <v>16710670.8041032</v>
      </c>
    </row>
    <row r="37" customFormat="false" ht="15" hidden="false" customHeight="false" outlineLevel="0" collapsed="false">
      <c r="B37" s="16" t="s">
        <v>39</v>
      </c>
      <c r="C37" s="17" t="n">
        <v>0</v>
      </c>
      <c r="D37" s="17" t="n">
        <v>1</v>
      </c>
      <c r="E37" s="17" t="n">
        <v>2</v>
      </c>
      <c r="F37" s="17" t="n">
        <v>3</v>
      </c>
      <c r="G37" s="17" t="n">
        <v>4</v>
      </c>
      <c r="H37" s="17" t="n">
        <v>5</v>
      </c>
    </row>
    <row r="38" customFormat="false" ht="15" hidden="false" customHeight="false" outlineLevel="0" collapsed="false">
      <c r="B38" s="8" t="s">
        <v>40</v>
      </c>
      <c r="C38" s="18" t="n">
        <f aca="false">-C28</f>
        <v>-15297500</v>
      </c>
      <c r="D38" s="18" t="n">
        <f aca="false">$C$29</f>
        <v>768300</v>
      </c>
      <c r="E38" s="18" t="n">
        <f aca="false">$C$29</f>
        <v>768300</v>
      </c>
      <c r="F38" s="18" t="n">
        <f aca="false">$C$29</f>
        <v>768300</v>
      </c>
      <c r="G38" s="18" t="n">
        <f aca="false">$C$29</f>
        <v>768300</v>
      </c>
      <c r="H38" s="18" t="n">
        <f aca="false">$C$29+$C$35</f>
        <v>17478970.8041032</v>
      </c>
    </row>
    <row r="40" customFormat="false" ht="15" hidden="false" customHeight="false" outlineLevel="0" collapsed="false">
      <c r="B40" s="16" t="s">
        <v>41</v>
      </c>
      <c r="C40" s="19" t="n">
        <f aca="false">IRR(C38:H38)</f>
        <v>0.0664034845157716</v>
      </c>
    </row>
    <row r="41" customFormat="false" ht="15" hidden="false" customHeight="false" outlineLevel="0" collapsed="false">
      <c r="B41" s="16" t="s">
        <v>42</v>
      </c>
      <c r="C41" s="20" t="n">
        <f aca="false">SUM(D38:H38)/-C38</f>
        <v>1.34349866344849</v>
      </c>
    </row>
    <row r="43" customFormat="false" ht="15" hidden="false" customHeight="true" outlineLevel="0" collapsed="false">
      <c r="B43" s="6" t="s">
        <v>43</v>
      </c>
      <c r="C43" s="6"/>
      <c r="D43" s="6"/>
      <c r="E43" s="6"/>
      <c r="F43" s="6"/>
      <c r="G43" s="6"/>
      <c r="H43" s="6"/>
      <c r="I43" s="6"/>
    </row>
    <row r="44" customFormat="false" ht="15" hidden="false" customHeight="false" outlineLevel="0" collapsed="false">
      <c r="B44" s="6"/>
      <c r="C44" s="6"/>
      <c r="D44" s="6"/>
      <c r="E44" s="6"/>
      <c r="F44" s="6"/>
      <c r="G44" s="6"/>
      <c r="H44" s="6"/>
      <c r="I44" s="6"/>
    </row>
    <row r="45" customFormat="false" ht="15" hidden="false" customHeight="false" outlineLevel="0" collapsed="false">
      <c r="B45" s="6"/>
      <c r="C45" s="6"/>
      <c r="D45" s="6"/>
      <c r="E45" s="6"/>
      <c r="F45" s="6"/>
      <c r="G45" s="6"/>
      <c r="H45" s="6"/>
      <c r="I45" s="6"/>
    </row>
  </sheetData>
  <mergeCells count="2">
    <mergeCell ref="B3:I4"/>
    <mergeCell ref="B43:I4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4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6"/>
    <col collapsed="false" customWidth="true" hidden="false" outlineLevel="0" max="9" min="3" style="0" width="15"/>
  </cols>
  <sheetData>
    <row r="2" customFormat="false" ht="17.35" hidden="false" customHeight="false" outlineLevel="0" collapsed="false">
      <c r="B2" s="5" t="s">
        <v>44</v>
      </c>
    </row>
    <row r="3" customFormat="false" ht="15" hidden="false" customHeight="true" outlineLevel="0" collapsed="false">
      <c r="B3" s="6" t="s">
        <v>45</v>
      </c>
      <c r="C3" s="6"/>
      <c r="D3" s="6"/>
      <c r="E3" s="6"/>
      <c r="F3" s="6"/>
      <c r="G3" s="6"/>
      <c r="H3" s="6"/>
      <c r="I3" s="6"/>
    </row>
    <row r="4" customFormat="false" ht="15" hidden="false" customHeight="false" outlineLevel="0" collapsed="false">
      <c r="B4" s="6"/>
      <c r="C4" s="6"/>
      <c r="D4" s="6"/>
      <c r="E4" s="6"/>
      <c r="F4" s="6"/>
      <c r="G4" s="6"/>
      <c r="H4" s="6"/>
      <c r="I4" s="6"/>
    </row>
    <row r="6" customFormat="false" ht="15" hidden="false" customHeight="false" outlineLevel="0" collapsed="false">
      <c r="B6" s="7" t="s">
        <v>12</v>
      </c>
    </row>
    <row r="7" customFormat="false" ht="15" hidden="false" customHeight="false" outlineLevel="0" collapsed="false">
      <c r="B7" s="8" t="s">
        <v>46</v>
      </c>
      <c r="C7" s="9" t="n">
        <v>9000</v>
      </c>
      <c r="D7" s="10" t="s">
        <v>15</v>
      </c>
    </row>
    <row r="8" customFormat="false" ht="15" hidden="false" customHeight="false" outlineLevel="0" collapsed="false">
      <c r="B8" s="8" t="s">
        <v>47</v>
      </c>
      <c r="C8" s="9" t="n">
        <v>8000</v>
      </c>
      <c r="D8" s="10" t="s">
        <v>15</v>
      </c>
    </row>
    <row r="9" customFormat="false" ht="15" hidden="false" customHeight="false" outlineLevel="0" collapsed="false">
      <c r="B9" s="8" t="s">
        <v>48</v>
      </c>
      <c r="C9" s="21" t="n">
        <v>2450</v>
      </c>
      <c r="D9" s="10" t="s">
        <v>49</v>
      </c>
    </row>
    <row r="10" customFormat="false" ht="15" hidden="false" customHeight="false" outlineLevel="0" collapsed="false">
      <c r="B10" s="8" t="s">
        <v>50</v>
      </c>
      <c r="C10" s="11" t="n">
        <v>0.13</v>
      </c>
      <c r="D10" s="10" t="s">
        <v>51</v>
      </c>
    </row>
    <row r="11" customFormat="false" ht="15" hidden="false" customHeight="false" outlineLevel="0" collapsed="false">
      <c r="B11" s="8" t="s">
        <v>52</v>
      </c>
      <c r="C11" s="11" t="n">
        <v>0.07</v>
      </c>
      <c r="D11" s="10" t="s">
        <v>53</v>
      </c>
    </row>
    <row r="12" customFormat="false" ht="15" hidden="false" customHeight="false" outlineLevel="0" collapsed="false">
      <c r="B12" s="8" t="s">
        <v>54</v>
      </c>
      <c r="C12" s="21" t="n">
        <v>310</v>
      </c>
      <c r="D12" s="10" t="s">
        <v>55</v>
      </c>
    </row>
    <row r="13" customFormat="false" ht="15" hidden="false" customHeight="false" outlineLevel="0" collapsed="false">
      <c r="B13" s="8" t="s">
        <v>56</v>
      </c>
      <c r="C13" s="11" t="n">
        <v>0.06</v>
      </c>
      <c r="D13" s="10"/>
    </row>
    <row r="14" customFormat="false" ht="15" hidden="false" customHeight="false" outlineLevel="0" collapsed="false">
      <c r="B14" s="8" t="s">
        <v>57</v>
      </c>
      <c r="C14" s="11" t="n">
        <v>0.055</v>
      </c>
      <c r="D14" s="10"/>
    </row>
    <row r="15" customFormat="false" ht="15" hidden="false" customHeight="false" outlineLevel="0" collapsed="false">
      <c r="B15" s="8" t="s">
        <v>58</v>
      </c>
      <c r="C15" s="11" t="n">
        <v>0.015</v>
      </c>
      <c r="D15" s="10"/>
    </row>
    <row r="16" customFormat="false" ht="15" hidden="false" customHeight="false" outlineLevel="0" collapsed="false">
      <c r="B16" s="8" t="s">
        <v>59</v>
      </c>
      <c r="C16" s="11" t="n">
        <v>0.06</v>
      </c>
      <c r="D16" s="10"/>
    </row>
    <row r="17" customFormat="false" ht="15" hidden="false" customHeight="false" outlineLevel="0" collapsed="false">
      <c r="B17" s="8" t="s">
        <v>60</v>
      </c>
      <c r="C17" s="11" t="n">
        <v>0.07</v>
      </c>
      <c r="D17" s="10"/>
    </row>
    <row r="18" customFormat="false" ht="15" hidden="false" customHeight="false" outlineLevel="0" collapsed="false">
      <c r="B18" s="8" t="s">
        <v>61</v>
      </c>
      <c r="C18" s="12" t="n">
        <v>30</v>
      </c>
      <c r="D18" s="10" t="s">
        <v>62</v>
      </c>
    </row>
    <row r="19" customFormat="false" ht="15" hidden="false" customHeight="false" outlineLevel="0" collapsed="false">
      <c r="B19" s="8" t="s">
        <v>63</v>
      </c>
      <c r="C19" s="12" t="n">
        <v>24</v>
      </c>
      <c r="D19" s="10" t="s">
        <v>62</v>
      </c>
    </row>
    <row r="20" customFormat="false" ht="15" hidden="false" customHeight="false" outlineLevel="0" collapsed="false">
      <c r="B20" s="8" t="s">
        <v>64</v>
      </c>
      <c r="C20" s="11" t="n">
        <v>0.55</v>
      </c>
      <c r="D20" s="10"/>
    </row>
    <row r="21" customFormat="false" ht="15" hidden="false" customHeight="false" outlineLevel="0" collapsed="false">
      <c r="B21" s="8" t="s">
        <v>65</v>
      </c>
      <c r="C21" s="11" t="n">
        <v>0.18</v>
      </c>
      <c r="D21" s="10"/>
    </row>
    <row r="22" customFormat="false" ht="15" hidden="false" customHeight="false" outlineLevel="0" collapsed="false">
      <c r="B22" s="8" t="s">
        <v>66</v>
      </c>
      <c r="C22" s="22" t="n">
        <v>5400000</v>
      </c>
      <c r="D22" s="10"/>
      <c r="E22" s="10" t="s">
        <v>67</v>
      </c>
    </row>
    <row r="24" customFormat="false" ht="15" hidden="false" customHeight="false" outlineLevel="0" collapsed="false">
      <c r="B24" s="7" t="s">
        <v>30</v>
      </c>
    </row>
    <row r="25" customFormat="false" ht="15" hidden="false" customHeight="false" outlineLevel="0" collapsed="false">
      <c r="B25" s="8" t="s">
        <v>68</v>
      </c>
      <c r="C25" s="14" t="n">
        <f aca="false">C12*C8*(1-C13)</f>
        <v>2331200</v>
      </c>
    </row>
    <row r="26" customFormat="false" ht="15" hidden="false" customHeight="false" outlineLevel="0" collapsed="false">
      <c r="B26" s="8" t="s">
        <v>69</v>
      </c>
      <c r="C26" s="14" t="n">
        <f aca="false">C25/C14</f>
        <v>42385454.5454546</v>
      </c>
    </row>
    <row r="27" customFormat="false" ht="15" hidden="false" customHeight="false" outlineLevel="0" collapsed="false">
      <c r="B27" s="8" t="s">
        <v>58</v>
      </c>
      <c r="C27" s="14" t="n">
        <f aca="false">C26*C15</f>
        <v>635781.818181818</v>
      </c>
    </row>
    <row r="28" customFormat="false" ht="15" hidden="false" customHeight="false" outlineLevel="0" collapsed="false">
      <c r="B28" s="8" t="s">
        <v>70</v>
      </c>
      <c r="C28" s="14" t="n">
        <f aca="false">C9*C7</f>
        <v>22050000</v>
      </c>
    </row>
    <row r="29" customFormat="false" ht="15" hidden="false" customHeight="false" outlineLevel="0" collapsed="false">
      <c r="B29" s="8" t="s">
        <v>50</v>
      </c>
      <c r="C29" s="14" t="n">
        <f aca="false">C28*C10</f>
        <v>2866500</v>
      </c>
    </row>
    <row r="30" customFormat="false" ht="15" hidden="false" customHeight="false" outlineLevel="0" collapsed="false">
      <c r="B30" s="8" t="s">
        <v>52</v>
      </c>
      <c r="C30" s="14" t="n">
        <f aca="false">(C28+C29)*C11</f>
        <v>1744155</v>
      </c>
    </row>
    <row r="31" customFormat="false" ht="15" hidden="false" customHeight="false" outlineLevel="0" collapsed="false">
      <c r="B31" s="16" t="s">
        <v>71</v>
      </c>
      <c r="C31" s="23" t="n">
        <f aca="false">C28+C29+C30</f>
        <v>26660655</v>
      </c>
    </row>
    <row r="32" customFormat="false" ht="15" hidden="false" customHeight="false" outlineLevel="0" collapsed="false">
      <c r="B32" s="8" t="s">
        <v>72</v>
      </c>
      <c r="C32" s="14" t="n">
        <f aca="false">C22*(1+C16)</f>
        <v>5724000</v>
      </c>
    </row>
    <row r="33" customFormat="false" ht="15" hidden="false" customHeight="false" outlineLevel="0" collapsed="false">
      <c r="B33" s="8" t="s">
        <v>73</v>
      </c>
      <c r="C33" s="14" t="n">
        <f aca="false">C32*C17*C18/12</f>
        <v>1001700</v>
      </c>
    </row>
    <row r="34" customFormat="false" ht="15" hidden="false" customHeight="false" outlineLevel="0" collapsed="false">
      <c r="B34" s="8" t="s">
        <v>74</v>
      </c>
      <c r="C34" s="14" t="n">
        <f aca="false">C31*C20*C17*C19/12</f>
        <v>2052870.435</v>
      </c>
    </row>
    <row r="35" customFormat="false" ht="15" hidden="false" customHeight="false" outlineLevel="0" collapsed="false">
      <c r="B35" s="16" t="s">
        <v>75</v>
      </c>
      <c r="C35" s="23" t="n">
        <f aca="false">C33+C34</f>
        <v>3054570.435</v>
      </c>
    </row>
    <row r="36" customFormat="false" ht="15" hidden="false" customHeight="false" outlineLevel="0" collapsed="false">
      <c r="B36" s="16" t="s">
        <v>76</v>
      </c>
      <c r="C36" s="23" t="n">
        <f aca="false">C32+C31+C35</f>
        <v>35439225.435</v>
      </c>
    </row>
    <row r="37" customFormat="false" ht="15" hidden="false" customHeight="false" outlineLevel="0" collapsed="false">
      <c r="B37" s="16" t="s">
        <v>77</v>
      </c>
      <c r="C37" s="23" t="n">
        <f aca="false">C26-C27-C36</f>
        <v>6310447.29227272</v>
      </c>
    </row>
    <row r="38" customFormat="false" ht="15" hidden="false" customHeight="false" outlineLevel="0" collapsed="false">
      <c r="B38" s="16" t="s">
        <v>78</v>
      </c>
      <c r="C38" s="19" t="n">
        <f aca="false">C37/C36</f>
        <v>0.178063916883479</v>
      </c>
    </row>
    <row r="39" customFormat="false" ht="15" hidden="false" customHeight="false" outlineLevel="0" collapsed="false">
      <c r="B39" s="8" t="s">
        <v>79</v>
      </c>
      <c r="C39" s="8" t="str">
        <f aca="false">IF(C38&gt;=C21,"OK","BELOW REQUIREMENT")</f>
        <v>BELOW REQUIREMENT</v>
      </c>
    </row>
    <row r="40" customFormat="false" ht="15" hidden="false" customHeight="false" outlineLevel="0" collapsed="false">
      <c r="B40" s="8" t="s">
        <v>80</v>
      </c>
      <c r="C40" s="24" t="n">
        <f aca="false">C22/C7</f>
        <v>600</v>
      </c>
    </row>
    <row r="41" customFormat="false" ht="15" hidden="false" customHeight="false" outlineLevel="0" collapsed="false">
      <c r="B41" s="8" t="s">
        <v>81</v>
      </c>
      <c r="C41" s="15" t="n">
        <f aca="false">C25/C36</f>
        <v>0.0657802187092298</v>
      </c>
    </row>
    <row r="42" customFormat="false" ht="15" hidden="false" customHeight="false" outlineLevel="0" collapsed="false">
      <c r="B42" s="8" t="s">
        <v>82</v>
      </c>
      <c r="C42" s="25" t="n">
        <f aca="false">(C41-C14)*10000</f>
        <v>107.802187092298</v>
      </c>
    </row>
    <row r="44" customFormat="false" ht="15" hidden="false" customHeight="false" outlineLevel="0" collapsed="false">
      <c r="B44" s="8" t="s">
        <v>83</v>
      </c>
      <c r="C44" s="15" t="n">
        <f aca="false">C32/C36</f>
        <v>0.161515945389341</v>
      </c>
    </row>
    <row r="45" customFormat="false" ht="15" hidden="false" customHeight="false" outlineLevel="0" collapsed="false">
      <c r="B45" s="8" t="s">
        <v>84</v>
      </c>
      <c r="C45" s="14" t="n">
        <f aca="false">C26*0.05</f>
        <v>2119272.72727273</v>
      </c>
    </row>
    <row r="46" customFormat="false" ht="15" hidden="false" customHeight="false" outlineLevel="0" collapsed="false">
      <c r="B46" s="8" t="s">
        <v>85</v>
      </c>
      <c r="C46" s="15" t="n">
        <f aca="false">C45/C22</f>
        <v>0.392457912457913</v>
      </c>
    </row>
    <row r="47" customFormat="false" ht="15" hidden="false" customHeight="true" outlineLevel="0" collapsed="false">
      <c r="B47" s="6" t="s">
        <v>86</v>
      </c>
      <c r="C47" s="6"/>
      <c r="D47" s="6"/>
      <c r="E47" s="6"/>
      <c r="F47" s="6"/>
      <c r="G47" s="6"/>
      <c r="H47" s="6"/>
      <c r="I47" s="6"/>
    </row>
    <row r="48" customFormat="false" ht="15" hidden="false" customHeight="false" outlineLevel="0" collapsed="false">
      <c r="B48" s="6"/>
      <c r="C48" s="6"/>
      <c r="D48" s="6"/>
      <c r="E48" s="6"/>
      <c r="F48" s="6"/>
      <c r="G48" s="6"/>
      <c r="H48" s="6"/>
      <c r="I48" s="6"/>
    </row>
  </sheetData>
  <mergeCells count="2">
    <mergeCell ref="B3:I4"/>
    <mergeCell ref="B47:I4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4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6"/>
    <col collapsed="false" customWidth="true" hidden="false" outlineLevel="0" max="9" min="3" style="0" width="15"/>
  </cols>
  <sheetData>
    <row r="2" customFormat="false" ht="17.35" hidden="false" customHeight="false" outlineLevel="0" collapsed="false">
      <c r="B2" s="5" t="s">
        <v>87</v>
      </c>
    </row>
    <row r="3" customFormat="false" ht="15" hidden="false" customHeight="true" outlineLevel="0" collapsed="false">
      <c r="B3" s="6" t="s">
        <v>88</v>
      </c>
      <c r="C3" s="6"/>
      <c r="D3" s="6"/>
      <c r="E3" s="6"/>
      <c r="F3" s="6"/>
      <c r="G3" s="6"/>
      <c r="H3" s="6"/>
      <c r="I3" s="6"/>
    </row>
    <row r="4" customFormat="false" ht="15" hidden="false" customHeight="false" outlineLevel="0" collapsed="false">
      <c r="B4" s="6"/>
      <c r="C4" s="6"/>
      <c r="D4" s="6"/>
      <c r="E4" s="6"/>
      <c r="F4" s="6"/>
      <c r="G4" s="6"/>
      <c r="H4" s="6"/>
      <c r="I4" s="6"/>
    </row>
    <row r="6" customFormat="false" ht="15" hidden="false" customHeight="false" outlineLevel="0" collapsed="false">
      <c r="B6" s="7" t="s">
        <v>12</v>
      </c>
    </row>
    <row r="7" customFormat="false" ht="15" hidden="false" customHeight="false" outlineLevel="0" collapsed="false">
      <c r="B7" s="8" t="s">
        <v>89</v>
      </c>
      <c r="C7" s="9" t="n">
        <v>20000000</v>
      </c>
      <c r="D7" s="10"/>
    </row>
    <row r="8" customFormat="false" ht="15" hidden="false" customHeight="false" outlineLevel="0" collapsed="false">
      <c r="B8" s="8" t="s">
        <v>90</v>
      </c>
      <c r="C8" s="11" t="n">
        <v>0.9</v>
      </c>
      <c r="D8" s="10"/>
    </row>
    <row r="9" customFormat="false" ht="15" hidden="false" customHeight="false" outlineLevel="0" collapsed="false">
      <c r="B9" s="8" t="s">
        <v>91</v>
      </c>
      <c r="C9" s="15" t="n">
        <f aca="false">1-C8</f>
        <v>0.1</v>
      </c>
      <c r="D9" s="10"/>
    </row>
    <row r="10" customFormat="false" ht="15" hidden="false" customHeight="false" outlineLevel="0" collapsed="false">
      <c r="B10" s="8" t="s">
        <v>92</v>
      </c>
      <c r="C10" s="11" t="n">
        <v>0.08</v>
      </c>
      <c r="D10" s="10" t="s">
        <v>93</v>
      </c>
    </row>
    <row r="11" customFormat="false" ht="15" hidden="false" customHeight="false" outlineLevel="0" collapsed="false">
      <c r="B11" s="8" t="s">
        <v>94</v>
      </c>
      <c r="C11" s="11" t="n">
        <v>0.2</v>
      </c>
      <c r="D11" s="10" t="s">
        <v>95</v>
      </c>
    </row>
    <row r="12" customFormat="false" ht="15" hidden="false" customHeight="false" outlineLevel="0" collapsed="false">
      <c r="B12" s="8" t="s">
        <v>96</v>
      </c>
      <c r="C12" s="9" t="n">
        <v>800000</v>
      </c>
      <c r="D12" s="10"/>
    </row>
    <row r="13" customFormat="false" ht="15" hidden="false" customHeight="false" outlineLevel="0" collapsed="false">
      <c r="B13" s="8" t="s">
        <v>97</v>
      </c>
      <c r="C13" s="9" t="n">
        <v>33000000</v>
      </c>
      <c r="D13" s="10"/>
    </row>
    <row r="15" customFormat="false" ht="15" hidden="false" customHeight="false" outlineLevel="0" collapsed="false">
      <c r="B15" s="7" t="s">
        <v>98</v>
      </c>
    </row>
    <row r="16" customFormat="false" ht="15" hidden="false" customHeight="false" outlineLevel="0" collapsed="false">
      <c r="B16" s="8" t="s">
        <v>99</v>
      </c>
      <c r="C16" s="14" t="n">
        <f aca="false">C7*C10</f>
        <v>1600000</v>
      </c>
    </row>
    <row r="17" customFormat="false" ht="15" hidden="false" customHeight="false" outlineLevel="0" collapsed="false">
      <c r="B17" s="8" t="s">
        <v>100</v>
      </c>
      <c r="C17" s="14" t="n">
        <f aca="false">4*(C16-C12)</f>
        <v>3200000</v>
      </c>
    </row>
    <row r="18" customFormat="false" ht="15" hidden="false" customHeight="false" outlineLevel="0" collapsed="false">
      <c r="B18" s="16" t="s">
        <v>101</v>
      </c>
      <c r="C18" s="23" t="n">
        <f aca="false">C17+C16</f>
        <v>4800000</v>
      </c>
    </row>
    <row r="20" customFormat="false" ht="15" hidden="false" customHeight="false" outlineLevel="0" collapsed="false">
      <c r="B20" s="7" t="s">
        <v>102</v>
      </c>
    </row>
    <row r="21" customFormat="false" ht="15" hidden="false" customHeight="false" outlineLevel="0" collapsed="false">
      <c r="C21" s="26" t="s">
        <v>103</v>
      </c>
      <c r="D21" s="26" t="s">
        <v>104</v>
      </c>
      <c r="E21" s="26" t="s">
        <v>105</v>
      </c>
    </row>
    <row r="22" customFormat="false" ht="15" hidden="false" customHeight="false" outlineLevel="0" collapsed="false">
      <c r="B22" s="8" t="s">
        <v>106</v>
      </c>
      <c r="C22" s="18" t="n">
        <f aca="false">C18</f>
        <v>4800000</v>
      </c>
      <c r="D22" s="18" t="n">
        <f aca="false">C22*C8</f>
        <v>4320000</v>
      </c>
      <c r="E22" s="18" t="n">
        <f aca="false">C22*C9</f>
        <v>480000</v>
      </c>
    </row>
    <row r="23" customFormat="false" ht="15" hidden="false" customHeight="false" outlineLevel="0" collapsed="false">
      <c r="B23" s="8" t="s">
        <v>107</v>
      </c>
      <c r="C23" s="18" t="n">
        <f aca="false">C7</f>
        <v>20000000</v>
      </c>
      <c r="D23" s="18" t="n">
        <f aca="false">C23*C8</f>
        <v>18000000</v>
      </c>
      <c r="E23" s="18" t="n">
        <f aca="false">C23*C9</f>
        <v>2000000</v>
      </c>
    </row>
    <row r="24" customFormat="false" ht="15" hidden="false" customHeight="false" outlineLevel="0" collapsed="false">
      <c r="B24" s="8" t="s">
        <v>108</v>
      </c>
      <c r="C24" s="18" t="n">
        <f aca="false">C13-C22-C23</f>
        <v>8200000</v>
      </c>
    </row>
    <row r="25" customFormat="false" ht="15" hidden="false" customHeight="false" outlineLevel="0" collapsed="false">
      <c r="B25" s="8" t="s">
        <v>109</v>
      </c>
      <c r="C25" s="18" t="n">
        <f aca="false">C24*C11</f>
        <v>1640000</v>
      </c>
      <c r="E25" s="18" t="n">
        <f aca="false">C25</f>
        <v>1640000</v>
      </c>
    </row>
    <row r="26" customFormat="false" ht="15" hidden="false" customHeight="false" outlineLevel="0" collapsed="false">
      <c r="B26" s="8" t="s">
        <v>110</v>
      </c>
      <c r="C26" s="18" t="n">
        <f aca="false">C24-C25</f>
        <v>6560000</v>
      </c>
      <c r="D26" s="18" t="n">
        <f aca="false">C26*C8</f>
        <v>5904000</v>
      </c>
      <c r="E26" s="18" t="n">
        <f aca="false">C26*C9</f>
        <v>656000</v>
      </c>
    </row>
    <row r="27" customFormat="false" ht="15" hidden="false" customHeight="false" outlineLevel="0" collapsed="false">
      <c r="B27" s="16" t="s">
        <v>111</v>
      </c>
      <c r="C27" s="23" t="n">
        <f aca="false">C22+C23+C24</f>
        <v>33000000</v>
      </c>
      <c r="D27" s="23" t="n">
        <f aca="false">D22+D23+D26</f>
        <v>28224000</v>
      </c>
      <c r="E27" s="23" t="n">
        <f aca="false">E22+E23+E25+E26</f>
        <v>4776000</v>
      </c>
    </row>
    <row r="29" customFormat="false" ht="15" hidden="false" customHeight="false" outlineLevel="0" collapsed="false">
      <c r="B29" s="7" t="s">
        <v>112</v>
      </c>
    </row>
    <row r="30" customFormat="false" ht="15" hidden="false" customHeight="false" outlineLevel="0" collapsed="false">
      <c r="B30" s="16" t="s">
        <v>113</v>
      </c>
      <c r="C30" s="17" t="n">
        <v>0</v>
      </c>
      <c r="D30" s="17" t="n">
        <v>1</v>
      </c>
      <c r="E30" s="17" t="n">
        <v>2</v>
      </c>
      <c r="F30" s="17" t="n">
        <v>3</v>
      </c>
      <c r="G30" s="17" t="n">
        <v>4</v>
      </c>
      <c r="H30" s="17" t="n">
        <v>5</v>
      </c>
    </row>
    <row r="31" customFormat="false" ht="15" hidden="false" customHeight="false" outlineLevel="0" collapsed="false">
      <c r="B31" s="8" t="s">
        <v>114</v>
      </c>
      <c r="C31" s="18" t="n">
        <f aca="false">-C7</f>
        <v>-20000000</v>
      </c>
      <c r="D31" s="18" t="n">
        <f aca="false">$C$12</f>
        <v>800000</v>
      </c>
      <c r="E31" s="18" t="n">
        <f aca="false">$C$12</f>
        <v>800000</v>
      </c>
      <c r="F31" s="18" t="n">
        <f aca="false">$C$12</f>
        <v>800000</v>
      </c>
      <c r="G31" s="18" t="n">
        <f aca="false">$C$12</f>
        <v>800000</v>
      </c>
      <c r="H31" s="18" t="n">
        <f aca="false">$C$13</f>
        <v>33000000</v>
      </c>
    </row>
    <row r="32" customFormat="false" ht="15" hidden="false" customHeight="false" outlineLevel="0" collapsed="false">
      <c r="B32" s="8" t="s">
        <v>104</v>
      </c>
      <c r="C32" s="18" t="n">
        <f aca="false">-C7*C8</f>
        <v>-18000000</v>
      </c>
      <c r="D32" s="18" t="n">
        <f aca="false">$C$12*$C$8</f>
        <v>720000</v>
      </c>
      <c r="E32" s="18" t="n">
        <f aca="false">$C$12*$C$8</f>
        <v>720000</v>
      </c>
      <c r="F32" s="18" t="n">
        <f aca="false">$C$12*$C$8</f>
        <v>720000</v>
      </c>
      <c r="G32" s="18" t="n">
        <f aca="false">$C$12*$C$8</f>
        <v>720000</v>
      </c>
      <c r="H32" s="18" t="n">
        <f aca="false">$D$27</f>
        <v>28224000</v>
      </c>
    </row>
    <row r="33" customFormat="false" ht="15" hidden="false" customHeight="false" outlineLevel="0" collapsed="false">
      <c r="B33" s="8" t="s">
        <v>105</v>
      </c>
      <c r="C33" s="18" t="n">
        <f aca="false">-C7*C9</f>
        <v>-2000000</v>
      </c>
      <c r="D33" s="18" t="n">
        <f aca="false">$C$12*$C$9</f>
        <v>80000</v>
      </c>
      <c r="E33" s="18" t="n">
        <f aca="false">$C$12*$C$9</f>
        <v>80000</v>
      </c>
      <c r="F33" s="18" t="n">
        <f aca="false">$C$12*$C$9</f>
        <v>80000</v>
      </c>
      <c r="G33" s="18" t="n">
        <f aca="false">$C$12*$C$9</f>
        <v>80000</v>
      </c>
      <c r="H33" s="18" t="n">
        <f aca="false">$E$27</f>
        <v>4776000</v>
      </c>
    </row>
    <row r="35" customFormat="false" ht="15" hidden="false" customHeight="false" outlineLevel="0" collapsed="false">
      <c r="C35" s="26" t="s">
        <v>115</v>
      </c>
      <c r="D35" s="26" t="s">
        <v>116</v>
      </c>
    </row>
    <row r="36" customFormat="false" ht="15" hidden="false" customHeight="false" outlineLevel="0" collapsed="false">
      <c r="B36" s="8" t="s">
        <v>114</v>
      </c>
      <c r="C36" s="27" t="n">
        <f aca="false">IRR(C31:H31)</f>
        <v>0.13348341316984</v>
      </c>
      <c r="D36" s="28" t="n">
        <f aca="false">SUM(D31:H31)/-C31</f>
        <v>1.81</v>
      </c>
    </row>
    <row r="37" customFormat="false" ht="15" hidden="false" customHeight="false" outlineLevel="0" collapsed="false">
      <c r="B37" s="8" t="s">
        <v>104</v>
      </c>
      <c r="C37" s="27" t="n">
        <f aca="false">IRR(C32:H32)</f>
        <v>0.122672266630144</v>
      </c>
      <c r="D37" s="28" t="n">
        <f aca="false">SUM(D32:H32)/-C32</f>
        <v>1.728</v>
      </c>
    </row>
    <row r="38" customFormat="false" ht="15" hidden="false" customHeight="false" outlineLevel="0" collapsed="false">
      <c r="B38" s="8" t="s">
        <v>105</v>
      </c>
      <c r="C38" s="27" t="n">
        <f aca="false">IRR(C33:H33)</f>
        <v>0.21565845320088</v>
      </c>
      <c r="D38" s="28" t="n">
        <f aca="false">SUM(D33:H33)/-C33</f>
        <v>2.548</v>
      </c>
    </row>
    <row r="40" customFormat="false" ht="15" hidden="false" customHeight="false" outlineLevel="0" collapsed="false">
      <c r="B40" s="8" t="s">
        <v>117</v>
      </c>
      <c r="C40" s="14" t="n">
        <f aca="false">SUM(C31:H31)</f>
        <v>16200000</v>
      </c>
    </row>
    <row r="41" customFormat="false" ht="15" hidden="false" customHeight="false" outlineLevel="0" collapsed="false">
      <c r="B41" s="8" t="s">
        <v>94</v>
      </c>
      <c r="C41" s="14" t="n">
        <f aca="false">C25</f>
        <v>1640000</v>
      </c>
    </row>
    <row r="42" customFormat="false" ht="15" hidden="false" customHeight="false" outlineLevel="0" collapsed="false">
      <c r="B42" s="16" t="s">
        <v>118</v>
      </c>
      <c r="C42" s="19" t="n">
        <f aca="false">C41/C40</f>
        <v>0.101234567901235</v>
      </c>
    </row>
    <row r="44" customFormat="false" ht="15" hidden="false" customHeight="true" outlineLevel="0" collapsed="false">
      <c r="B44" s="6" t="s">
        <v>119</v>
      </c>
      <c r="C44" s="6"/>
      <c r="D44" s="6"/>
      <c r="E44" s="6"/>
      <c r="F44" s="6"/>
      <c r="G44" s="6"/>
      <c r="H44" s="6"/>
      <c r="I44" s="6"/>
    </row>
    <row r="45" customFormat="false" ht="15" hidden="false" customHeight="false" outlineLevel="0" collapsed="false">
      <c r="B45" s="6"/>
      <c r="C45" s="6"/>
      <c r="D45" s="6"/>
      <c r="E45" s="6"/>
      <c r="F45" s="6"/>
      <c r="G45" s="6"/>
      <c r="H45" s="6"/>
      <c r="I45" s="6"/>
    </row>
    <row r="46" customFormat="false" ht="15" hidden="false" customHeight="false" outlineLevel="0" collapsed="false">
      <c r="B46" s="6"/>
      <c r="C46" s="6"/>
      <c r="D46" s="6"/>
      <c r="E46" s="6"/>
      <c r="F46" s="6"/>
      <c r="G46" s="6"/>
      <c r="H46" s="6"/>
      <c r="I46" s="6"/>
    </row>
  </sheetData>
  <mergeCells count="2">
    <mergeCell ref="B3:I4"/>
    <mergeCell ref="B44:I4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2026-08-12T09:19:35Z</dcterms:created>
  <dc:creator>openpyxl</dc:creator>
  <dc:description/>
  <dc:language>en-US</dc:language>
  <cp:lastModifiedBy/>
  <dcterms:modified xsi:type="dcterms:W3CDTF">2026-08-12T09:19:35Z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