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START HERE" sheetId="1" state="visible" r:id="rId3"/>
    <sheet name="1 The model rebuilt" sheetId="2" state="visible" r:id="rId4"/>
    <sheet name="2 The tornado" sheetId="3" state="visible" r:id="rId5"/>
    <sheet name="3 Two-way table" sheetId="4" state="visible" r:id="rId6"/>
    <sheet name="4 The scenario table" sheetId="5" state="visible" r:id="rId7"/>
    <sheet name="5 The four break-evens" sheetId="6" state="visible" r:id="rId8"/>
    <sheet name="6 Worse than the sum" sheetId="7" state="visible" r:id="rId9"/>
    <sheet name="7 The page" sheetId="8" state="visible" r:id="rId10"/>
    <sheet name="CONTROLS" sheetId="9"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<sst xmlns="http://schemas.openxmlformats.org/spreadsheetml/2006/main" count="409" uniqueCount="313">
  <si>
    <t xml:space="preserve">Appendix F  -  The Page That Gets Read</t>
  </si>
  <si>
    <t xml:space="preserve">Chapter 15 specifies exactly what a sensitivity section should put in front of a committee:</t>
  </si>
  <si>
    <t xml:space="preserve">      "One tornado chart, showing the ranking of drivers. One two-way sensitivity table on the top two.</t>
  </si>
  <si>
    <t xml:space="preserve">       A scenario table with four columns and six rows - return, multiple, peak equity, break-even,</t>
  </si>
  <si>
    <t xml:space="preserve">       covenant headroom, and the exit value. And the four break-even numbers.  One page."</t>
  </si>
  <si>
    <t xml:space="preserve">Chapter 19 builds a complete model of Meridian House and calls it, at the end, a finished model.</t>
  </si>
  <si>
    <t xml:space="preserve">Its step 7 delivers a one-way table on exit yield, three scenarios written out in prose, and one</t>
  </si>
  <si>
    <t xml:space="preserve">break-even of the four. There is no tornado, no two-way table, no scenario table, and three of the</t>
  </si>
  <si>
    <t xml:space="preserve">four break-even numbers are missing - as is the fifth number chapter 15 adds, months of liquidity.</t>
  </si>
  <si>
    <t xml:space="preserve">The book writes its own acceptance criteria and its own worked example does not meet them.</t>
  </si>
  <si>
    <t xml:space="preserve">This workbook rebuilds chapter 19 from its published inputs - every figure reproduces - and then</t>
  </si>
  <si>
    <t xml:space="preserve">produces the page chapter 15 asks for.</t>
  </si>
  <si>
    <t xml:space="preserve">The sheets:</t>
  </si>
  <si>
    <t xml:space="preserve">   1 The model rebuilt      chapter 19 reconstructed, every published number checked against it</t>
  </si>
  <si>
    <t xml:space="preserve">   2 The tornado            the ranking of drivers chapter 15 says should be the FIRST output</t>
  </si>
  <si>
    <t xml:space="preserve">   3 Two-way table          on the top two drivers, as specified</t>
  </si>
  <si>
    <t xml:space="preserve">   4 The scenario table     four columns, six rows, exactly as specified</t>
  </si>
  <si>
    <t xml:space="preserve">   5 The four break-evens   three of which the book never computes, plus months of liquidity</t>
  </si>
  <si>
    <t xml:space="preserve">   6 Worse than the sum     chapter 15 says the combination beats the sum. On value it does not.</t>
  </si>
  <si>
    <t xml:space="preserve">   7 The page               all of it, on one page</t>
  </si>
  <si>
    <t xml:space="preserve">   CONTROLS                 every check this workbook makes on itself</t>
  </si>
  <si>
    <t xml:space="preserve">Yellow cells are inputs. Green cells are computed. Nothing is locked or protected.</t>
  </si>
  <si>
    <t xml:space="preserve">Meridian House, its tenants and its numbers are chapter 19's and are fictional.</t>
  </si>
  <si>
    <t xml:space="preserve">1.  Chapter 19 rebuilt from its published inputs</t>
  </si>
  <si>
    <t xml:space="preserve">Everything below is a formula. The only hard numbers are the six years of net operating income, the capital expenditure and the two leasing events - the outputs of chapter 19 steps 3 and 4 - plus the deal terms. If this sheet reproduces chapter 19, the rest of the workbook can be trusted; if it does not, nothing else here matters.</t>
  </si>
  <si>
    <t xml:space="preserve">Deal terms</t>
  </si>
  <si>
    <t xml:space="preserve">Purchase price</t>
  </si>
  <si>
    <t xml:space="preserve">Acquisition costs</t>
  </si>
  <si>
    <t xml:space="preserve">Disposal costs</t>
  </si>
  <si>
    <t xml:space="preserve">Exit yield</t>
  </si>
  <si>
    <t xml:space="preserve">Loan-to-value</t>
  </si>
  <si>
    <t xml:space="preserve">Interest rate, interest-only</t>
  </si>
  <si>
    <t xml:space="preserve">Arrangement fee</t>
  </si>
  <si>
    <t xml:space="preserve">DSCR covenant</t>
  </si>
  <si>
    <t xml:space="preserve">Debt yield covenant</t>
  </si>
  <si>
    <t xml:space="preserve">The cash flow, from chapter 19 steps 3 and 4</t>
  </si>
  <si>
    <t xml:space="preserve">Unlevered flow</t>
  </si>
  <si>
    <t xml:space="preserve">Levered flow</t>
  </si>
  <si>
    <t xml:space="preserve">Year</t>
  </si>
  <si>
    <t xml:space="preserve">Net operating income</t>
  </si>
  <si>
    <t xml:space="preserve">Capital expenditure</t>
  </si>
  <si>
    <t xml:space="preserve">Leasing costs</t>
  </si>
  <si>
    <t xml:space="preserve">Net cash flow</t>
  </si>
  <si>
    <t xml:space="preserve">Interest</t>
  </si>
  <si>
    <t xml:space="preserve">Equity cash flow</t>
  </si>
  <si>
    <t xml:space="preserve">Year six net operating income (the exit is on forward income)</t>
  </si>
  <si>
    <t xml:space="preserve">Capital structure</t>
  </si>
  <si>
    <t xml:space="preserve">Total cost</t>
  </si>
  <si>
    <t xml:space="preserve">Loan</t>
  </si>
  <si>
    <t xml:space="preserve">Equity at close</t>
  </si>
  <si>
    <t xml:space="preserve">Annual interest</t>
  </si>
  <si>
    <t xml:space="preserve">The exit</t>
  </si>
  <si>
    <t xml:space="preserve">Gross proceeds</t>
  </si>
  <si>
    <t xml:space="preserve">Net proceeds</t>
  </si>
  <si>
    <t xml:space="preserve">Returns</t>
  </si>
  <si>
    <t xml:space="preserve">Unlevered IRR</t>
  </si>
  <si>
    <t xml:space="preserve">Unlevered multiple</t>
  </si>
  <si>
    <t xml:space="preserve">Levered IRR</t>
  </si>
  <si>
    <t xml:space="preserve">Levered multiple</t>
  </si>
  <si>
    <t xml:space="preserve">Year-one cash-on-cash</t>
  </si>
  <si>
    <t xml:space="preserve">Minimum DSCR</t>
  </si>
  <si>
    <t xml:space="preserve">Maximum DSCR</t>
  </si>
  <si>
    <t xml:space="preserve">Minimum debt yield</t>
  </si>
  <si>
    <t xml:space="preserve">Maximum debt yield</t>
  </si>
  <si>
    <t xml:space="preserve">Exit loan-to-value</t>
  </si>
  <si>
    <t xml:space="preserve">And chapter 19's own sensitivity table, reproduced</t>
  </si>
  <si>
    <t xml:space="preserve">Book</t>
  </si>
  <si>
    <t xml:space="preserve">Columns N to Z hold the cash flow each row discounts. The book's own figures are beside them: all ten agree to the basis point.</t>
  </si>
  <si>
    <t xml:space="preserve">2.  The ranking chapter 15 says should be the first output</t>
  </si>
  <si>
    <t xml:space="preserve">"Find out which, by moving each major assumption by one standard-sized increment and ranking the effect on the return. That ranking - a tornado chart - takes twenty minutes and it should be the first output of the sensitivity section." Chapter 19 never produces one. Here it is.</t>
  </si>
  <si>
    <t xml:space="preserve">Base levered IRR</t>
  </si>
  <si>
    <t xml:space="preserve">Assumption</t>
  </si>
  <si>
    <t xml:space="preserve">Increment moved</t>
  </si>
  <si>
    <t xml:space="preserve">Adverse case</t>
  </si>
  <si>
    <t xml:space="preserve">Favourable case</t>
  </si>
  <si>
    <t xml:space="preserve">Swing, basis points</t>
  </si>
  <si>
    <t xml:space="preserve">Share of the largest swing</t>
  </si>
  <si>
    <t xml:space="preserve">+/- 50 bp</t>
  </si>
  <si>
    <t xml:space="preserve">+/- 5 %</t>
  </si>
  <si>
    <t xml:space="preserve">Rental growth</t>
  </si>
  <si>
    <t xml:space="preserve">+/- 100 bp/yr</t>
  </si>
  <si>
    <t xml:space="preserve">Debt interest rate</t>
  </si>
  <si>
    <t xml:space="preserve">+/- 100 bp</t>
  </si>
  <si>
    <t xml:space="preserve">+/- 5 pts</t>
  </si>
  <si>
    <t xml:space="preserve">Tenant B renewal prob.</t>
  </si>
  <si>
    <t xml:space="preserve">+/- 20 pts</t>
  </si>
  <si>
    <t xml:space="preserve">+/- 20 %</t>
  </si>
  <si>
    <t xml:space="preserve">Unit D letting void</t>
  </si>
  <si>
    <t xml:space="preserve">+/- 6 months</t>
  </si>
  <si>
    <t xml:space="preserve">Building capex</t>
  </si>
  <si>
    <t xml:space="preserve">+/- 50 %</t>
  </si>
  <si>
    <t xml:space="preserve">Largest swing, basis points</t>
  </si>
  <si>
    <t xml:space="preserve">Largest leasing-related swing, basis points</t>
  </si>
  <si>
    <t xml:space="preserve">Ratio</t>
  </si>
  <si>
    <t xml:space="preserve">Chapter 19 says: "Fifty basis points of exit yield is worth roughly 300 basis points of levered return. Nothing in the leasing assumptions comes close to that." Both halves are right. Fifty basis points either way swings the return by 595 basis points, and the three leasing assumptions - renewal probability, letting void and leasing costs - swing 58, 47 and 54. The exit yield is ten times the largest of them.</t>
  </si>
  <si>
    <t xml:space="preserve">What the sentence does not say is that two assumptions which are not leasing assumptions come close indeed. Net operating income swings 446 basis points and rental growth 381 - three quarters and two thirds of the exit yield. The honest answer to "what drives this deal" is not one assumption but three, and the first two are not independent of each other.</t>
  </si>
  <si>
    <t xml:space="preserve">A caution the chapter itself supplies and this table cannot escape: a tornado ranks assumptions by the increment you choose to move them by, so the ranking is only as honest as the increments. Chapter 15 says to draw them "from the historical distribution of the variable" and to make them asymmetric where the variable is. The increments in column B are conventional round numbers, not calibrated ones. Change them and the order can change - which is the point of putting them in a column where they can be seen and edited rather than burying them.</t>
  </si>
  <si>
    <t xml:space="preserve">3.  The two-way table, on the top two drivers</t>
  </si>
  <si>
    <t xml:space="preserve">Chapter 15: "One two-way sensitivity table on the top two." The top two from sheet 2 are the exit yield and the level of net operating income. Chapter 19 gives a one-way table on the exit yield alone. Cells below the required return are the ones to look at.</t>
  </si>
  <si>
    <t xml:space="preserve">Required levered return</t>
  </si>
  <si>
    <t xml:space="preserve">NOI -15%</t>
  </si>
  <si>
    <t xml:space="preserve">NOI -10%</t>
  </si>
  <si>
    <t xml:space="preserve">NOI -5%</t>
  </si>
  <si>
    <t xml:space="preserve">NOI +0%</t>
  </si>
  <si>
    <t xml:space="preserve">NOI +5%</t>
  </si>
  <si>
    <t xml:space="preserve">NOI +10%</t>
  </si>
  <si>
    <t xml:space="preserve">Green is at or above a 10 percent required return; orange is below. The shape of the acceptable region is what chapter 15 asks for, and it is not symmetric. At the base exit yield the deal clears ten percent at base income and stops clearing it before income has fallen five percent. At a 6.25 percent exit the base case does not clear at all and needs about four percent of extra income to get back over the line. At 7.25 percent nothing in the income column rescues it.</t>
  </si>
  <si>
    <t xml:space="preserve">4.  Four columns, six rows - exactly as specified</t>
  </si>
  <si>
    <t xml:space="preserve">Chapter 15: "A scenario table with four columns and six rows - return, multiple, peak equity, break-even, covenant headroom, and the exit value." Chapter 19 gives base, downside and upside in prose, with the return and the multiple for each and nothing else. Here is the table.</t>
  </si>
  <si>
    <t xml:space="preserve">Base</t>
  </si>
  <si>
    <t xml:space="preserve">Downside</t>
  </si>
  <si>
    <t xml:space="preserve">Upside</t>
  </si>
  <si>
    <t xml:space="preserve">Specific risk: tenant B does not renew</t>
  </si>
  <si>
    <t xml:space="preserve">Levered internal rate of return</t>
  </si>
  <si>
    <t xml:space="preserve">Equity multiple</t>
  </si>
  <si>
    <t xml:space="preserve">Peak equity</t>
  </si>
  <si>
    <t xml:space="preserve">Break-even exit yield</t>
  </si>
  <si>
    <t xml:space="preserve">Covenant headroom: minimum debt yield</t>
  </si>
  <si>
    <t xml:space="preserve">Exit value</t>
  </si>
  <si>
    <t xml:space="preserve">Minimum DSCR (memo)</t>
  </si>
  <si>
    <t xml:space="preserve">Exit loan-to-value (memo)</t>
  </si>
  <si>
    <t xml:space="preserve">The downside column is the one the chapter describes and the one the table makes legible. The minimum debt yield falls to 8.90 percent against a 9 percent covenant - a breach - while the coverage ratio never comes close to its own covenant. Chapter 19 spots the breach in a sentence; the table shows why it is the covenant that binds and the coverage ratio that does not.</t>
  </si>
  <si>
    <t xml:space="preserve">The fourth column is the one chapter 15 says matters most and chapter 19 does not run: the specific risk case. For Meridian House it is tenant B leaving rather than renewing, taking the income 14 percent below base and the exit out to 6.25 percent.</t>
  </si>
  <si>
    <t xml:space="preserve">5.  Chapter 15 names four. Chapter 19 computes one.</t>
  </si>
  <si>
    <t xml:space="preserve">"The four break-evens, each computed with a solver and each expressed as a distance from base." Chapter 19 gives the first. The other three, and the fifth number chapter 15 adds afterwards, are below.</t>
  </si>
  <si>
    <t xml:space="preserve">One: the exit yield at which the equity return is zero</t>
  </si>
  <si>
    <t xml:space="preserve">A zero internal rate of return is the point at which the equity gets its money back and no more, so this needs no solver at all: net disposal proceeds must equal the equity, plus the loan, plus five years of interest, less the net cash flow received. One line, reproducible on paper.</t>
  </si>
  <si>
    <t xml:space="preserve">Net cash flow over the hold</t>
  </si>
  <si>
    <t xml:space="preserve">Five years of interest</t>
  </si>
  <si>
    <t xml:space="preserve">Net proceeds required</t>
  </si>
  <si>
    <t xml:space="preserve">Gross proceeds required</t>
  </si>
  <si>
    <t xml:space="preserve">Distance from base, basis points</t>
  </si>
  <si>
    <t xml:space="preserve">Value at that point</t>
  </si>
  <si>
    <t xml:space="preserve">Fall in value from base</t>
  </si>
  <si>
    <t xml:space="preserve">The book gives 7.82 percent. This gives 7.811, one basis point apart, and the difference is the book rounding its inputs.</t>
  </si>
  <si>
    <t xml:space="preserve">Two and three: the covenants</t>
  </si>
  <si>
    <t xml:space="preserve">Chapter 15 asks for the rental level and the occupancy at which the coverage covenant breaks. For Meridian House the coverage covenant is not the one that breaks, and finding that out is the point of computing both.</t>
  </si>
  <si>
    <t xml:space="preserve">Fall in net operating income breaching the 1.30x coverage covenant</t>
  </si>
  <si>
    <t xml:space="preserve">Fall in net operating income breaching the 9% debt yield covenant</t>
  </si>
  <si>
    <t xml:space="preserve">Ratio: how much further the coverage covenant is from breaking</t>
  </si>
  <si>
    <t xml:space="preserve">The coverage ratio tolerates a 35.5 percent fall in income. The debt yield tolerates 7.9 percent. The coverage covenant is four and a half times further from breaking, so quoting it - which is what a model that reports only DSCR does - describes a deal that is not this one. Chapter 19 sees the breach happen in its downside case; it does not compute the distance to it.</t>
  </si>
  <si>
    <t xml:space="preserve">Occupancy at which the coverage covenant breaks</t>
  </si>
  <si>
    <t xml:space="preserve">Modelled by scaling the rent roll and the recoveries with occupancy and putting the empty space on void cost, against the tightest year. It is a construction, not an output of chapter 19, and it is marked as an input for that reason.</t>
  </si>
  <si>
    <t xml:space="preserve">Four: the value at which the loan-to-value covenant breaks</t>
  </si>
  <si>
    <t xml:space="preserve">Loan-to-value covenant</t>
  </si>
  <si>
    <t xml:space="preserve">Value at breach</t>
  </si>
  <si>
    <t xml:space="preserve">Fall from the base exit value</t>
  </si>
  <si>
    <t xml:space="preserve">Five: months of liquidity</t>
  </si>
  <si>
    <t xml:space="preserve">"Given the cash and undrawn facilities available, how long can the asset sustain a zero-income scenario before it cannot pay interest?" Taking one year of net cash flow as the reserve, and a burn of interest plus running costs plus void cost on the whole building:</t>
  </si>
  <si>
    <t xml:space="preserve">Monthly burn with no income at all</t>
  </si>
  <si>
    <t xml:space="preserve">Reserve: one year of net cash flow</t>
  </si>
  <si>
    <t xml:space="preserve">Months of liquidity</t>
  </si>
  <si>
    <t xml:space="preserve">And the sentence chapter 15 writes in the abstract, filled in</t>
  </si>
  <si>
    <t xml:space="preserve">"A model that shows equity being wiped out at a 40 percent value decline, but a covenant breached at 12 percent, is telling you that the real risk threshold is 12 percent." Meridian House, on the same axis: the equity return reaches zero at a 26.4 percent fall in value, and the debt yield covenant is breached at a 7.9 percent fall in income - which, at a constant yield, is a 7.9 percent fall in value. The real risk threshold for this deal is 7.9 percent, and it is three and a third times nearer than the number a reader would take from chapter 19's 207 basis points of exit yield headroom.</t>
  </si>
  <si>
    <t xml:space="preserve">Ratio: equity threshold to covenant threshold</t>
  </si>
  <si>
    <t xml:space="preserve">6.  "The combination is worse than the sum of the individual moves"</t>
  </si>
  <si>
    <t xml:space="preserve">Chapter 15 states this twice, as a general property of correlated variables. It is testable, and the answer depends on something the sentence does not mention.</t>
  </si>
  <si>
    <t xml:space="preserve">Fall in net operating income</t>
  </si>
  <si>
    <t xml:space="preserve">Widening in the exit yield, basis points</t>
  </si>
  <si>
    <t xml:space="preserve">On value, where the arithmetic is exact</t>
  </si>
  <si>
    <t xml:space="preserve">Base value</t>
  </si>
  <si>
    <t xml:space="preserve">Income falls, yield unchanged</t>
  </si>
  <si>
    <t xml:space="preserve">Yield widens, income unchanged</t>
  </si>
  <si>
    <t xml:space="preserve">Both together</t>
  </si>
  <si>
    <t xml:space="preserve">Loss from the income fall alone</t>
  </si>
  <si>
    <t xml:space="preserve">Loss from the yield widening alone</t>
  </si>
  <si>
    <t xml:space="preserve">The two added together</t>
  </si>
  <si>
    <t xml:space="preserve">The two together, actually</t>
  </si>
  <si>
    <t xml:space="preserve">Cross term  (together less the sum)</t>
  </si>
  <si>
    <t xml:space="preserve">Closed form:  a x b/(1+b) x value</t>
  </si>
  <si>
    <t xml:space="preserve">The cross term is positive, and provably so. Value is income divided by yield, so the two moves are multiplicative: each one shrinks the base the other acts on. Adding the losses separately overstates the combined loss by a times b over one plus b, times the value - 314,523 here, five percent of the total. On value, the combination is not worse than the sum. It is better, always, and by an amount that can be written down in a single term.</t>
  </si>
  <si>
    <t xml:space="preserve">On the levered return, where the answer changes</t>
  </si>
  <si>
    <t xml:space="preserve">Income falls alone</t>
  </si>
  <si>
    <t xml:space="preserve">Yield widens alone</t>
  </si>
  <si>
    <t xml:space="preserve">Loss from income alone, basis points</t>
  </si>
  <si>
    <t xml:space="preserve">Loss from yield alone, basis points</t>
  </si>
  <si>
    <t xml:space="preserve">The two added, basis points</t>
  </si>
  <si>
    <t xml:space="preserve">The two together, basis points</t>
  </si>
  <si>
    <t xml:space="preserve">Cross term, basis points</t>
  </si>
  <si>
    <t xml:space="preserve">Why: the cross term changes sign with gearing</t>
  </si>
  <si>
    <t xml:space="preserve">Loan-to-value at which the cross term changes sign</t>
  </si>
  <si>
    <t xml:space="preserve">Below about 20 percent loan-to-value the combination of a rent fall and a yield widening is less bad than the sum of the two, exactly as the value arithmetic says. Above it, worse. Meridian House at 55 percent sits well past the line, so chapter 15's claim holds for this deal - by 25 basis points - and it holds because of the debt, not because of the correlation. The chapter states it as a fact about correlated variables. It is a fact about capital structure, and an ungeared investor reading that sentence would be adding a loss that is not there.</t>
  </si>
  <si>
    <t xml:space="preserve">None of which touches the chapter's practical advice, which is right and which this does not change: build the downside as a coherent story in which everything moves together, and resist softening the individual assumptions. The reason to size the cross term is that a downside worth 877 basis points and a downside worth 852 are the same decision, while a value loss overstated by five percent inside a covenant test is not.</t>
  </si>
  <si>
    <t xml:space="preserve">7.  Meridian House - the page that gets read</t>
  </si>
  <si>
    <t xml:space="preserve">Everything on this sheet is a reference to a sheet above it. Change an input on sheet 1 and this page moves with it.</t>
  </si>
  <si>
    <t xml:space="preserve">The recommendation</t>
  </si>
  <si>
    <t xml:space="preserve">What drives it  (sheet 2)</t>
  </si>
  <si>
    <t xml:space="preserve">Largest driver, swing in basis points</t>
  </si>
  <si>
    <t xml:space="preserve">Second driver: net operating income, basis points</t>
  </si>
  <si>
    <t xml:space="preserve">Third driver: rental growth, basis points</t>
  </si>
  <si>
    <t xml:space="preserve">Largest leasing assumption, basis points</t>
  </si>
  <si>
    <t xml:space="preserve">What breaks it  (sheet 5)</t>
  </si>
  <si>
    <t xml:space="preserve">Exit yield at which the equity earns nothing</t>
  </si>
  <si>
    <t xml:space="preserve">  - as a fall in value</t>
  </si>
  <si>
    <t xml:space="preserve">Fall in income breaching the debt yield covenant</t>
  </si>
  <si>
    <t xml:space="preserve">Fall in income breaching the coverage covenant</t>
  </si>
  <si>
    <t xml:space="preserve">Occupancy breaching the coverage covenant</t>
  </si>
  <si>
    <t xml:space="preserve">Value breaching a 75% loan-to-value covenant</t>
  </si>
  <si>
    <t xml:space="preserve">Months of liquidity with no income</t>
  </si>
  <si>
    <t xml:space="preserve">The three sentences</t>
  </si>
  <si>
    <t xml:space="preserve">Meridian House offers a levered return of about 11 percent and a 1.64 times multiple over five years,</t>
  </si>
  <si>
    <t xml:space="preserve">driven by letting the vacant fifth floor and growing income to a fully occupied 1.74 million by year six,</t>
  </si>
  <si>
    <t xml:space="preserve">and achieved despite assuming 53 basis points of exit yield widening.</t>
  </si>
  <si>
    <t xml:space="preserve">The return is not driven by the leasing assumptions: the exit yield swings it by 595 basis points against</t>
  </si>
  <si>
    <t xml:space="preserve">58 for tenant B's renewal probability, and the two assumptions that come closest - the level of income and</t>
  </si>
  <si>
    <t xml:space="preserve">rental growth - swing it by 446 and 381. Fifty basis points of exit yield is worth roughly 300 basis points</t>
  </si>
  <si>
    <t xml:space="preserve">of return in either direction, and that is the whole sensitivity story.</t>
  </si>
  <si>
    <t xml:space="preserve">The equity earns nothing at an exit yield of 7.81 percent, 207 basis points of headroom, which is a wide</t>
  </si>
  <si>
    <t xml:space="preserve">margin. It is not the binding number. The debt yield covenant is breached at a 7.9 percent fall in income</t>
  </si>
  <si>
    <t xml:space="preserve">and the coverage covenant not until 35.5 percent, so the deal loses control to the lender three and a third</t>
  </si>
  <si>
    <t xml:space="preserve">times sooner than it loses the equity's return, and the downside case breaches it in year three. That is</t>
  </si>
  <si>
    <t xml:space="preserve">the number to underwrite against, and the ask is a debt yield covenant at 8.25 percent rather than 9.</t>
  </si>
  <si>
    <t xml:space="preserve">Chapter 19 ends its recommendation by noting what it does not contain: the word conservative, any adjective at all, and any claim to precision beyond two significant figures. The version above keeps all three of those rules and adds the numbers chapter 15 asked for.</t>
  </si>
  <si>
    <t xml:space="preserve">CONTROLS  -  every check this workbook makes on itself</t>
  </si>
  <si>
    <t xml:space="preserve">Each row recomputes a figure by formula and compares it to the value the model produced independently in Python. Column F must read PASS on every row. Twelve of them check that the rebuild reproduces chapter 19; if those fail, nothing else on any sheet can be trusted.</t>
  </si>
  <si>
    <t xml:space="preserve">Sheet</t>
  </si>
  <si>
    <t xml:space="preserve">What is checked</t>
  </si>
  <si>
    <t xml:space="preserve">Computed</t>
  </si>
  <si>
    <t xml:space="preserve">Expected</t>
  </si>
  <si>
    <t xml:space="preserve">Tolerance</t>
  </si>
  <si>
    <t xml:space="preserve">Verdict</t>
  </si>
  <si>
    <t xml:space="preserve">1 The model rebuilt</t>
  </si>
  <si>
    <t xml:space="preserve">total cost matches 25,027,500</t>
  </si>
  <si>
    <t xml:space="preserve">equity at close matches 12,231,750</t>
  </si>
  <si>
    <t xml:space="preserve">annual interest matches 626,863</t>
  </si>
  <si>
    <t xml:space="preserve">gross proceeds match 30,287,363</t>
  </si>
  <si>
    <t xml:space="preserve">unlevered IRR matches the book 8.21%</t>
  </si>
  <si>
    <t xml:space="preserve">unlevered multiple matches 1.44</t>
  </si>
  <si>
    <t xml:space="preserve">levered IRR matches the book 11.07%</t>
  </si>
  <si>
    <t xml:space="preserve">levered multiple matches 1.64</t>
  </si>
  <si>
    <t xml:space="preserve">year-one cash-on-cash matches 2.17%</t>
  </si>
  <si>
    <t xml:space="preserve">minimum DSCR matches 2.02</t>
  </si>
  <si>
    <t xml:space="preserve">minimum debt yield matches 9.78%</t>
  </si>
  <si>
    <t xml:space="preserve">exit loan-to-value matches 42.7%</t>
  </si>
  <si>
    <t xml:space="preserve">sensitivity row 4.75% unlevered</t>
  </si>
  <si>
    <t xml:space="preserve">sensitivity row 4.75% levered</t>
  </si>
  <si>
    <t xml:space="preserve">sensitivity row 5.25% unlevered</t>
  </si>
  <si>
    <t xml:space="preserve">sensitivity row 5.25% levered</t>
  </si>
  <si>
    <t xml:space="preserve">sensitivity row 5.75% unlevered</t>
  </si>
  <si>
    <t xml:space="preserve">sensitivity row 5.75% levered</t>
  </si>
  <si>
    <t xml:space="preserve">sensitivity row 6.25% unlevered</t>
  </si>
  <si>
    <t xml:space="preserve">sensitivity row 6.25% levered</t>
  </si>
  <si>
    <t xml:space="preserve">sensitivity row 6.75% unlevered</t>
  </si>
  <si>
    <t xml:space="preserve">sensitivity row 6.75% levered</t>
  </si>
  <si>
    <t xml:space="preserve">2 The tornado</t>
  </si>
  <si>
    <t xml:space="preserve">swing, Exit yield</t>
  </si>
  <si>
    <t xml:space="preserve">swing, Net operating income</t>
  </si>
  <si>
    <t xml:space="preserve">swing, Rental growth</t>
  </si>
  <si>
    <t xml:space="preserve">swing, Debt interest rate</t>
  </si>
  <si>
    <t xml:space="preserve">swing, Loan-to-value</t>
  </si>
  <si>
    <t xml:space="preserve">swing, Tenant B renewal prob.</t>
  </si>
  <si>
    <t xml:space="preserve">swing, Leasing costs</t>
  </si>
  <si>
    <t xml:space="preserve">swing, Unit D letting void</t>
  </si>
  <si>
    <t xml:space="preserve">swing, Building capex</t>
  </si>
  <si>
    <t xml:space="preserve">exit yield is the largest driver</t>
  </si>
  <si>
    <t xml:space="preserve">exit yield beats every leasing assumption tenfold</t>
  </si>
  <si>
    <t xml:space="preserve">3 Two-way table</t>
  </si>
  <si>
    <t xml:space="preserve">base exit yield, NOI -15%</t>
  </si>
  <si>
    <t xml:space="preserve">base exit yield, NOI -10%</t>
  </si>
  <si>
    <t xml:space="preserve">base exit yield, NOI -5%</t>
  </si>
  <si>
    <t xml:space="preserve">base exit yield, NOI +0%</t>
  </si>
  <si>
    <t xml:space="preserve">base exit yield, NOI +5%</t>
  </si>
  <si>
    <t xml:space="preserve">base exit yield, NOI +10%</t>
  </si>
  <si>
    <t xml:space="preserve">the base cell reproduces the book</t>
  </si>
  <si>
    <t xml:space="preserve">4 The scenario table</t>
  </si>
  <si>
    <t xml:space="preserve">Base - Levered internal rate of ret</t>
  </si>
  <si>
    <t xml:space="preserve">Base - Equity multiple</t>
  </si>
  <si>
    <t xml:space="preserve">Base - Peak equity</t>
  </si>
  <si>
    <t xml:space="preserve">Base - Break-even exit yield</t>
  </si>
  <si>
    <t xml:space="preserve">Base - Covenant headroom: minimum d</t>
  </si>
  <si>
    <t xml:space="preserve">Base - Exit value</t>
  </si>
  <si>
    <t xml:space="preserve">Downside - Levered internal rate of ret</t>
  </si>
  <si>
    <t xml:space="preserve">Downside - Equity multiple</t>
  </si>
  <si>
    <t xml:space="preserve">Downside - Peak equity</t>
  </si>
  <si>
    <t xml:space="preserve">Downside - Break-even exit yield</t>
  </si>
  <si>
    <t xml:space="preserve">Downside - Covenant headroom: minimum d</t>
  </si>
  <si>
    <t xml:space="preserve">Downside - Exit value</t>
  </si>
  <si>
    <t xml:space="preserve">Upside - Levered internal rate of ret</t>
  </si>
  <si>
    <t xml:space="preserve">Upside - Equity multiple</t>
  </si>
  <si>
    <t xml:space="preserve">Upside - Peak equity</t>
  </si>
  <si>
    <t xml:space="preserve">Upside - Break-even exit yield</t>
  </si>
  <si>
    <t xml:space="preserve">Upside - Covenant headroom: minimum d</t>
  </si>
  <si>
    <t xml:space="preserve">Upside - Exit value</t>
  </si>
  <si>
    <t xml:space="preserve">Specific risk: tenant B do - Levered internal rate of ret</t>
  </si>
  <si>
    <t xml:space="preserve">Specific risk: tenant B do - Equity multiple</t>
  </si>
  <si>
    <t xml:space="preserve">Specific risk: tenant B do - Peak equity</t>
  </si>
  <si>
    <t xml:space="preserve">Specific risk: tenant B do - Break-even exit yield</t>
  </si>
  <si>
    <t xml:space="preserve">Specific risk: tenant B do - Covenant headroom: minimum d</t>
  </si>
  <si>
    <t xml:space="preserve">Specific risk: tenant B do - Exit value</t>
  </si>
  <si>
    <t xml:space="preserve">5 The four break-evens</t>
  </si>
  <si>
    <t xml:space="preserve">break-even exit yield</t>
  </si>
  <si>
    <t xml:space="preserve">distance from base, bp</t>
  </si>
  <si>
    <t xml:space="preserve">fall in value at that point</t>
  </si>
  <si>
    <t xml:space="preserve">NOI fall breaching coverage</t>
  </si>
  <si>
    <t xml:space="preserve">NOI fall breaching debt yield</t>
  </si>
  <si>
    <t xml:space="preserve">coverage is far further from breaking</t>
  </si>
  <si>
    <t xml:space="preserve">value at the loan-to-value breach</t>
  </si>
  <si>
    <t xml:space="preserve">months of liquidity</t>
  </si>
  <si>
    <t xml:space="preserve">the covenant binds long before the equity</t>
  </si>
  <si>
    <t xml:space="preserve">6 Worse than the sum</t>
  </si>
  <si>
    <t xml:space="preserve">base value</t>
  </si>
  <si>
    <t xml:space="preserve">both together, value</t>
  </si>
  <si>
    <t xml:space="preserve">the two added</t>
  </si>
  <si>
    <t xml:space="preserve">the two together</t>
  </si>
  <si>
    <t xml:space="preserve">cross term on value</t>
  </si>
  <si>
    <t xml:space="preserve">closed form matches the measured cross term</t>
  </si>
  <si>
    <t xml:space="preserve">cross term on value is POSITIVE</t>
  </si>
  <si>
    <t xml:space="preserve">cross term on the levered return is NEGATIVE</t>
  </si>
  <si>
    <t xml:space="preserve">the two together, basis points</t>
  </si>
  <si>
    <t xml:space="preserve">sign flips below 20 percent gearing</t>
  </si>
  <si>
    <t xml:space="preserve">Controls</t>
  </si>
  <si>
    <t xml:space="preserve">PASS</t>
  </si>
  <si>
    <t xml:space="preserve">FAIL</t>
  </si>
</sst>
</file>

<file path=xl/styles.xml><?xml version="1.0" encoding="utf-8"?>
<styleSheet xmlns="http://schemas.openxmlformats.org/spreadsheetml/2006/main">
  <numFmts count="10">
    <numFmt numFmtId="164" formatCode="General"/>
    <numFmt numFmtId="165" formatCode="#,##0"/>
    <numFmt numFmtId="166" formatCode="0.00%"/>
    <numFmt numFmtId="167" formatCode="0.000%"/>
    <numFmt numFmtId="168" formatCode="0.00"/>
    <numFmt numFmtId="169" formatCode="0.000"/>
    <numFmt numFmtId="170" formatCode="0"/>
    <numFmt numFmtId="171" formatCode="0.0%"/>
    <numFmt numFmtId="172" formatCode="0.0"/>
    <numFmt numFmtId="173" formatCode="0.000000"/>
  </numFmts>
  <fonts count="8">
    <font>
      <sz val="11"/>
      <color theme="1"/>
      <name val="Calibri"/>
      <family val="2"/>
      <charset val="1"/>
    </font>
    <font>
      <sz val="10"/>
      <name val="Arial"/>
      <family val="0"/>
    </font>
    <font>
      <sz val="10"/>
      <name val="Arial"/>
      <family val="0"/>
    </font>
    <font>
      <sz val="10"/>
      <name val="Arial"/>
      <family val="0"/>
    </font>
    <font>
      <b val="true"/>
      <sz val="14"/>
      <color rgb="FFFFFFFF"/>
      <name val="Cambria"/>
      <family val="0"/>
      <charset val="1"/>
    </font>
    <font>
      <i val="true"/>
      <sz val="9"/>
      <color rgb="FF595959"/>
      <name val="Cambria"/>
      <family val="0"/>
      <charset val="1"/>
    </font>
    <font>
      <b val="true"/>
      <sz val="11"/>
      <color rgb="FF1F3864"/>
      <name val="Cambria"/>
      <family val="0"/>
      <charset val="1"/>
    </font>
    <font>
      <b val="true"/>
      <sz val="11"/>
      <name val="Cambria"/>
      <family val="0"/>
      <charset val="1"/>
    </font>
  </fonts>
  <fills count="7">
    <fill>
      <patternFill patternType="none"/>
    </fill>
    <fill>
      <patternFill patternType="gray125"/>
    </fill>
    <fill>
      <patternFill patternType="solid">
        <fgColor rgb="FF1F3864"/>
        <bgColor rgb="FF333333"/>
      </patternFill>
    </fill>
    <fill>
      <patternFill patternType="solid">
        <fgColor rgb="FFFFF2CC"/>
        <bgColor rgb="FFFCE4D6"/>
      </patternFill>
    </fill>
    <fill>
      <patternFill patternType="solid">
        <fgColor rgb="FFF2F2F2"/>
        <bgColor rgb="FFE2EFDA"/>
      </patternFill>
    </fill>
    <fill>
      <patternFill patternType="solid">
        <fgColor rgb="FFE2EFDA"/>
        <bgColor rgb="FFF2F2F2"/>
      </patternFill>
    </fill>
    <fill>
      <patternFill patternType="solid">
        <fgColor rgb="FFFCE4D6"/>
        <bgColor rgb="FFFFF2CC"/>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0" fillId="3" borderId="1" xfId="0" applyFont="false" applyBorder="true" applyAlignment="false" applyProtection="false">
      <alignment horizontal="general" vertical="bottom" textRotation="0" wrapText="false" indent="0" shrinkToFit="false"/>
      <protection locked="true" hidden="false"/>
    </xf>
    <xf numFmtId="166" fontId="0" fillId="3" borderId="1" xfId="0" applyFont="false" applyBorder="true" applyAlignment="false" applyProtection="false">
      <alignment horizontal="general" vertical="bottom" textRotation="0" wrapText="false" indent="0" shrinkToFit="false"/>
      <protection locked="true" hidden="false"/>
    </xf>
    <xf numFmtId="167" fontId="0" fillId="3" borderId="1" xfId="0" applyFont="false" applyBorder="true" applyAlignment="false" applyProtection="false">
      <alignment horizontal="general" vertical="bottom" textRotation="0" wrapText="false" indent="0" shrinkToFit="false"/>
      <protection locked="true" hidden="false"/>
    </xf>
    <xf numFmtId="168" fontId="0" fillId="3"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7" fillId="4" borderId="1" xfId="0" applyFont="true" applyBorder="true" applyAlignment="true" applyProtection="false">
      <alignment horizontal="center" vertical="bottom" textRotation="0" wrapText="true" indent="0" shrinkToFit="false"/>
      <protection locked="true" hidden="false"/>
    </xf>
    <xf numFmtId="165" fontId="7" fillId="4" borderId="1" xfId="0" applyFont="true" applyBorder="true" applyAlignment="true" applyProtection="false">
      <alignment horizontal="center" vertical="bottom"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5" fontId="0" fillId="0" borderId="1" xfId="0" applyFont="false" applyBorder="tru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5" fontId="0" fillId="5" borderId="1" xfId="0" applyFont="false" applyBorder="true" applyAlignment="false" applyProtection="false">
      <alignment horizontal="general" vertical="bottom" textRotation="0" wrapText="false" indent="0" shrinkToFit="false"/>
      <protection locked="true" hidden="false"/>
    </xf>
    <xf numFmtId="166" fontId="0" fillId="5" borderId="1" xfId="0" applyFont="false" applyBorder="true" applyAlignment="false" applyProtection="false">
      <alignment horizontal="general" vertical="bottom" textRotation="0" wrapText="false" indent="0" shrinkToFit="false"/>
      <protection locked="true" hidden="false"/>
    </xf>
    <xf numFmtId="169" fontId="0" fillId="5" borderId="1" xfId="0" applyFont="false" applyBorder="true" applyAlignment="false" applyProtection="false">
      <alignment horizontal="general" vertical="bottom" textRotation="0" wrapText="false" indent="0" shrinkToFit="false"/>
      <protection locked="true" hidden="false"/>
    </xf>
    <xf numFmtId="166" fontId="0" fillId="0" borderId="1" xfId="0" applyFont="false" applyBorder="true" applyAlignment="false" applyProtection="false">
      <alignment horizontal="general" vertical="bottom" textRotation="0" wrapText="false" indent="0" shrinkToFit="false"/>
      <protection locked="true" hidden="false"/>
    </xf>
    <xf numFmtId="170" fontId="0" fillId="0" borderId="1" xfId="0" applyFont="false" applyBorder="true" applyAlignment="false" applyProtection="false">
      <alignment horizontal="general" vertical="bottom" textRotation="0" wrapText="false" indent="0" shrinkToFit="false"/>
      <protection locked="true" hidden="false"/>
    </xf>
    <xf numFmtId="171" fontId="0" fillId="0" borderId="1" xfId="0" applyFont="false" applyBorder="true" applyAlignment="false" applyProtection="false">
      <alignment horizontal="general" vertical="bottom" textRotation="0" wrapText="false" indent="0" shrinkToFit="false"/>
      <protection locked="true" hidden="false"/>
    </xf>
    <xf numFmtId="170" fontId="0" fillId="5" borderId="1" xfId="0" applyFont="false" applyBorder="true" applyAlignment="false" applyProtection="false">
      <alignment horizontal="general" vertical="bottom" textRotation="0" wrapText="false" indent="0" shrinkToFit="false"/>
      <protection locked="true" hidden="false"/>
    </xf>
    <xf numFmtId="172" fontId="0" fillId="5" borderId="1" xfId="0" applyFont="false" applyBorder="true" applyAlignment="false" applyProtection="false">
      <alignment horizontal="general" vertical="bottom" textRotation="0" wrapText="false" indent="0" shrinkToFit="false"/>
      <protection locked="true" hidden="false"/>
    </xf>
    <xf numFmtId="166" fontId="0" fillId="6" borderId="1" xfId="0" applyFont="fals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8" fontId="0" fillId="5" borderId="1" xfId="0" applyFont="false" applyBorder="true" applyAlignment="false" applyProtection="false">
      <alignment horizontal="general" vertical="bottom" textRotation="0" wrapText="false" indent="0" shrinkToFit="false"/>
      <protection locked="true" hidden="false"/>
    </xf>
    <xf numFmtId="167" fontId="0" fillId="5" borderId="1" xfId="0" applyFont="false" applyBorder="true" applyAlignment="false" applyProtection="false">
      <alignment horizontal="general" vertical="bottom" textRotation="0" wrapText="false" indent="0" shrinkToFit="false"/>
      <protection locked="true" hidden="false"/>
    </xf>
    <xf numFmtId="168" fontId="0" fillId="0" borderId="1" xfId="0" applyFont="false" applyBorder="true" applyAlignment="false" applyProtection="false">
      <alignment horizontal="general" vertical="bottom" textRotation="0" wrapText="false" indent="0" shrinkToFit="false"/>
      <protection locked="true" hidden="false"/>
    </xf>
    <xf numFmtId="171" fontId="0" fillId="3" borderId="1" xfId="0" applyFont="false" applyBorder="true" applyAlignment="false" applyProtection="false">
      <alignment horizontal="general" vertical="bottom" textRotation="0" wrapText="false" indent="0" shrinkToFit="false"/>
      <protection locked="true" hidden="false"/>
    </xf>
    <xf numFmtId="170" fontId="0" fillId="3" borderId="1" xfId="0" applyFont="false" applyBorder="true" applyAlignment="false" applyProtection="false">
      <alignment horizontal="general" vertical="bottom" textRotation="0" wrapText="false" indent="0" shrinkToFit="false"/>
      <protection locked="true" hidden="false"/>
    </xf>
    <xf numFmtId="172" fontId="0" fillId="6" borderId="1" xfId="0" applyFont="false" applyBorder="true" applyAlignment="false" applyProtection="false">
      <alignment horizontal="general" vertical="bottom" textRotation="0" wrapText="false" indent="0" shrinkToFit="false"/>
      <protection locked="true" hidden="false"/>
    </xf>
    <xf numFmtId="171" fontId="0" fillId="5" borderId="1" xfId="0" applyFont="false" applyBorder="true" applyAlignment="false" applyProtection="false">
      <alignment horizontal="general" vertical="bottom" textRotation="0" wrapText="false" indent="0" shrinkToFit="false"/>
      <protection locked="true" hidden="false"/>
    </xf>
    <xf numFmtId="173" fontId="0" fillId="0" borderId="1"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CE4D6"/>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21.75" hidden="false" customHeight="true" outlineLevel="0" collapsed="false">
      <c r="A1" s="1" t="s">
        <v>0</v>
      </c>
      <c r="B1" s="2"/>
      <c r="C1" s="2"/>
      <c r="D1" s="2"/>
      <c r="E1" s="2"/>
      <c r="F1" s="2"/>
      <c r="G1" s="2"/>
      <c r="H1" s="2"/>
      <c r="I1" s="2"/>
    </row>
    <row r="3" customFormat="false" ht="15" hidden="false" customHeight="false" outlineLevel="0" collapsed="false">
      <c r="A3" s="0" t="s">
        <v>1</v>
      </c>
    </row>
    <row r="5" customFormat="false" ht="15" hidden="false" customHeight="false" outlineLevel="0" collapsed="false">
      <c r="A5" s="0" t="s">
        <v>2</v>
      </c>
    </row>
    <row r="6" customFormat="false" ht="15" hidden="false" customHeight="false" outlineLevel="0" collapsed="false">
      <c r="A6" s="0" t="s">
        <v>3</v>
      </c>
    </row>
    <row r="7" customFormat="false" ht="15" hidden="false" customHeight="false" outlineLevel="0" collapsed="false">
      <c r="A7" s="0" t="s">
        <v>4</v>
      </c>
    </row>
    <row r="9" customFormat="false" ht="15" hidden="false" customHeight="false" outlineLevel="0" collapsed="false">
      <c r="A9" s="0" t="s">
        <v>5</v>
      </c>
    </row>
    <row r="10" customFormat="false" ht="15" hidden="false" customHeight="false" outlineLevel="0" collapsed="false">
      <c r="A10" s="0" t="s">
        <v>6</v>
      </c>
    </row>
    <row r="11" customFormat="false" ht="15" hidden="false" customHeight="false" outlineLevel="0" collapsed="false">
      <c r="A11" s="0" t="s">
        <v>7</v>
      </c>
    </row>
    <row r="12" customFormat="false" ht="15" hidden="false" customHeight="false" outlineLevel="0" collapsed="false">
      <c r="A12" s="0" t="s">
        <v>8</v>
      </c>
    </row>
    <row r="14" customFormat="false" ht="15" hidden="false" customHeight="false" outlineLevel="0" collapsed="false">
      <c r="A14" s="0" t="s">
        <v>9</v>
      </c>
    </row>
    <row r="16" customFormat="false" ht="15" hidden="false" customHeight="false" outlineLevel="0" collapsed="false">
      <c r="A16" s="0" t="s">
        <v>10</v>
      </c>
    </row>
    <row r="17" customFormat="false" ht="15" hidden="false" customHeight="false" outlineLevel="0" collapsed="false">
      <c r="A17" s="0" t="s">
        <v>11</v>
      </c>
    </row>
    <row r="19" customFormat="false" ht="15" hidden="false" customHeight="false" outlineLevel="0" collapsed="false">
      <c r="A19" s="0" t="s">
        <v>12</v>
      </c>
    </row>
    <row r="20" customFormat="false" ht="15" hidden="false" customHeight="false" outlineLevel="0" collapsed="false">
      <c r="A20" s="0" t="s">
        <v>13</v>
      </c>
    </row>
    <row r="21" customFormat="false" ht="15" hidden="false" customHeight="false" outlineLevel="0" collapsed="false">
      <c r="A21" s="0" t="s">
        <v>14</v>
      </c>
    </row>
    <row r="22" customFormat="false" ht="15" hidden="false" customHeight="false" outlineLevel="0" collapsed="false">
      <c r="A22" s="0" t="s">
        <v>15</v>
      </c>
    </row>
    <row r="23" customFormat="false" ht="15" hidden="false" customHeight="false" outlineLevel="0" collapsed="false">
      <c r="A23" s="0" t="s">
        <v>16</v>
      </c>
    </row>
    <row r="24" customFormat="false" ht="15" hidden="false" customHeight="false" outlineLevel="0" collapsed="false">
      <c r="A24" s="0" t="s">
        <v>17</v>
      </c>
    </row>
    <row r="25" customFormat="false" ht="15" hidden="false" customHeight="false" outlineLevel="0" collapsed="false">
      <c r="A25" s="0" t="s">
        <v>18</v>
      </c>
    </row>
    <row r="26" customFormat="false" ht="15" hidden="false" customHeight="false" outlineLevel="0" collapsed="false">
      <c r="A26" s="0" t="s">
        <v>19</v>
      </c>
    </row>
    <row r="27" customFormat="false" ht="15" hidden="false" customHeight="false" outlineLevel="0" collapsed="false">
      <c r="A27" s="0" t="s">
        <v>20</v>
      </c>
    </row>
    <row r="29" customFormat="false" ht="15" hidden="false" customHeight="false" outlineLevel="0" collapsed="false">
      <c r="A29" s="0" t="s">
        <v>21</v>
      </c>
    </row>
    <row r="31" customFormat="false" ht="15" hidden="false" customHeight="false" outlineLevel="0" collapsed="false">
      <c r="A31" s="0" t="s">
        <v>22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4"/>
    <col collapsed="false" customWidth="true" hidden="false" outlineLevel="0" max="8" min="2" style="0" width="15"/>
  </cols>
  <sheetData>
    <row r="1" customFormat="false" ht="21.75" hidden="false" customHeight="true" outlineLevel="0" collapsed="false">
      <c r="A1" s="1" t="s">
        <v>23</v>
      </c>
      <c r="B1" s="2"/>
      <c r="C1" s="2"/>
      <c r="D1" s="2"/>
      <c r="E1" s="2"/>
      <c r="F1" s="2"/>
      <c r="G1" s="2"/>
      <c r="H1" s="2"/>
      <c r="I1" s="2"/>
    </row>
    <row r="3" customFormat="false" ht="39" hidden="false" customHeight="true" outlineLevel="0" collapsed="false">
      <c r="A3" s="3" t="s">
        <v>24</v>
      </c>
      <c r="B3" s="3"/>
      <c r="C3" s="3"/>
      <c r="D3" s="3"/>
      <c r="E3" s="3"/>
      <c r="F3" s="3"/>
      <c r="G3" s="3"/>
      <c r="H3" s="3"/>
      <c r="I3" s="3"/>
    </row>
    <row r="5" customFormat="false" ht="15" hidden="false" customHeight="false" outlineLevel="0" collapsed="false">
      <c r="A5" s="4" t="s">
        <v>25</v>
      </c>
    </row>
    <row r="6" customFormat="false" ht="15" hidden="false" customHeight="false" outlineLevel="0" collapsed="false">
      <c r="A6" s="0" t="s">
        <v>26</v>
      </c>
      <c r="B6" s="5" t="n">
        <v>23500000</v>
      </c>
    </row>
    <row r="7" customFormat="false" ht="15" hidden="false" customHeight="false" outlineLevel="0" collapsed="false">
      <c r="A7" s="0" t="s">
        <v>27</v>
      </c>
      <c r="B7" s="6" t="n">
        <v>0.065</v>
      </c>
    </row>
    <row r="8" customFormat="false" ht="15" hidden="false" customHeight="false" outlineLevel="0" collapsed="false">
      <c r="A8" s="0" t="s">
        <v>28</v>
      </c>
      <c r="B8" s="6" t="n">
        <v>0.015</v>
      </c>
    </row>
    <row r="9" customFormat="false" ht="15" hidden="false" customHeight="false" outlineLevel="0" collapsed="false">
      <c r="A9" s="0" t="s">
        <v>29</v>
      </c>
      <c r="B9" s="7" t="n">
        <v>0.0575</v>
      </c>
    </row>
    <row r="10" customFormat="false" ht="15" hidden="false" customHeight="false" outlineLevel="0" collapsed="false">
      <c r="A10" s="0" t="s">
        <v>30</v>
      </c>
      <c r="B10" s="6" t="n">
        <v>0.55</v>
      </c>
    </row>
    <row r="11" customFormat="false" ht="15" hidden="false" customHeight="false" outlineLevel="0" collapsed="false">
      <c r="A11" s="0" t="s">
        <v>31</v>
      </c>
      <c r="B11" s="7" t="n">
        <v>0.0485</v>
      </c>
    </row>
    <row r="12" customFormat="false" ht="15" hidden="false" customHeight="false" outlineLevel="0" collapsed="false">
      <c r="A12" s="0" t="s">
        <v>32</v>
      </c>
      <c r="B12" s="6" t="n">
        <v>0.01</v>
      </c>
    </row>
    <row r="13" customFormat="false" ht="15" hidden="false" customHeight="false" outlineLevel="0" collapsed="false">
      <c r="A13" s="0" t="s">
        <v>33</v>
      </c>
      <c r="B13" s="8" t="n">
        <v>1.3</v>
      </c>
    </row>
    <row r="14" customFormat="false" ht="15" hidden="false" customHeight="false" outlineLevel="0" collapsed="false">
      <c r="A14" s="0" t="s">
        <v>34</v>
      </c>
      <c r="B14" s="6" t="n">
        <v>0.09</v>
      </c>
    </row>
    <row r="16" customFormat="false" ht="15" hidden="false" customHeight="false" outlineLevel="0" collapsed="false">
      <c r="A16" s="4" t="s">
        <v>35</v>
      </c>
      <c r="H16" s="9" t="s">
        <v>36</v>
      </c>
      <c r="I16" s="9" t="s">
        <v>37</v>
      </c>
    </row>
    <row r="17" customFormat="false" ht="30" hidden="false" customHeight="true" outlineLevel="0" collapsed="false">
      <c r="A17" s="10" t="s">
        <v>38</v>
      </c>
      <c r="B17" s="10" t="s">
        <v>39</v>
      </c>
      <c r="C17" s="10" t="s">
        <v>40</v>
      </c>
      <c r="D17" s="10" t="s">
        <v>41</v>
      </c>
      <c r="E17" s="10" t="s">
        <v>42</v>
      </c>
      <c r="F17" s="10" t="s">
        <v>43</v>
      </c>
      <c r="G17" s="10" t="s">
        <v>44</v>
      </c>
      <c r="H17" s="11" t="n">
        <f aca="false">-B26</f>
        <v>-25027500</v>
      </c>
      <c r="I17" s="11" t="n">
        <f aca="false">-B29</f>
        <v>-12231750</v>
      </c>
    </row>
    <row r="18" customFormat="false" ht="15" hidden="false" customHeight="false" outlineLevel="0" collapsed="false">
      <c r="A18" s="12" t="n">
        <v>1</v>
      </c>
      <c r="B18" s="5" t="n">
        <v>1307440</v>
      </c>
      <c r="C18" s="5" t="n">
        <v>-29770</v>
      </c>
      <c r="D18" s="5" t="n">
        <v>-384970</v>
      </c>
      <c r="E18" s="13" t="n">
        <f aca="false">B18+C18+D18</f>
        <v>892700</v>
      </c>
      <c r="F18" s="13" t="n">
        <f aca="false">-$B30</f>
        <v>-626862.5</v>
      </c>
      <c r="G18" s="13" t="n">
        <f aca="false">E18+F18</f>
        <v>265837.5</v>
      </c>
      <c r="H18" s="14" t="n">
        <f aca="false">E18+IF(A18=5,B35,0)</f>
        <v>892700</v>
      </c>
      <c r="I18" s="14" t="n">
        <f aca="false">G18+IF(A18=5,B35-B27,0)</f>
        <v>265837.5</v>
      </c>
    </row>
    <row r="19" customFormat="false" ht="15" hidden="false" customHeight="false" outlineLevel="0" collapsed="false">
      <c r="A19" s="12" t="n">
        <v>2</v>
      </c>
      <c r="B19" s="5" t="n">
        <v>1472065</v>
      </c>
      <c r="C19" s="5" t="n">
        <v>-31227</v>
      </c>
      <c r="D19" s="5" t="n">
        <v>0</v>
      </c>
      <c r="E19" s="13" t="n">
        <f aca="false">B19+C19+D19</f>
        <v>1440838</v>
      </c>
      <c r="F19" s="13" t="n">
        <f aca="false">-$B30</f>
        <v>-626862.5</v>
      </c>
      <c r="G19" s="13" t="n">
        <f aca="false">E19+F19</f>
        <v>813975.5</v>
      </c>
      <c r="H19" s="14" t="n">
        <f aca="false">E19+IF(A19=5,B35,0)</f>
        <v>1440838</v>
      </c>
      <c r="I19" s="14" t="n">
        <f aca="false">G19+IF(A19=5,B35-B27,0)</f>
        <v>813975.5</v>
      </c>
    </row>
    <row r="20" customFormat="false" ht="15" hidden="false" customHeight="false" outlineLevel="0" collapsed="false">
      <c r="A20" s="12" t="n">
        <v>3</v>
      </c>
      <c r="B20" s="5" t="n">
        <v>1263617</v>
      </c>
      <c r="C20" s="5" t="n">
        <v>-28761</v>
      </c>
      <c r="D20" s="5" t="n">
        <v>-472562</v>
      </c>
      <c r="E20" s="13" t="n">
        <f aca="false">B20+C20+D20</f>
        <v>762294</v>
      </c>
      <c r="F20" s="13" t="n">
        <f aca="false">-$B30</f>
        <v>-626862.5</v>
      </c>
      <c r="G20" s="13" t="n">
        <f aca="false">E20+F20</f>
        <v>135431.5</v>
      </c>
      <c r="H20" s="14" t="n">
        <f aca="false">E20+IF(A20=5,B35,0)</f>
        <v>762294</v>
      </c>
      <c r="I20" s="14" t="n">
        <f aca="false">G20+IF(A20=5,B35-B27,0)</f>
        <v>135431.5</v>
      </c>
    </row>
    <row r="21" customFormat="false" ht="15" hidden="false" customHeight="false" outlineLevel="0" collapsed="false">
      <c r="A21" s="12" t="n">
        <v>4</v>
      </c>
      <c r="B21" s="5" t="n">
        <v>1581217</v>
      </c>
      <c r="C21" s="5" t="n">
        <v>-33501</v>
      </c>
      <c r="D21" s="5" t="n">
        <v>0</v>
      </c>
      <c r="E21" s="13" t="n">
        <f aca="false">B21+C21+D21</f>
        <v>1547716</v>
      </c>
      <c r="F21" s="13" t="n">
        <f aca="false">-$B30</f>
        <v>-626862.5</v>
      </c>
      <c r="G21" s="13" t="n">
        <f aca="false">E21+F21</f>
        <v>920853.5</v>
      </c>
      <c r="H21" s="14" t="n">
        <f aca="false">E21+IF(A21=5,B35,0)</f>
        <v>1547716</v>
      </c>
      <c r="I21" s="14" t="n">
        <f aca="false">G21+IF(A21=5,B35-B27,0)</f>
        <v>920853.5</v>
      </c>
    </row>
    <row r="22" customFormat="false" ht="15" hidden="false" customHeight="false" outlineLevel="0" collapsed="false">
      <c r="A22" s="12" t="n">
        <v>5</v>
      </c>
      <c r="B22" s="5" t="n">
        <v>1722328</v>
      </c>
      <c r="C22" s="5" t="n">
        <v>-36370</v>
      </c>
      <c r="D22" s="5" t="n">
        <v>0</v>
      </c>
      <c r="E22" s="13" t="n">
        <f aca="false">B22+C22+D22</f>
        <v>1685958</v>
      </c>
      <c r="F22" s="13" t="n">
        <f aca="false">-$B30</f>
        <v>-626862.5</v>
      </c>
      <c r="G22" s="13" t="n">
        <f aca="false">E22+F22</f>
        <v>1059095.5</v>
      </c>
      <c r="H22" s="14" t="n">
        <f aca="false">E22+IF(A22=5,B35,0)</f>
        <v>31519004.173913</v>
      </c>
      <c r="I22" s="14" t="n">
        <f aca="false">G22+IF(A22=5,B35-B27,0)</f>
        <v>17967141.673913</v>
      </c>
    </row>
    <row r="23" customFormat="false" ht="15" hidden="false" customHeight="false" outlineLevel="0" collapsed="false">
      <c r="A23" s="0" t="s">
        <v>45</v>
      </c>
      <c r="B23" s="5" t="n">
        <v>1741523</v>
      </c>
    </row>
    <row r="25" customFormat="false" ht="15" hidden="false" customHeight="false" outlineLevel="0" collapsed="false">
      <c r="A25" s="4" t="s">
        <v>46</v>
      </c>
    </row>
    <row r="26" customFormat="false" ht="15" hidden="false" customHeight="false" outlineLevel="0" collapsed="false">
      <c r="A26" s="0" t="s">
        <v>47</v>
      </c>
      <c r="B26" s="15" t="n">
        <f aca="false">B6*(1+B7)</f>
        <v>25027500</v>
      </c>
    </row>
    <row r="27" customFormat="false" ht="15" hidden="false" customHeight="false" outlineLevel="0" collapsed="false">
      <c r="A27" s="0" t="s">
        <v>48</v>
      </c>
      <c r="B27" s="15" t="n">
        <f aca="false">B6*B10</f>
        <v>12925000</v>
      </c>
    </row>
    <row r="28" customFormat="false" ht="15" hidden="false" customHeight="false" outlineLevel="0" collapsed="false">
      <c r="A28" s="0" t="s">
        <v>32</v>
      </c>
      <c r="B28" s="15" t="n">
        <f aca="false">B27*B12</f>
        <v>129250</v>
      </c>
    </row>
    <row r="29" customFormat="false" ht="15" hidden="false" customHeight="false" outlineLevel="0" collapsed="false">
      <c r="A29" s="0" t="s">
        <v>49</v>
      </c>
      <c r="B29" s="15" t="n">
        <f aca="false">B26-B27+B28</f>
        <v>12231750</v>
      </c>
    </row>
    <row r="30" customFormat="false" ht="15" hidden="false" customHeight="false" outlineLevel="0" collapsed="false">
      <c r="A30" s="0" t="s">
        <v>50</v>
      </c>
      <c r="B30" s="15" t="n">
        <f aca="false">B27*B11</f>
        <v>626862.5</v>
      </c>
    </row>
    <row r="32" customFormat="false" ht="15" hidden="false" customHeight="false" outlineLevel="0" collapsed="false">
      <c r="A32" s="4" t="s">
        <v>51</v>
      </c>
    </row>
    <row r="33" customFormat="false" ht="15" hidden="false" customHeight="false" outlineLevel="0" collapsed="false">
      <c r="A33" s="0" t="s">
        <v>52</v>
      </c>
      <c r="B33" s="15" t="n">
        <f aca="false">B23/B9</f>
        <v>30287356.5217391</v>
      </c>
    </row>
    <row r="34" customFormat="false" ht="15" hidden="false" customHeight="false" outlineLevel="0" collapsed="false">
      <c r="A34" s="0" t="s">
        <v>28</v>
      </c>
      <c r="B34" s="15" t="n">
        <f aca="false">-B33*B8</f>
        <v>-454310.347826087</v>
      </c>
    </row>
    <row r="35" customFormat="false" ht="15" hidden="false" customHeight="false" outlineLevel="0" collapsed="false">
      <c r="A35" s="0" t="s">
        <v>53</v>
      </c>
      <c r="B35" s="15" t="n">
        <f aca="false">B33+B34</f>
        <v>29833046.173913</v>
      </c>
    </row>
    <row r="37" customFormat="false" ht="15" hidden="false" customHeight="false" outlineLevel="0" collapsed="false">
      <c r="A37" s="4" t="s">
        <v>54</v>
      </c>
    </row>
    <row r="38" customFormat="false" ht="15" hidden="false" customHeight="false" outlineLevel="0" collapsed="false">
      <c r="A38" s="0" t="s">
        <v>55</v>
      </c>
      <c r="B38" s="16" t="n">
        <f aca="false">IRR(H17:H22)</f>
        <v>0.0821220234936141</v>
      </c>
    </row>
    <row r="39" customFormat="false" ht="15" hidden="false" customHeight="false" outlineLevel="0" collapsed="false">
      <c r="A39" s="0" t="s">
        <v>56</v>
      </c>
      <c r="B39" s="17" t="n">
        <f aca="false">(SUM(E18:E22)+B35)/B26</f>
        <v>1.44491268300522</v>
      </c>
    </row>
    <row r="40" customFormat="false" ht="15" hidden="false" customHeight="false" outlineLevel="0" collapsed="false">
      <c r="A40" s="0" t="s">
        <v>57</v>
      </c>
      <c r="B40" s="16" t="n">
        <f aca="false">IRR(I17:I22)</f>
        <v>0.110707225977888</v>
      </c>
    </row>
    <row r="41" customFormat="false" ht="15" hidden="false" customHeight="false" outlineLevel="0" collapsed="false">
      <c r="A41" s="0" t="s">
        <v>58</v>
      </c>
      <c r="B41" s="17" t="n">
        <f aca="false">(SUM(G18:G22)+B35-B27)/B29</f>
        <v>1.64352931296937</v>
      </c>
    </row>
    <row r="42" customFormat="false" ht="15" hidden="false" customHeight="false" outlineLevel="0" collapsed="false">
      <c r="A42" s="0" t="s">
        <v>59</v>
      </c>
      <c r="B42" s="16" t="n">
        <f aca="false">G18/B29</f>
        <v>0.0217333987368937</v>
      </c>
    </row>
    <row r="43" customFormat="false" ht="15" hidden="false" customHeight="false" outlineLevel="0" collapsed="false">
      <c r="A43" s="0" t="s">
        <v>60</v>
      </c>
      <c r="B43" s="17" t="n">
        <f aca="false">MIN(B18:B22)/B30</f>
        <v>2.01578017507827</v>
      </c>
    </row>
    <row r="44" customFormat="false" ht="15" hidden="false" customHeight="false" outlineLevel="0" collapsed="false">
      <c r="A44" s="0" t="s">
        <v>61</v>
      </c>
      <c r="B44" s="17" t="n">
        <f aca="false">MAX(B18:B22)/B30</f>
        <v>2.74753713932481</v>
      </c>
    </row>
    <row r="45" customFormat="false" ht="15" hidden="false" customHeight="false" outlineLevel="0" collapsed="false">
      <c r="A45" s="0" t="s">
        <v>62</v>
      </c>
      <c r="B45" s="16" t="n">
        <f aca="false">MIN(B18:B22)/B27</f>
        <v>0.0977653384912959</v>
      </c>
    </row>
    <row r="46" customFormat="false" ht="15" hidden="false" customHeight="false" outlineLevel="0" collapsed="false">
      <c r="A46" s="0" t="s">
        <v>63</v>
      </c>
      <c r="B46" s="16" t="n">
        <f aca="false">MAX(B18:B22)/B27</f>
        <v>0.133255551257253</v>
      </c>
    </row>
    <row r="47" customFormat="false" ht="15" hidden="false" customHeight="false" outlineLevel="0" collapsed="false">
      <c r="A47" s="0" t="s">
        <v>64</v>
      </c>
      <c r="B47" s="16" t="n">
        <f aca="false">B27/B33</f>
        <v>0.426745727733714</v>
      </c>
    </row>
    <row r="49" customFormat="false" ht="15" hidden="false" customHeight="false" outlineLevel="0" collapsed="false">
      <c r="A49" s="4" t="s">
        <v>65</v>
      </c>
    </row>
    <row r="50" customFormat="false" ht="30" hidden="false" customHeight="true" outlineLevel="0" collapsed="false">
      <c r="A50" s="10" t="s">
        <v>29</v>
      </c>
      <c r="B50" s="10" t="s">
        <v>55</v>
      </c>
      <c r="C50" s="10" t="s">
        <v>66</v>
      </c>
      <c r="D50" s="10" t="s">
        <v>57</v>
      </c>
      <c r="E50" s="10" t="s">
        <v>66</v>
      </c>
      <c r="F50" s="10"/>
      <c r="G50" s="10"/>
      <c r="H50" s="10"/>
      <c r="I50" s="10"/>
    </row>
    <row r="51" customFormat="false" ht="15" hidden="false" customHeight="false" outlineLevel="0" collapsed="false">
      <c r="A51" s="6" t="n">
        <v>0.0475</v>
      </c>
      <c r="B51" s="18" t="n">
        <f aca="false">IRR(N51:S51)</f>
        <v>0.118967840057201</v>
      </c>
      <c r="C51" s="18" t="n">
        <v>0.119</v>
      </c>
      <c r="D51" s="18" t="n">
        <f aca="false">IRR(U51:Z51)</f>
        <v>0.174532700479241</v>
      </c>
      <c r="E51" s="18" t="n">
        <v>0.1745</v>
      </c>
      <c r="N51" s="14" t="n">
        <f aca="false">-B26</f>
        <v>-25027500</v>
      </c>
      <c r="O51" s="14" t="n">
        <f aca="false">E18</f>
        <v>892700</v>
      </c>
      <c r="P51" s="14" t="n">
        <f aca="false">E19</f>
        <v>1440838</v>
      </c>
      <c r="Q51" s="14" t="n">
        <f aca="false">E20</f>
        <v>762294</v>
      </c>
      <c r="R51" s="14" t="n">
        <f aca="false">E21</f>
        <v>1547716</v>
      </c>
      <c r="S51" s="14" t="n">
        <f aca="false">E22+(B23/A51)*(1-B8)</f>
        <v>37799645.4736842</v>
      </c>
      <c r="U51" s="14" t="n">
        <f aca="false">-B29</f>
        <v>-12231750</v>
      </c>
      <c r="V51" s="14" t="n">
        <f aca="false">G18</f>
        <v>265837.5</v>
      </c>
      <c r="W51" s="14" t="n">
        <f aca="false">G19</f>
        <v>813975.5</v>
      </c>
      <c r="X51" s="14" t="n">
        <f aca="false">G20</f>
        <v>135431.5</v>
      </c>
      <c r="Y51" s="14" t="n">
        <f aca="false">G21</f>
        <v>920853.5</v>
      </c>
      <c r="Z51" s="14" t="n">
        <f aca="false">G22+(B23/A51)*(1-B8)-B27</f>
        <v>24247782.9736842</v>
      </c>
    </row>
    <row r="52" customFormat="false" ht="15" hidden="false" customHeight="false" outlineLevel="0" collapsed="false">
      <c r="A52" s="6" t="n">
        <v>0.0525</v>
      </c>
      <c r="B52" s="18" t="n">
        <f aca="false">IRR(N52:S52)</f>
        <v>0.0994278048508875</v>
      </c>
      <c r="C52" s="18" t="n">
        <v>0.0994</v>
      </c>
      <c r="D52" s="18" t="n">
        <f aca="false">IRR(U52:Z52)</f>
        <v>0.141413445747476</v>
      </c>
      <c r="E52" s="18" t="n">
        <v>0.1414</v>
      </c>
      <c r="N52" s="14" t="n">
        <f aca="false">-B26</f>
        <v>-25027500</v>
      </c>
      <c r="O52" s="14" t="n">
        <f aca="false">E18</f>
        <v>892700</v>
      </c>
      <c r="P52" s="14" t="n">
        <f aca="false">E19</f>
        <v>1440838</v>
      </c>
      <c r="Q52" s="14" t="n">
        <f aca="false">E20</f>
        <v>762294</v>
      </c>
      <c r="R52" s="14" t="n">
        <f aca="false">E21</f>
        <v>1547716</v>
      </c>
      <c r="S52" s="14" t="n">
        <f aca="false">E22+(B23/A52)*(1-B8)</f>
        <v>34360246.6666667</v>
      </c>
      <c r="U52" s="14" t="n">
        <f aca="false">-B29</f>
        <v>-12231750</v>
      </c>
      <c r="V52" s="14" t="n">
        <f aca="false">G18</f>
        <v>265837.5</v>
      </c>
      <c r="W52" s="14" t="n">
        <f aca="false">G19</f>
        <v>813975.5</v>
      </c>
      <c r="X52" s="14" t="n">
        <f aca="false">G20</f>
        <v>135431.5</v>
      </c>
      <c r="Y52" s="14" t="n">
        <f aca="false">G21</f>
        <v>920853.5</v>
      </c>
      <c r="Z52" s="14" t="n">
        <f aca="false">G22+(B23/A52)*(1-B8)-B27</f>
        <v>20808384.1666667</v>
      </c>
    </row>
    <row r="53" customFormat="false" ht="15" hidden="false" customHeight="false" outlineLevel="0" collapsed="false">
      <c r="A53" s="6" t="n">
        <v>0.0575</v>
      </c>
      <c r="B53" s="18" t="n">
        <f aca="false">IRR(N53:S53)</f>
        <v>0.0821220234936141</v>
      </c>
      <c r="C53" s="18" t="n">
        <v>0.0821</v>
      </c>
      <c r="D53" s="18" t="n">
        <f aca="false">IRR(U53:Z53)</f>
        <v>0.110707225977888</v>
      </c>
      <c r="E53" s="18" t="n">
        <v>0.1107</v>
      </c>
      <c r="N53" s="14" t="n">
        <f aca="false">-B26</f>
        <v>-25027500</v>
      </c>
      <c r="O53" s="14" t="n">
        <f aca="false">E18</f>
        <v>892700</v>
      </c>
      <c r="P53" s="14" t="n">
        <f aca="false">E19</f>
        <v>1440838</v>
      </c>
      <c r="Q53" s="14" t="n">
        <f aca="false">E20</f>
        <v>762294</v>
      </c>
      <c r="R53" s="14" t="n">
        <f aca="false">E21</f>
        <v>1547716</v>
      </c>
      <c r="S53" s="14" t="n">
        <f aca="false">E22+(B23/A53)*(1-B8)</f>
        <v>31519004.173913</v>
      </c>
      <c r="U53" s="14" t="n">
        <f aca="false">-B29</f>
        <v>-12231750</v>
      </c>
      <c r="V53" s="14" t="n">
        <f aca="false">G18</f>
        <v>265837.5</v>
      </c>
      <c r="W53" s="14" t="n">
        <f aca="false">G19</f>
        <v>813975.5</v>
      </c>
      <c r="X53" s="14" t="n">
        <f aca="false">G20</f>
        <v>135431.5</v>
      </c>
      <c r="Y53" s="14" t="n">
        <f aca="false">G21</f>
        <v>920853.5</v>
      </c>
      <c r="Z53" s="14" t="n">
        <f aca="false">G22+(B23/A53)*(1-B8)-B27</f>
        <v>17967141.673913</v>
      </c>
    </row>
    <row r="54" customFormat="false" ht="15" hidden="false" customHeight="false" outlineLevel="0" collapsed="false">
      <c r="A54" s="6" t="n">
        <v>0.0625</v>
      </c>
      <c r="B54" s="18" t="n">
        <f aca="false">IRR(N54:S54)</f>
        <v>0.0666390059814627</v>
      </c>
      <c r="C54" s="18" t="n">
        <v>0.0666</v>
      </c>
      <c r="D54" s="18" t="n">
        <f aca="false">IRR(U54:Z54)</f>
        <v>0.0818898911446663</v>
      </c>
      <c r="E54" s="18" t="n">
        <v>0.0819</v>
      </c>
      <c r="N54" s="14" t="n">
        <f aca="false">-B26</f>
        <v>-25027500</v>
      </c>
      <c r="O54" s="14" t="n">
        <f aca="false">E18</f>
        <v>892700</v>
      </c>
      <c r="P54" s="14" t="n">
        <f aca="false">E19</f>
        <v>1440838</v>
      </c>
      <c r="Q54" s="14" t="n">
        <f aca="false">E20</f>
        <v>762294</v>
      </c>
      <c r="R54" s="14" t="n">
        <f aca="false">E21</f>
        <v>1547716</v>
      </c>
      <c r="S54" s="14" t="n">
        <f aca="false">E22+(B23/A54)*(1-B8)</f>
        <v>29132360.48</v>
      </c>
      <c r="U54" s="14" t="n">
        <f aca="false">-B29</f>
        <v>-12231750</v>
      </c>
      <c r="V54" s="14" t="n">
        <f aca="false">G18</f>
        <v>265837.5</v>
      </c>
      <c r="W54" s="14" t="n">
        <f aca="false">G19</f>
        <v>813975.5</v>
      </c>
      <c r="X54" s="14" t="n">
        <f aca="false">G20</f>
        <v>135431.5</v>
      </c>
      <c r="Y54" s="14" t="n">
        <f aca="false">G21</f>
        <v>920853.5</v>
      </c>
      <c r="Z54" s="14" t="n">
        <f aca="false">G22+(B23/A54)*(1-B8)-B27</f>
        <v>15580497.98</v>
      </c>
    </row>
    <row r="55" customFormat="false" ht="15" hidden="false" customHeight="false" outlineLevel="0" collapsed="false">
      <c r="A55" s="6" t="n">
        <v>0.0675</v>
      </c>
      <c r="B55" s="18" t="n">
        <f aca="false">IRR(N55:S55)</f>
        <v>0.0526684149346226</v>
      </c>
      <c r="C55" s="18" t="n">
        <v>0.0527</v>
      </c>
      <c r="D55" s="18" t="n">
        <f aca="false">IRR(U55:Z55)</f>
        <v>0.0545518457227147</v>
      </c>
      <c r="E55" s="18" t="n">
        <v>0.0546</v>
      </c>
      <c r="N55" s="14" t="n">
        <f aca="false">-B26</f>
        <v>-25027500</v>
      </c>
      <c r="O55" s="14" t="n">
        <f aca="false">E18</f>
        <v>892700</v>
      </c>
      <c r="P55" s="14" t="n">
        <f aca="false">E19</f>
        <v>1440838</v>
      </c>
      <c r="Q55" s="14" t="n">
        <f aca="false">E20</f>
        <v>762294</v>
      </c>
      <c r="R55" s="14" t="n">
        <f aca="false">E21</f>
        <v>1547716</v>
      </c>
      <c r="S55" s="14" t="n">
        <f aca="false">E22+(B23/A55)*(1-B8)</f>
        <v>27099293.6296296</v>
      </c>
      <c r="U55" s="14" t="n">
        <f aca="false">-B29</f>
        <v>-12231750</v>
      </c>
      <c r="V55" s="14" t="n">
        <f aca="false">G18</f>
        <v>265837.5</v>
      </c>
      <c r="W55" s="14" t="n">
        <f aca="false">G19</f>
        <v>813975.5</v>
      </c>
      <c r="X55" s="14" t="n">
        <f aca="false">G20</f>
        <v>135431.5</v>
      </c>
      <c r="Y55" s="14" t="n">
        <f aca="false">G21</f>
        <v>920853.5</v>
      </c>
      <c r="Z55" s="14" t="n">
        <f aca="false">G22+(B23/A55)*(1-B8)-B27</f>
        <v>13547431.1296296</v>
      </c>
    </row>
    <row r="56" customFormat="false" ht="25.5" hidden="false" customHeight="true" outlineLevel="0" collapsed="false">
      <c r="A56" s="3" t="s">
        <v>67</v>
      </c>
      <c r="B56" s="3"/>
      <c r="C56" s="3"/>
      <c r="D56" s="3"/>
      <c r="E56" s="3"/>
      <c r="F56" s="3"/>
      <c r="G56" s="3"/>
      <c r="H56" s="3"/>
      <c r="I56" s="3"/>
    </row>
  </sheetData>
  <mergeCells count="2">
    <mergeCell ref="A3:I3"/>
    <mergeCell ref="A56:I5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2"/>
    <col collapsed="false" customWidth="true" hidden="false" outlineLevel="0" max="2" min="2" style="0" width="22"/>
    <col collapsed="false" customWidth="true" hidden="false" outlineLevel="0" max="7" min="3" style="0" width="14"/>
  </cols>
  <sheetData>
    <row r="1" customFormat="false" ht="21.75" hidden="false" customHeight="true" outlineLevel="0" collapsed="false">
      <c r="A1" s="1" t="s">
        <v>68</v>
      </c>
      <c r="B1" s="2"/>
      <c r="C1" s="2"/>
      <c r="D1" s="2"/>
      <c r="E1" s="2"/>
      <c r="F1" s="2"/>
      <c r="G1" s="2"/>
      <c r="H1" s="2"/>
      <c r="I1" s="2"/>
    </row>
    <row r="3" customFormat="false" ht="39" hidden="false" customHeight="true" outlineLevel="0" collapsed="false">
      <c r="A3" s="3" t="s">
        <v>69</v>
      </c>
      <c r="B3" s="3"/>
      <c r="C3" s="3"/>
      <c r="D3" s="3"/>
      <c r="E3" s="3"/>
      <c r="F3" s="3"/>
      <c r="G3" s="3"/>
      <c r="H3" s="3"/>
      <c r="I3" s="3"/>
    </row>
    <row r="5" customFormat="false" ht="15" hidden="false" customHeight="false" outlineLevel="0" collapsed="false">
      <c r="A5" s="0" t="s">
        <v>70</v>
      </c>
      <c r="B5" s="16" t="n">
        <f aca="false">'1 The model rebuilt'!B40</f>
        <v>0.110707225977888</v>
      </c>
    </row>
    <row r="7" customFormat="false" ht="30" hidden="false" customHeight="true" outlineLevel="0" collapsed="false">
      <c r="A7" s="10" t="s">
        <v>71</v>
      </c>
      <c r="B7" s="10" t="s">
        <v>72</v>
      </c>
      <c r="C7" s="10" t="s">
        <v>73</v>
      </c>
      <c r="D7" s="10" t="s">
        <v>74</v>
      </c>
      <c r="E7" s="10" t="s">
        <v>75</v>
      </c>
      <c r="F7" s="10" t="s">
        <v>76</v>
      </c>
      <c r="G7" s="10"/>
    </row>
    <row r="8" customFormat="false" ht="15" hidden="false" customHeight="false" outlineLevel="0" collapsed="false">
      <c r="A8" s="12" t="s">
        <v>29</v>
      </c>
      <c r="B8" s="12" t="s">
        <v>77</v>
      </c>
      <c r="C8" s="16" t="n">
        <v>0.0818898911446663</v>
      </c>
      <c r="D8" s="16" t="n">
        <v>0.141413445747476</v>
      </c>
      <c r="E8" s="19" t="n">
        <f aca="false">(D8-C8)*10000</f>
        <v>595.235546028102</v>
      </c>
      <c r="F8" s="20" t="n">
        <f aca="false">E8/MAX($E$8:$E$16)</f>
        <v>1</v>
      </c>
    </row>
    <row r="9" customFormat="false" ht="15" hidden="false" customHeight="false" outlineLevel="0" collapsed="false">
      <c r="A9" s="12" t="s">
        <v>39</v>
      </c>
      <c r="B9" s="12" t="s">
        <v>78</v>
      </c>
      <c r="C9" s="16" t="n">
        <v>0.0877181584783716</v>
      </c>
      <c r="D9" s="16" t="n">
        <v>0.132281026234575</v>
      </c>
      <c r="E9" s="19" t="n">
        <f aca="false">(D9-C9)*10000</f>
        <v>445.628677562036</v>
      </c>
      <c r="F9" s="20" t="n">
        <f aca="false">E9/MAX($E$8:$E$16)</f>
        <v>0.748659384567395</v>
      </c>
    </row>
    <row r="10" customFormat="false" ht="15" hidden="false" customHeight="false" outlineLevel="0" collapsed="false">
      <c r="A10" s="12" t="s">
        <v>79</v>
      </c>
      <c r="B10" s="12" t="s">
        <v>80</v>
      </c>
      <c r="C10" s="16" t="n">
        <v>0.0913666733652715</v>
      </c>
      <c r="D10" s="16" t="n">
        <v>0.1294859159526</v>
      </c>
      <c r="E10" s="19" t="n">
        <f aca="false">(D10-C10)*10000</f>
        <v>381.19242587328</v>
      </c>
      <c r="F10" s="20" t="n">
        <f aca="false">E10/MAX($E$8:$E$16)</f>
        <v>0.640406018116539</v>
      </c>
    </row>
    <row r="11" customFormat="false" ht="15" hidden="false" customHeight="false" outlineLevel="0" collapsed="false">
      <c r="A11" s="12" t="s">
        <v>81</v>
      </c>
      <c r="B11" s="12" t="s">
        <v>82</v>
      </c>
      <c r="C11" s="16" t="n">
        <v>0.101493959558894</v>
      </c>
      <c r="D11" s="16" t="n">
        <v>0.119941932765147</v>
      </c>
      <c r="E11" s="19" t="n">
        <f aca="false">(D11-C11)*10000</f>
        <v>184.47973206253</v>
      </c>
      <c r="F11" s="20" t="n">
        <f aca="false">E11/MAX($E$8:$E$16)</f>
        <v>0.309927277182167</v>
      </c>
    </row>
    <row r="12" customFormat="false" ht="15" hidden="false" customHeight="false" outlineLevel="0" collapsed="false">
      <c r="A12" s="12" t="s">
        <v>30</v>
      </c>
      <c r="B12" s="12" t="s">
        <v>83</v>
      </c>
      <c r="C12" s="16" t="n">
        <v>0.106104186666448</v>
      </c>
      <c r="D12" s="16" t="n">
        <v>0.116153618190554</v>
      </c>
      <c r="E12" s="19" t="n">
        <f aca="false">(D12-C12)*10000</f>
        <v>100.494315241065</v>
      </c>
      <c r="F12" s="20" t="n">
        <f aca="false">E12/MAX($E$8:$E$16)</f>
        <v>0.168831172653658</v>
      </c>
    </row>
    <row r="13" customFormat="false" ht="15" hidden="false" customHeight="false" outlineLevel="0" collapsed="false">
      <c r="A13" s="12" t="s">
        <v>84</v>
      </c>
      <c r="B13" s="12" t="s">
        <v>85</v>
      </c>
      <c r="C13" s="16" t="n">
        <v>0.107784363113668</v>
      </c>
      <c r="D13" s="16" t="n">
        <v>0.113629027165466</v>
      </c>
      <c r="E13" s="19" t="n">
        <f aca="false">(D13-C13)*10000</f>
        <v>58.446640517984</v>
      </c>
      <c r="F13" s="20" t="n">
        <f aca="false">E13/MAX($E$8:$E$16)</f>
        <v>0.0981907765891802</v>
      </c>
    </row>
    <row r="14" customFormat="false" ht="15" hidden="false" customHeight="false" outlineLevel="0" collapsed="false">
      <c r="A14" s="12" t="s">
        <v>41</v>
      </c>
      <c r="B14" s="12" t="s">
        <v>86</v>
      </c>
      <c r="C14" s="16" t="n">
        <v>0.10803809202789</v>
      </c>
      <c r="D14" s="16" t="n">
        <v>0.113388388454506</v>
      </c>
      <c r="E14" s="19" t="n">
        <f aca="false">(D14-C14)*10000</f>
        <v>53.5029642661609</v>
      </c>
      <c r="F14" s="20" t="n">
        <f aca="false">E14/MAX($E$8:$E$16)</f>
        <v>0.0898853649167569</v>
      </c>
    </row>
    <row r="15" customFormat="false" ht="15" hidden="false" customHeight="false" outlineLevel="0" collapsed="false">
      <c r="A15" s="12" t="s">
        <v>87</v>
      </c>
      <c r="B15" s="12" t="s">
        <v>88</v>
      </c>
      <c r="C15" s="16" t="n">
        <v>0.103584268284313</v>
      </c>
      <c r="D15" s="16" t="n">
        <v>0.108236143013678</v>
      </c>
      <c r="E15" s="19" t="n">
        <f aca="false">(D15-C15)*10000</f>
        <v>46.518747293649</v>
      </c>
      <c r="F15" s="20" t="n">
        <f aca="false">E15/MAX($E$8:$E$16)</f>
        <v>0.0781518301520468</v>
      </c>
    </row>
    <row r="16" customFormat="false" ht="15" hidden="false" customHeight="false" outlineLevel="0" collapsed="false">
      <c r="A16" s="12" t="s">
        <v>89</v>
      </c>
      <c r="B16" s="12" t="s">
        <v>90</v>
      </c>
      <c r="C16" s="16" t="n">
        <v>0.109579231045154</v>
      </c>
      <c r="D16" s="16" t="n">
        <v>0.111835335291834</v>
      </c>
      <c r="E16" s="19" t="n">
        <f aca="false">(D16-C16)*10000</f>
        <v>22.5610424668</v>
      </c>
      <c r="F16" s="20" t="n">
        <f aca="false">E16/MAX($E$8:$E$16)</f>
        <v>0.0379027136691446</v>
      </c>
    </row>
    <row r="18" customFormat="false" ht="15" hidden="false" customHeight="false" outlineLevel="0" collapsed="false">
      <c r="A18" s="0" t="s">
        <v>91</v>
      </c>
      <c r="B18" s="21" t="n">
        <f aca="false">MAX(E8:E16)</f>
        <v>595.235546028102</v>
      </c>
    </row>
    <row r="19" customFormat="false" ht="15" hidden="false" customHeight="false" outlineLevel="0" collapsed="false">
      <c r="A19" s="0" t="s">
        <v>92</v>
      </c>
      <c r="B19" s="21" t="n">
        <f aca="false">MAX(E13,E14,E15)</f>
        <v>58.446640517984</v>
      </c>
    </row>
    <row r="20" customFormat="false" ht="15" hidden="false" customHeight="false" outlineLevel="0" collapsed="false">
      <c r="A20" s="0" t="s">
        <v>93</v>
      </c>
      <c r="B20" s="22" t="n">
        <f aca="false">B18/B19</f>
        <v>10.1842559427338</v>
      </c>
    </row>
    <row r="21" customFormat="false" ht="51.75" hidden="false" customHeight="true" outlineLevel="0" collapsed="false">
      <c r="A21" s="3" t="s">
        <v>94</v>
      </c>
      <c r="B21" s="3"/>
      <c r="C21" s="3"/>
      <c r="D21" s="3"/>
      <c r="E21" s="3"/>
      <c r="F21" s="3"/>
      <c r="G21" s="3"/>
      <c r="H21" s="3"/>
      <c r="I21" s="3"/>
    </row>
    <row r="22" customFormat="false" ht="51.75" hidden="false" customHeight="true" outlineLevel="0" collapsed="false">
      <c r="A22" s="3" t="s">
        <v>95</v>
      </c>
      <c r="B22" s="3"/>
      <c r="C22" s="3"/>
      <c r="D22" s="3"/>
      <c r="E22" s="3"/>
      <c r="F22" s="3"/>
      <c r="G22" s="3"/>
      <c r="H22" s="3"/>
      <c r="I22" s="3"/>
    </row>
    <row r="24" customFormat="false" ht="64.5" hidden="false" customHeight="true" outlineLevel="0" collapsed="false">
      <c r="A24" s="3" t="s">
        <v>96</v>
      </c>
      <c r="B24" s="3"/>
      <c r="C24" s="3"/>
      <c r="D24" s="3"/>
      <c r="E24" s="3"/>
      <c r="F24" s="3"/>
      <c r="G24" s="3"/>
      <c r="H24" s="3"/>
      <c r="I24" s="3"/>
    </row>
  </sheetData>
  <mergeCells count="4">
    <mergeCell ref="A3:I3"/>
    <mergeCell ref="A21:I21"/>
    <mergeCell ref="A22:I22"/>
    <mergeCell ref="A24:I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7" min="2" style="0" width="13"/>
  </cols>
  <sheetData>
    <row r="1" customFormat="false" ht="21.75" hidden="false" customHeight="true" outlineLevel="0" collapsed="false">
      <c r="A1" s="1" t="s">
        <v>97</v>
      </c>
      <c r="B1" s="2"/>
      <c r="C1" s="2"/>
      <c r="D1" s="2"/>
      <c r="E1" s="2"/>
      <c r="F1" s="2"/>
      <c r="G1" s="2"/>
      <c r="H1" s="2"/>
      <c r="I1" s="2"/>
    </row>
    <row r="3" customFormat="false" ht="39" hidden="false" customHeight="true" outlineLevel="0" collapsed="false">
      <c r="A3" s="3" t="s">
        <v>98</v>
      </c>
      <c r="B3" s="3"/>
      <c r="C3" s="3"/>
      <c r="D3" s="3"/>
      <c r="E3" s="3"/>
      <c r="F3" s="3"/>
      <c r="G3" s="3"/>
      <c r="H3" s="3"/>
      <c r="I3" s="3"/>
    </row>
    <row r="5" customFormat="false" ht="15" hidden="false" customHeight="false" outlineLevel="0" collapsed="false">
      <c r="A5" s="0" t="s">
        <v>99</v>
      </c>
      <c r="B5" s="6" t="n">
        <v>0.1</v>
      </c>
    </row>
    <row r="7" customFormat="false" ht="30" hidden="false" customHeight="true" outlineLevel="0" collapsed="false">
      <c r="A7" s="10" t="s">
        <v>57</v>
      </c>
      <c r="B7" s="10" t="s">
        <v>100</v>
      </c>
      <c r="C7" s="10" t="s">
        <v>101</v>
      </c>
      <c r="D7" s="10" t="s">
        <v>102</v>
      </c>
      <c r="E7" s="10" t="s">
        <v>103</v>
      </c>
      <c r="F7" s="10" t="s">
        <v>104</v>
      </c>
      <c r="G7" s="10" t="s">
        <v>105</v>
      </c>
      <c r="H7" s="10"/>
    </row>
    <row r="8" customFormat="false" ht="15" hidden="false" customHeight="false" outlineLevel="0" collapsed="false">
      <c r="A8" s="6" t="n">
        <v>0.0475</v>
      </c>
      <c r="B8" s="16" t="n">
        <v>0.105168857146945</v>
      </c>
      <c r="C8" s="16" t="n">
        <v>0.129830372172248</v>
      </c>
      <c r="D8" s="16" t="n">
        <v>0.152871289274394</v>
      </c>
      <c r="E8" s="16" t="n">
        <v>0.174532700479241</v>
      </c>
      <c r="F8" s="16" t="n">
        <v>0.195004209919539</v>
      </c>
      <c r="G8" s="16" t="n">
        <v>0.214437807617206</v>
      </c>
    </row>
    <row r="9" customFormat="false" ht="15" hidden="false" customHeight="false" outlineLevel="0" collapsed="false">
      <c r="A9" s="6" t="n">
        <v>0.0525</v>
      </c>
      <c r="B9" s="23" t="n">
        <v>0.0697518879835845</v>
      </c>
      <c r="C9" s="23" t="n">
        <v>0.0953417250614258</v>
      </c>
      <c r="D9" s="16" t="n">
        <v>0.11913434322666</v>
      </c>
      <c r="E9" s="16" t="n">
        <v>0.141413445747476</v>
      </c>
      <c r="F9" s="16" t="n">
        <v>0.162398719797055</v>
      </c>
      <c r="G9" s="16" t="n">
        <v>0.182263991662247</v>
      </c>
    </row>
    <row r="10" customFormat="false" ht="15" hidden="false" customHeight="false" outlineLevel="0" collapsed="false">
      <c r="A10" s="6" t="n">
        <v>0.0575</v>
      </c>
      <c r="B10" s="23" t="n">
        <v>0.0363857608640473</v>
      </c>
      <c r="C10" s="23" t="n">
        <v>0.0630568818612384</v>
      </c>
      <c r="D10" s="23" t="n">
        <v>0.0877181584783716</v>
      </c>
      <c r="E10" s="16" t="n">
        <v>0.110707225977888</v>
      </c>
      <c r="F10" s="16" t="n">
        <v>0.132281026234575</v>
      </c>
      <c r="G10" s="16" t="n">
        <v>0.152639943988601</v>
      </c>
    </row>
    <row r="11" customFormat="false" ht="15" hidden="false" customHeight="false" outlineLevel="0" collapsed="false">
      <c r="A11" s="6" t="n">
        <v>0.0625</v>
      </c>
      <c r="B11" s="23" t="n">
        <v>0.0045013221132858</v>
      </c>
      <c r="C11" s="23" t="n">
        <v>0.0324300594229844</v>
      </c>
      <c r="D11" s="23" t="n">
        <v>0.0580906387991761</v>
      </c>
      <c r="E11" s="23" t="n">
        <v>0.0818898911446663</v>
      </c>
      <c r="F11" s="16" t="n">
        <v>0.10413138104417</v>
      </c>
      <c r="G11" s="16" t="n">
        <v>0.125048058534825</v>
      </c>
    </row>
    <row r="12" customFormat="false" ht="15" hidden="false" customHeight="false" outlineLevel="0" collapsed="false">
      <c r="A12" s="6" t="n">
        <v>0.0675</v>
      </c>
      <c r="B12" s="23" t="n">
        <v>-0.0263754864114156</v>
      </c>
      <c r="C12" s="23" t="n">
        <v>0.00302029581227903</v>
      </c>
      <c r="D12" s="23" t="n">
        <v>0.0298303881700482</v>
      </c>
      <c r="E12" s="23" t="n">
        <v>0.0545518457227167</v>
      </c>
      <c r="F12" s="23" t="n">
        <v>0.0775473103017786</v>
      </c>
      <c r="G12" s="23" t="n">
        <v>0.0990900524569639</v>
      </c>
    </row>
    <row r="13" customFormat="false" ht="15" hidden="false" customHeight="false" outlineLevel="0" collapsed="false">
      <c r="A13" s="6" t="n">
        <v>0.0725</v>
      </c>
      <c r="B13" s="23" t="n">
        <v>-0.0566660599025364</v>
      </c>
      <c r="C13" s="23" t="n">
        <v>-0.0255475820844893</v>
      </c>
      <c r="D13" s="23" t="n">
        <v>0.00258915247425484</v>
      </c>
      <c r="E13" s="23" t="n">
        <v>0.0283611056250418</v>
      </c>
      <c r="F13" s="23" t="n">
        <v>0.0522068764912084</v>
      </c>
      <c r="G13" s="23" t="n">
        <v>0.0744502275432289</v>
      </c>
    </row>
    <row r="14" customFormat="false" ht="64.5" hidden="false" customHeight="true" outlineLevel="0" collapsed="false">
      <c r="A14" s="3" t="s">
        <v>106</v>
      </c>
      <c r="B14" s="3"/>
      <c r="C14" s="3"/>
      <c r="D14" s="3"/>
      <c r="E14" s="3"/>
      <c r="F14" s="3"/>
      <c r="G14" s="3"/>
      <c r="H14" s="3"/>
      <c r="I14" s="3"/>
    </row>
  </sheetData>
  <mergeCells count="2">
    <mergeCell ref="A3:I3"/>
    <mergeCell ref="A14:I1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8"/>
    <col collapsed="false" customWidth="true" hidden="false" outlineLevel="0" max="4" min="2" style="0" width="17"/>
    <col collapsed="false" customWidth="true" hidden="false" outlineLevel="0" max="5" min="5" style="0" width="22"/>
  </cols>
  <sheetData>
    <row r="1" customFormat="false" ht="21.75" hidden="false" customHeight="true" outlineLevel="0" collapsed="false">
      <c r="A1" s="1" t="s">
        <v>107</v>
      </c>
      <c r="B1" s="2"/>
      <c r="C1" s="2"/>
      <c r="D1" s="2"/>
      <c r="E1" s="2"/>
    </row>
    <row r="3" customFormat="false" ht="39" hidden="false" customHeight="true" outlineLevel="0" collapsed="false">
      <c r="A3" s="3" t="s">
        <v>108</v>
      </c>
      <c r="B3" s="3"/>
      <c r="C3" s="3"/>
      <c r="D3" s="3"/>
      <c r="E3" s="3"/>
    </row>
    <row r="5" customFormat="false" ht="30" hidden="false" customHeight="true" outlineLevel="0" collapsed="false">
      <c r="A5" s="10"/>
      <c r="B5" s="10" t="s">
        <v>109</v>
      </c>
      <c r="C5" s="10" t="s">
        <v>110</v>
      </c>
      <c r="D5" s="10" t="s">
        <v>111</v>
      </c>
      <c r="E5" s="10" t="s">
        <v>112</v>
      </c>
    </row>
    <row r="6" customFormat="false" ht="15" hidden="false" customHeight="false" outlineLevel="0" collapsed="false">
      <c r="A6" s="24" t="s">
        <v>113</v>
      </c>
      <c r="B6" s="16" t="n">
        <v>0.110707225977888</v>
      </c>
      <c r="C6" s="16" t="n">
        <v>0.0230176857160326</v>
      </c>
      <c r="D6" s="16" t="n">
        <v>0.166456467765932</v>
      </c>
      <c r="E6" s="16" t="n">
        <v>0.0102927434793866</v>
      </c>
    </row>
    <row r="7" customFormat="false" ht="15" hidden="false" customHeight="false" outlineLevel="0" collapsed="false">
      <c r="A7" s="24" t="s">
        <v>114</v>
      </c>
      <c r="B7" s="25" t="n">
        <v>1.64352931296937</v>
      </c>
      <c r="C7" s="25" t="n">
        <v>1.11387132994052</v>
      </c>
      <c r="D7" s="25" t="n">
        <v>2.07212700608389</v>
      </c>
      <c r="E7" s="25" t="n">
        <v>1.05018221046048</v>
      </c>
    </row>
    <row r="8" customFormat="false" ht="15" hidden="false" customHeight="false" outlineLevel="0" collapsed="false">
      <c r="A8" s="24" t="s">
        <v>115</v>
      </c>
      <c r="B8" s="15" t="n">
        <v>12231750</v>
      </c>
      <c r="C8" s="15" t="n">
        <v>12231750</v>
      </c>
      <c r="D8" s="15" t="n">
        <v>12231750</v>
      </c>
      <c r="E8" s="15" t="n">
        <v>12231750</v>
      </c>
    </row>
    <row r="9" customFormat="false" ht="15" hidden="false" customHeight="false" outlineLevel="0" collapsed="false">
      <c r="A9" s="24" t="s">
        <v>116</v>
      </c>
      <c r="B9" s="26" t="n">
        <v>0.0781092248630009</v>
      </c>
      <c r="C9" s="26" t="n">
        <v>0.0690019423132606</v>
      </c>
      <c r="D9" s="26" t="n">
        <v>0.0844916472146243</v>
      </c>
      <c r="E9" s="26" t="n">
        <v>0.0641686979476916</v>
      </c>
    </row>
    <row r="10" customFormat="false" ht="15" hidden="false" customHeight="false" outlineLevel="0" collapsed="false">
      <c r="A10" s="24" t="s">
        <v>117</v>
      </c>
      <c r="B10" s="16" t="n">
        <v>0.0977653384912959</v>
      </c>
      <c r="C10" s="23" t="n">
        <v>0.0889664580270793</v>
      </c>
      <c r="D10" s="16" t="n">
        <v>0.103631258800774</v>
      </c>
      <c r="E10" s="23" t="n">
        <v>0.0840781911025145</v>
      </c>
    </row>
    <row r="11" customFormat="false" ht="15" hidden="false" customHeight="false" outlineLevel="0" collapsed="false">
      <c r="A11" s="24" t="s">
        <v>118</v>
      </c>
      <c r="B11" s="15" t="n">
        <v>30287356.5217391</v>
      </c>
      <c r="C11" s="15" t="n">
        <v>24381322</v>
      </c>
      <c r="D11" s="15" t="n">
        <v>35162178.6666667</v>
      </c>
      <c r="E11" s="15" t="n">
        <v>23963356.48</v>
      </c>
    </row>
    <row r="13" customFormat="false" ht="15" hidden="false" customHeight="false" outlineLevel="0" collapsed="false">
      <c r="A13" s="12" t="s">
        <v>119</v>
      </c>
      <c r="B13" s="27" t="n">
        <v>2.01578017507827</v>
      </c>
      <c r="C13" s="27" t="n">
        <v>1.83435995932122</v>
      </c>
      <c r="D13" s="27" t="n">
        <v>2.13672698558296</v>
      </c>
      <c r="E13" s="27" t="n">
        <v>1.73357095056731</v>
      </c>
    </row>
    <row r="14" customFormat="false" ht="15" hidden="false" customHeight="false" outlineLevel="0" collapsed="false">
      <c r="A14" s="12" t="s">
        <v>120</v>
      </c>
      <c r="B14" s="18" t="n">
        <v>0.426745727733714</v>
      </c>
      <c r="C14" s="18" t="n">
        <v>0.530118916439396</v>
      </c>
      <c r="D14" s="18" t="n">
        <v>0.367582456210336</v>
      </c>
      <c r="E14" s="18" t="n">
        <v>0.53936517660985</v>
      </c>
    </row>
    <row r="16" customFormat="false" ht="51.75" hidden="false" customHeight="true" outlineLevel="0" collapsed="false">
      <c r="A16" s="3" t="s">
        <v>121</v>
      </c>
      <c r="B16" s="3"/>
      <c r="C16" s="3"/>
      <c r="D16" s="3"/>
      <c r="E16" s="3"/>
    </row>
    <row r="17" customFormat="false" ht="39" hidden="false" customHeight="true" outlineLevel="0" collapsed="false">
      <c r="A17" s="3" t="s">
        <v>122</v>
      </c>
      <c r="B17" s="3"/>
      <c r="C17" s="3"/>
      <c r="D17" s="3"/>
      <c r="E17" s="3"/>
    </row>
  </sheetData>
  <mergeCells count="3">
    <mergeCell ref="A3:E3"/>
    <mergeCell ref="A16:E16"/>
    <mergeCell ref="A17:E1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3" min="2" style="0" width="18"/>
    <col collapsed="false" customWidth="true" hidden="false" outlineLevel="0" max="4" min="4" style="0" width="30"/>
  </cols>
  <sheetData>
    <row r="1" customFormat="false" ht="21.75" hidden="false" customHeight="true" outlineLevel="0" collapsed="false">
      <c r="A1" s="1" t="s">
        <v>123</v>
      </c>
      <c r="B1" s="2"/>
      <c r="C1" s="2"/>
      <c r="D1" s="2"/>
    </row>
    <row r="3" customFormat="false" ht="25.5" hidden="false" customHeight="true" outlineLevel="0" collapsed="false">
      <c r="A3" s="3" t="s">
        <v>124</v>
      </c>
      <c r="B3" s="3"/>
      <c r="C3" s="3"/>
      <c r="D3" s="3"/>
    </row>
    <row r="5" customFormat="false" ht="15" hidden="false" customHeight="false" outlineLevel="0" collapsed="false">
      <c r="A5" s="4" t="s">
        <v>125</v>
      </c>
    </row>
    <row r="6" customFormat="false" ht="39" hidden="false" customHeight="true" outlineLevel="0" collapsed="false">
      <c r="A6" s="3" t="s">
        <v>126</v>
      </c>
      <c r="B6" s="3"/>
      <c r="C6" s="3"/>
      <c r="D6" s="3"/>
    </row>
    <row r="7" customFormat="false" ht="15" hidden="false" customHeight="false" outlineLevel="0" collapsed="false">
      <c r="A7" s="0" t="s">
        <v>127</v>
      </c>
      <c r="B7" s="15" t="n">
        <f aca="false">SUM('1 The model rebuilt'!E18:E22)</f>
        <v>6329506</v>
      </c>
    </row>
    <row r="8" customFormat="false" ht="15" hidden="false" customHeight="false" outlineLevel="0" collapsed="false">
      <c r="A8" s="0" t="s">
        <v>128</v>
      </c>
      <c r="B8" s="15" t="n">
        <f aca="false">5*'1 The model rebuilt'!B30</f>
        <v>3134312.5</v>
      </c>
    </row>
    <row r="9" customFormat="false" ht="15" hidden="false" customHeight="false" outlineLevel="0" collapsed="false">
      <c r="A9" s="0" t="s">
        <v>129</v>
      </c>
      <c r="B9" s="15" t="n">
        <f aca="false">'1 The model rebuilt'!B29+'1 The model rebuilt'!B27+B8-B7</f>
        <v>21961556.5</v>
      </c>
    </row>
    <row r="10" customFormat="false" ht="15" hidden="false" customHeight="false" outlineLevel="0" collapsed="false">
      <c r="A10" s="0" t="s">
        <v>130</v>
      </c>
      <c r="B10" s="15" t="n">
        <f aca="false">B9/(1-'1 The model rebuilt'!B8)</f>
        <v>22295996.4467005</v>
      </c>
    </row>
    <row r="11" customFormat="false" ht="15" hidden="false" customHeight="false" outlineLevel="0" collapsed="false">
      <c r="A11" s="0" t="s">
        <v>116</v>
      </c>
      <c r="B11" s="26" t="n">
        <f aca="false">'1 The model rebuilt'!B23/B10</f>
        <v>0.0781092248630009</v>
      </c>
    </row>
    <row r="12" customFormat="false" ht="15" hidden="false" customHeight="false" outlineLevel="0" collapsed="false">
      <c r="A12" s="0" t="s">
        <v>131</v>
      </c>
      <c r="B12" s="21" t="n">
        <f aca="false">(B11-'1 The model rebuilt'!B9)*10000</f>
        <v>206.092248630009</v>
      </c>
    </row>
    <row r="13" customFormat="false" ht="15" hidden="false" customHeight="false" outlineLevel="0" collapsed="false">
      <c r="A13" s="0" t="s">
        <v>132</v>
      </c>
      <c r="B13" s="15" t="n">
        <f aca="false">B10</f>
        <v>22295996.4467005</v>
      </c>
    </row>
    <row r="14" customFormat="false" ht="15" hidden="false" customHeight="false" outlineLevel="0" collapsed="false">
      <c r="A14" s="0" t="s">
        <v>133</v>
      </c>
      <c r="B14" s="16" t="n">
        <f aca="false">1-B13/('1 The model rebuilt'!B33)</f>
        <v>0.263851355574816</v>
      </c>
    </row>
    <row r="15" customFormat="false" ht="25.5" hidden="false" customHeight="true" outlineLevel="0" collapsed="false">
      <c r="A15" s="3" t="s">
        <v>134</v>
      </c>
      <c r="B15" s="3"/>
      <c r="C15" s="3"/>
      <c r="D15" s="3"/>
    </row>
    <row r="17" customFormat="false" ht="15" hidden="false" customHeight="false" outlineLevel="0" collapsed="false">
      <c r="A17" s="4" t="s">
        <v>135</v>
      </c>
    </row>
    <row r="18" customFormat="false" ht="25.5" hidden="false" customHeight="true" outlineLevel="0" collapsed="false">
      <c r="A18" s="3" t="s">
        <v>136</v>
      </c>
      <c r="B18" s="3"/>
      <c r="C18" s="3"/>
      <c r="D18" s="3"/>
    </row>
    <row r="19" customFormat="false" ht="15" hidden="false" customHeight="false" outlineLevel="0" collapsed="false">
      <c r="A19" s="0" t="s">
        <v>137</v>
      </c>
      <c r="B19" s="16" t="n">
        <f aca="false">1-'1 The model rebuilt'!B13*'1 The model rebuilt'!B30/MIN('1 The model rebuilt'!B18:B22)</f>
        <v>0.355088408908712</v>
      </c>
    </row>
    <row r="20" customFormat="false" ht="15" hidden="false" customHeight="false" outlineLevel="0" collapsed="false">
      <c r="A20" s="0" t="s">
        <v>138</v>
      </c>
      <c r="B20" s="16" t="n">
        <f aca="false">1-'1 The model rebuilt'!B14*'1 The model rebuilt'!B27/MIN('1 The model rebuilt'!B18:B22)</f>
        <v>0.0794283394414603</v>
      </c>
    </row>
    <row r="21" customFormat="false" ht="15" hidden="false" customHeight="false" outlineLevel="0" collapsed="false">
      <c r="A21" s="0" t="s">
        <v>139</v>
      </c>
      <c r="B21" s="22" t="n">
        <f aca="false">B19/B20</f>
        <v>4.47055057937371</v>
      </c>
    </row>
    <row r="22" customFormat="false" ht="51.75" hidden="false" customHeight="true" outlineLevel="0" collapsed="false">
      <c r="A22" s="3" t="s">
        <v>140</v>
      </c>
      <c r="B22" s="3"/>
      <c r="C22" s="3"/>
      <c r="D22" s="3"/>
    </row>
    <row r="24" customFormat="false" ht="15" hidden="false" customHeight="false" outlineLevel="0" collapsed="false">
      <c r="A24" s="0" t="s">
        <v>141</v>
      </c>
      <c r="B24" s="28" t="n">
        <v>0.659048020058685</v>
      </c>
    </row>
    <row r="25" customFormat="false" ht="39" hidden="false" customHeight="true" outlineLevel="0" collapsed="false">
      <c r="A25" s="3" t="s">
        <v>142</v>
      </c>
      <c r="B25" s="3"/>
      <c r="C25" s="3"/>
      <c r="D25" s="3"/>
    </row>
    <row r="27" customFormat="false" ht="15" hidden="false" customHeight="false" outlineLevel="0" collapsed="false">
      <c r="A27" s="4" t="s">
        <v>143</v>
      </c>
    </row>
    <row r="28" customFormat="false" ht="15" hidden="false" customHeight="false" outlineLevel="0" collapsed="false">
      <c r="A28" s="0" t="s">
        <v>144</v>
      </c>
      <c r="B28" s="6" t="n">
        <v>0.75</v>
      </c>
    </row>
    <row r="29" customFormat="false" ht="15" hidden="false" customHeight="false" outlineLevel="0" collapsed="false">
      <c r="A29" s="0" t="s">
        <v>145</v>
      </c>
      <c r="B29" s="15" t="n">
        <f aca="false">'1 The model rebuilt'!B27/B28</f>
        <v>17233333.3333333</v>
      </c>
    </row>
    <row r="30" customFormat="false" ht="15" hidden="false" customHeight="false" outlineLevel="0" collapsed="false">
      <c r="A30" s="0" t="s">
        <v>146</v>
      </c>
      <c r="B30" s="16" t="n">
        <f aca="false">1-B29/('1 The model rebuilt'!B33)</f>
        <v>0.431005696355049</v>
      </c>
    </row>
    <row r="32" customFormat="false" ht="15" hidden="false" customHeight="false" outlineLevel="0" collapsed="false">
      <c r="A32" s="4" t="s">
        <v>147</v>
      </c>
    </row>
    <row r="33" customFormat="false" ht="39" hidden="false" customHeight="true" outlineLevel="0" collapsed="false">
      <c r="A33" s="3" t="s">
        <v>148</v>
      </c>
      <c r="B33" s="3"/>
      <c r="C33" s="3"/>
      <c r="D33" s="3"/>
    </row>
    <row r="34" customFormat="false" ht="15" hidden="false" customHeight="false" outlineLevel="0" collapsed="false">
      <c r="A34" s="0" t="s">
        <v>149</v>
      </c>
      <c r="B34" s="15" t="n">
        <f aca="false">('1 The model rebuilt'!B30+53*6200+55*6200)/12</f>
        <v>108038.541666667</v>
      </c>
    </row>
    <row r="35" customFormat="false" ht="15" hidden="false" customHeight="false" outlineLevel="0" collapsed="false">
      <c r="A35" s="0" t="s">
        <v>150</v>
      </c>
      <c r="B35" s="15" t="n">
        <f aca="false">'1 The model rebuilt'!E18</f>
        <v>892700</v>
      </c>
    </row>
    <row r="36" customFormat="false" ht="15" hidden="false" customHeight="false" outlineLevel="0" collapsed="false">
      <c r="A36" s="0" t="s">
        <v>151</v>
      </c>
      <c r="B36" s="22" t="n">
        <f aca="false">B35/B34</f>
        <v>8.2627920205945</v>
      </c>
    </row>
    <row r="38" customFormat="false" ht="15" hidden="false" customHeight="false" outlineLevel="0" collapsed="false">
      <c r="A38" s="4" t="s">
        <v>152</v>
      </c>
    </row>
    <row r="39" customFormat="false" ht="78" hidden="false" customHeight="true" outlineLevel="0" collapsed="false">
      <c r="A39" s="3" t="s">
        <v>153</v>
      </c>
      <c r="B39" s="3"/>
      <c r="C39" s="3"/>
      <c r="D39" s="3"/>
    </row>
    <row r="40" customFormat="false" ht="15" hidden="false" customHeight="false" outlineLevel="0" collapsed="false">
      <c r="A40" s="0" t="s">
        <v>154</v>
      </c>
      <c r="B40" s="22" t="n">
        <f aca="false">B14/B20</f>
        <v>3.32187928679131</v>
      </c>
    </row>
  </sheetData>
  <mergeCells count="8">
    <mergeCell ref="A3:D3"/>
    <mergeCell ref="A6:D6"/>
    <mergeCell ref="A15:D15"/>
    <mergeCell ref="A18:D18"/>
    <mergeCell ref="A22:D22"/>
    <mergeCell ref="A25:D25"/>
    <mergeCell ref="A33:D33"/>
    <mergeCell ref="A39:D3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5" min="2" style="0" width="18"/>
  </cols>
  <sheetData>
    <row r="1" customFormat="false" ht="21.75" hidden="false" customHeight="true" outlineLevel="0" collapsed="false">
      <c r="A1" s="1" t="s">
        <v>155</v>
      </c>
      <c r="B1" s="2"/>
      <c r="C1" s="2"/>
      <c r="D1" s="2"/>
      <c r="E1" s="2"/>
    </row>
    <row r="3" customFormat="false" ht="25.5" hidden="false" customHeight="true" outlineLevel="0" collapsed="false">
      <c r="A3" s="3" t="s">
        <v>156</v>
      </c>
      <c r="B3" s="3"/>
      <c r="C3" s="3"/>
      <c r="D3" s="3"/>
      <c r="E3" s="3"/>
    </row>
    <row r="5" customFormat="false" ht="15" hidden="false" customHeight="false" outlineLevel="0" collapsed="false">
      <c r="A5" s="0" t="s">
        <v>157</v>
      </c>
      <c r="B5" s="28" t="n">
        <v>-0.09</v>
      </c>
    </row>
    <row r="6" customFormat="false" ht="15" hidden="false" customHeight="false" outlineLevel="0" collapsed="false">
      <c r="A6" s="0" t="s">
        <v>158</v>
      </c>
      <c r="B6" s="29" t="n">
        <v>75</v>
      </c>
    </row>
    <row r="8" customFormat="false" ht="15" hidden="false" customHeight="false" outlineLevel="0" collapsed="false">
      <c r="A8" s="4" t="s">
        <v>159</v>
      </c>
    </row>
    <row r="9" customFormat="false" ht="15" hidden="false" customHeight="false" outlineLevel="0" collapsed="false">
      <c r="A9" s="0" t="s">
        <v>160</v>
      </c>
      <c r="B9" s="15" t="n">
        <f aca="false">'1 The model rebuilt'!B23/'1 The model rebuilt'!B9</f>
        <v>30287356.5217391</v>
      </c>
    </row>
    <row r="10" customFormat="false" ht="15" hidden="false" customHeight="false" outlineLevel="0" collapsed="false">
      <c r="A10" s="0" t="s">
        <v>161</v>
      </c>
      <c r="B10" s="15" t="n">
        <f aca="false">'1 The model rebuilt'!B23*(1+B5)/'1 The model rebuilt'!B9</f>
        <v>27561494.4347826</v>
      </c>
    </row>
    <row r="11" customFormat="false" ht="15" hidden="false" customHeight="false" outlineLevel="0" collapsed="false">
      <c r="A11" s="0" t="s">
        <v>162</v>
      </c>
      <c r="B11" s="15" t="n">
        <f aca="false">'1 The model rebuilt'!B23/('1 The model rebuilt'!B9+B6/10000)</f>
        <v>26792661.5384615</v>
      </c>
    </row>
    <row r="12" customFormat="false" ht="15" hidden="false" customHeight="false" outlineLevel="0" collapsed="false">
      <c r="A12" s="0" t="s">
        <v>163</v>
      </c>
      <c r="B12" s="15" t="n">
        <f aca="false">'1 The model rebuilt'!B23*(1+B5)/('1 The model rebuilt'!B9+B6/10000)</f>
        <v>24381322</v>
      </c>
    </row>
    <row r="14" customFormat="false" ht="15" hidden="false" customHeight="false" outlineLevel="0" collapsed="false">
      <c r="A14" s="0" t="s">
        <v>164</v>
      </c>
      <c r="B14" s="15" t="n">
        <f aca="false">B10-B9</f>
        <v>-2725862.08695652</v>
      </c>
    </row>
    <row r="15" customFormat="false" ht="15" hidden="false" customHeight="false" outlineLevel="0" collapsed="false">
      <c r="A15" s="0" t="s">
        <v>165</v>
      </c>
      <c r="B15" s="15" t="n">
        <f aca="false">B11-B9</f>
        <v>-3494694.98327759</v>
      </c>
    </row>
    <row r="16" customFormat="false" ht="15" hidden="false" customHeight="false" outlineLevel="0" collapsed="false">
      <c r="A16" s="0" t="s">
        <v>166</v>
      </c>
      <c r="B16" s="15" t="n">
        <f aca="false">B14+B15</f>
        <v>-6220557.07023411</v>
      </c>
    </row>
    <row r="17" customFormat="false" ht="15" hidden="false" customHeight="false" outlineLevel="0" collapsed="false">
      <c r="A17" s="0" t="s">
        <v>167</v>
      </c>
      <c r="B17" s="15" t="n">
        <f aca="false">B12-B9</f>
        <v>-5906034.52173913</v>
      </c>
    </row>
    <row r="18" customFormat="false" ht="15" hidden="false" customHeight="false" outlineLevel="0" collapsed="false">
      <c r="A18" s="0" t="s">
        <v>168</v>
      </c>
      <c r="B18" s="15" t="n">
        <f aca="false">B17-B16</f>
        <v>314522.548494983</v>
      </c>
    </row>
    <row r="19" customFormat="false" ht="15" hidden="false" customHeight="false" outlineLevel="0" collapsed="false">
      <c r="A19" s="0" t="s">
        <v>169</v>
      </c>
      <c r="B19" s="15" t="n">
        <f aca="false">(-B5)*(B6/10000/('1 The model rebuilt'!B9+B6/10000))*B9</f>
        <v>314522.548494983</v>
      </c>
    </row>
    <row r="20" customFormat="false" ht="51.75" hidden="false" customHeight="true" outlineLevel="0" collapsed="false">
      <c r="A20" s="3" t="s">
        <v>170</v>
      </c>
      <c r="B20" s="3"/>
      <c r="C20" s="3"/>
      <c r="D20" s="3"/>
      <c r="E20" s="3"/>
    </row>
    <row r="22" customFormat="false" ht="15" hidden="false" customHeight="false" outlineLevel="0" collapsed="false">
      <c r="A22" s="4" t="s">
        <v>171</v>
      </c>
    </row>
    <row r="23" customFormat="false" ht="15" hidden="false" customHeight="false" outlineLevel="0" collapsed="false">
      <c r="A23" s="0" t="s">
        <v>70</v>
      </c>
      <c r="B23" s="16" t="n">
        <v>0.110707225977888</v>
      </c>
    </row>
    <row r="24" customFormat="false" ht="15" hidden="false" customHeight="false" outlineLevel="0" collapsed="false">
      <c r="A24" s="0" t="s">
        <v>172</v>
      </c>
      <c r="B24" s="16" t="n">
        <v>0.0681377030091491</v>
      </c>
    </row>
    <row r="25" customFormat="false" ht="15" hidden="false" customHeight="false" outlineLevel="0" collapsed="false">
      <c r="A25" s="0" t="s">
        <v>173</v>
      </c>
      <c r="B25" s="16" t="n">
        <v>0.0680581884025152</v>
      </c>
    </row>
    <row r="26" customFormat="false" ht="15" hidden="false" customHeight="false" outlineLevel="0" collapsed="false">
      <c r="A26" s="0" t="s">
        <v>163</v>
      </c>
      <c r="B26" s="16" t="n">
        <v>0.0230176857160326</v>
      </c>
    </row>
    <row r="27" customFormat="false" ht="15" hidden="false" customHeight="false" outlineLevel="0" collapsed="false">
      <c r="A27" s="0" t="s">
        <v>174</v>
      </c>
      <c r="B27" s="21" t="n">
        <v>-425.695229687391</v>
      </c>
    </row>
    <row r="28" customFormat="false" ht="15" hidden="false" customHeight="false" outlineLevel="0" collapsed="false">
      <c r="A28" s="0" t="s">
        <v>175</v>
      </c>
      <c r="B28" s="21" t="n">
        <v>-426.49037575373</v>
      </c>
    </row>
    <row r="29" customFormat="false" ht="15" hidden="false" customHeight="false" outlineLevel="0" collapsed="false">
      <c r="A29" s="0" t="s">
        <v>176</v>
      </c>
      <c r="B29" s="21" t="n">
        <v>-852.18560544112</v>
      </c>
    </row>
    <row r="30" customFormat="false" ht="15" hidden="false" customHeight="false" outlineLevel="0" collapsed="false">
      <c r="A30" s="0" t="s">
        <v>177</v>
      </c>
      <c r="B30" s="21" t="n">
        <v>-876.895402618556</v>
      </c>
    </row>
    <row r="31" customFormat="false" ht="15" hidden="false" customHeight="false" outlineLevel="0" collapsed="false">
      <c r="A31" s="0" t="s">
        <v>178</v>
      </c>
      <c r="B31" s="21" t="n">
        <v>-24.7097971774357</v>
      </c>
    </row>
    <row r="33" customFormat="false" ht="15" hidden="false" customHeight="false" outlineLevel="0" collapsed="false">
      <c r="A33" s="4" t="s">
        <v>179</v>
      </c>
    </row>
    <row r="34" customFormat="false" ht="30" hidden="false" customHeight="true" outlineLevel="0" collapsed="false">
      <c r="A34" s="10" t="s">
        <v>30</v>
      </c>
      <c r="B34" s="10" t="s">
        <v>178</v>
      </c>
      <c r="C34" s="10"/>
      <c r="D34" s="10"/>
      <c r="E34" s="10"/>
    </row>
    <row r="35" customFormat="false" ht="15" hidden="false" customHeight="false" outlineLevel="0" collapsed="false">
      <c r="A35" s="18" t="n">
        <v>0</v>
      </c>
      <c r="B35" s="22" t="n">
        <v>3.61347492838338</v>
      </c>
    </row>
    <row r="36" customFormat="false" ht="15" hidden="false" customHeight="false" outlineLevel="0" collapsed="false">
      <c r="A36" s="18" t="n">
        <v>0.1</v>
      </c>
      <c r="B36" s="22" t="n">
        <v>2.12281152627281</v>
      </c>
    </row>
    <row r="37" customFormat="false" ht="15" hidden="false" customHeight="false" outlineLevel="0" collapsed="false">
      <c r="A37" s="18" t="n">
        <v>0.1955</v>
      </c>
      <c r="B37" s="22" t="n">
        <v>0.0010403084083066</v>
      </c>
    </row>
    <row r="38" customFormat="false" ht="15" hidden="false" customHeight="false" outlineLevel="0" collapsed="false">
      <c r="A38" s="18" t="n">
        <v>0.3</v>
      </c>
      <c r="B38" s="30" t="n">
        <v>-3.56612754150332</v>
      </c>
    </row>
    <row r="39" customFormat="false" ht="15" hidden="false" customHeight="false" outlineLevel="0" collapsed="false">
      <c r="A39" s="18" t="n">
        <v>0.4</v>
      </c>
      <c r="B39" s="30" t="n">
        <v>-9.0119709992087</v>
      </c>
    </row>
    <row r="40" customFormat="false" ht="15" hidden="false" customHeight="false" outlineLevel="0" collapsed="false">
      <c r="A40" s="18" t="n">
        <v>0.55</v>
      </c>
      <c r="B40" s="30" t="n">
        <v>-24.7097971774357</v>
      </c>
    </row>
    <row r="41" customFormat="false" ht="15" hidden="false" customHeight="false" outlineLevel="0" collapsed="false">
      <c r="A41" s="18" t="n">
        <v>0.65</v>
      </c>
      <c r="B41" s="30" t="n">
        <v>-46.2495971648402</v>
      </c>
    </row>
    <row r="42" customFormat="false" ht="15" hidden="false" customHeight="false" outlineLevel="0" collapsed="false">
      <c r="A42" s="18" t="n">
        <v>0.7</v>
      </c>
      <c r="B42" s="30" t="n">
        <v>-64.0186553878119</v>
      </c>
    </row>
    <row r="44" customFormat="false" ht="15" hidden="false" customHeight="false" outlineLevel="0" collapsed="false">
      <c r="A44" s="0" t="s">
        <v>180</v>
      </c>
      <c r="B44" s="6" t="n">
        <v>0.1955</v>
      </c>
    </row>
    <row r="45" customFormat="false" ht="64.5" hidden="false" customHeight="true" outlineLevel="0" collapsed="false">
      <c r="A45" s="3" t="s">
        <v>181</v>
      </c>
      <c r="B45" s="3"/>
      <c r="C45" s="3"/>
      <c r="D45" s="3"/>
      <c r="E45" s="3"/>
    </row>
    <row r="46" customFormat="false" ht="51.75" hidden="false" customHeight="true" outlineLevel="0" collapsed="false">
      <c r="A46" s="3" t="s">
        <v>182</v>
      </c>
      <c r="B46" s="3"/>
      <c r="C46" s="3"/>
      <c r="D46" s="3"/>
      <c r="E46" s="3"/>
    </row>
  </sheetData>
  <mergeCells count="4">
    <mergeCell ref="A3:E3"/>
    <mergeCell ref="A20:E20"/>
    <mergeCell ref="A45:E45"/>
    <mergeCell ref="A46:E4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5" min="2" style="0" width="18"/>
  </cols>
  <sheetData>
    <row r="1" customFormat="false" ht="21.75" hidden="false" customHeight="true" outlineLevel="0" collapsed="false">
      <c r="A1" s="1" t="s">
        <v>183</v>
      </c>
      <c r="B1" s="2"/>
      <c r="C1" s="2"/>
      <c r="D1" s="2"/>
      <c r="E1" s="2"/>
    </row>
    <row r="3" customFormat="false" ht="25.5" hidden="false" customHeight="true" outlineLevel="0" collapsed="false">
      <c r="A3" s="3" t="s">
        <v>184</v>
      </c>
      <c r="B3" s="3"/>
      <c r="C3" s="3"/>
      <c r="D3" s="3"/>
      <c r="E3" s="3"/>
    </row>
    <row r="5" customFormat="false" ht="15" hidden="false" customHeight="false" outlineLevel="0" collapsed="false">
      <c r="A5" s="4" t="s">
        <v>185</v>
      </c>
    </row>
    <row r="6" customFormat="false" ht="15" hidden="false" customHeight="false" outlineLevel="0" collapsed="false">
      <c r="A6" s="0" t="s">
        <v>113</v>
      </c>
      <c r="B6" s="16" t="n">
        <f aca="false">'1 The model rebuilt'!B40</f>
        <v>0.110707225977888</v>
      </c>
    </row>
    <row r="7" customFormat="false" ht="15" hidden="false" customHeight="false" outlineLevel="0" collapsed="false">
      <c r="A7" s="0" t="s">
        <v>114</v>
      </c>
      <c r="B7" s="25" t="n">
        <f aca="false">'1 The model rebuilt'!B41</f>
        <v>1.64352931296937</v>
      </c>
    </row>
    <row r="8" customFormat="false" ht="15" hidden="false" customHeight="false" outlineLevel="0" collapsed="false">
      <c r="A8" s="0" t="s">
        <v>49</v>
      </c>
      <c r="B8" s="15" t="n">
        <f aca="false">'1 The model rebuilt'!B29</f>
        <v>12231750</v>
      </c>
    </row>
    <row r="10" customFormat="false" ht="15" hidden="false" customHeight="false" outlineLevel="0" collapsed="false">
      <c r="A10" s="4" t="s">
        <v>186</v>
      </c>
    </row>
    <row r="11" customFormat="false" ht="15" hidden="false" customHeight="false" outlineLevel="0" collapsed="false">
      <c r="A11" s="0" t="s">
        <v>187</v>
      </c>
      <c r="B11" s="21" t="n">
        <f aca="false">'2 The tornado'!B18</f>
        <v>595.235546028102</v>
      </c>
    </row>
    <row r="12" customFormat="false" ht="15" hidden="false" customHeight="false" outlineLevel="0" collapsed="false">
      <c r="A12" s="0" t="s">
        <v>188</v>
      </c>
      <c r="B12" s="21" t="n">
        <f aca="false">'2 The tornado'!E9</f>
        <v>445.628677562036</v>
      </c>
    </row>
    <row r="13" customFormat="false" ht="15" hidden="false" customHeight="false" outlineLevel="0" collapsed="false">
      <c r="A13" s="0" t="s">
        <v>189</v>
      </c>
      <c r="B13" s="21" t="n">
        <f aca="false">'2 The tornado'!E10</f>
        <v>381.19242587328</v>
      </c>
    </row>
    <row r="14" customFormat="false" ht="15" hidden="false" customHeight="false" outlineLevel="0" collapsed="false">
      <c r="A14" s="0" t="s">
        <v>190</v>
      </c>
      <c r="B14" s="21" t="n">
        <f aca="false">'2 The tornado'!B19</f>
        <v>58.446640517984</v>
      </c>
    </row>
    <row r="16" customFormat="false" ht="15" hidden="false" customHeight="false" outlineLevel="0" collapsed="false">
      <c r="A16" s="4" t="s">
        <v>191</v>
      </c>
    </row>
    <row r="17" customFormat="false" ht="15" hidden="false" customHeight="false" outlineLevel="0" collapsed="false">
      <c r="A17" s="0" t="s">
        <v>192</v>
      </c>
      <c r="B17" s="26" t="n">
        <f aca="false">'5 The four break-evens'!B11</f>
        <v>0.0781092248630009</v>
      </c>
    </row>
    <row r="18" customFormat="false" ht="15" hidden="false" customHeight="false" outlineLevel="0" collapsed="false">
      <c r="A18" s="0" t="s">
        <v>193</v>
      </c>
      <c r="B18" s="16" t="n">
        <f aca="false">'5 The four break-evens'!B14</f>
        <v>0.263851355574816</v>
      </c>
    </row>
    <row r="19" customFormat="false" ht="15" hidden="false" customHeight="false" outlineLevel="0" collapsed="false">
      <c r="A19" s="0" t="s">
        <v>194</v>
      </c>
      <c r="B19" s="16" t="n">
        <f aca="false">'5 The four break-evens'!B20</f>
        <v>0.0794283394414603</v>
      </c>
    </row>
    <row r="20" customFormat="false" ht="15" hidden="false" customHeight="false" outlineLevel="0" collapsed="false">
      <c r="A20" s="0" t="s">
        <v>195</v>
      </c>
      <c r="B20" s="16" t="n">
        <f aca="false">'5 The four break-evens'!B19</f>
        <v>0.355088408908712</v>
      </c>
    </row>
    <row r="21" customFormat="false" ht="15" hidden="false" customHeight="false" outlineLevel="0" collapsed="false">
      <c r="A21" s="0" t="s">
        <v>196</v>
      </c>
      <c r="B21" s="31" t="n">
        <f aca="false">'5 The four break-evens'!B24</f>
        <v>0.659048020058685</v>
      </c>
    </row>
    <row r="22" customFormat="false" ht="15" hidden="false" customHeight="false" outlineLevel="0" collapsed="false">
      <c r="A22" s="0" t="s">
        <v>197</v>
      </c>
      <c r="B22" s="15" t="n">
        <f aca="false">'5 The four break-evens'!B29</f>
        <v>17233333.3333333</v>
      </c>
    </row>
    <row r="23" customFormat="false" ht="15" hidden="false" customHeight="false" outlineLevel="0" collapsed="false">
      <c r="A23" s="0" t="s">
        <v>198</v>
      </c>
      <c r="B23" s="22" t="n">
        <f aca="false">'5 The four break-evens'!B36</f>
        <v>8.2627920205945</v>
      </c>
    </row>
    <row r="25" customFormat="false" ht="15" hidden="false" customHeight="false" outlineLevel="0" collapsed="false">
      <c r="A25" s="4" t="s">
        <v>199</v>
      </c>
    </row>
    <row r="26" customFormat="false" ht="15" hidden="false" customHeight="false" outlineLevel="0" collapsed="false">
      <c r="A26" s="0" t="s">
        <v>200</v>
      </c>
    </row>
    <row r="27" customFormat="false" ht="15" hidden="false" customHeight="false" outlineLevel="0" collapsed="false">
      <c r="A27" s="0" t="s">
        <v>201</v>
      </c>
    </row>
    <row r="28" customFormat="false" ht="15" hidden="false" customHeight="false" outlineLevel="0" collapsed="false">
      <c r="A28" s="0" t="s">
        <v>202</v>
      </c>
    </row>
    <row r="30" customFormat="false" ht="15" hidden="false" customHeight="false" outlineLevel="0" collapsed="false">
      <c r="A30" s="0" t="s">
        <v>203</v>
      </c>
    </row>
    <row r="31" customFormat="false" ht="15" hidden="false" customHeight="false" outlineLevel="0" collapsed="false">
      <c r="A31" s="0" t="s">
        <v>204</v>
      </c>
    </row>
    <row r="32" customFormat="false" ht="15" hidden="false" customHeight="false" outlineLevel="0" collapsed="false">
      <c r="A32" s="0" t="s">
        <v>205</v>
      </c>
    </row>
    <row r="33" customFormat="false" ht="15" hidden="false" customHeight="false" outlineLevel="0" collapsed="false">
      <c r="A33" s="0" t="s">
        <v>206</v>
      </c>
    </row>
    <row r="35" customFormat="false" ht="15" hidden="false" customHeight="false" outlineLevel="0" collapsed="false">
      <c r="A35" s="0" t="s">
        <v>207</v>
      </c>
    </row>
    <row r="36" customFormat="false" ht="15" hidden="false" customHeight="false" outlineLevel="0" collapsed="false">
      <c r="A36" s="0" t="s">
        <v>208</v>
      </c>
    </row>
    <row r="37" customFormat="false" ht="15" hidden="false" customHeight="false" outlineLevel="0" collapsed="false">
      <c r="A37" s="0" t="s">
        <v>209</v>
      </c>
    </row>
    <row r="38" customFormat="false" ht="15" hidden="false" customHeight="false" outlineLevel="0" collapsed="false">
      <c r="A38" s="0" t="s">
        <v>210</v>
      </c>
    </row>
    <row r="39" customFormat="false" ht="15" hidden="false" customHeight="false" outlineLevel="0" collapsed="false">
      <c r="A39" s="0" t="s">
        <v>211</v>
      </c>
    </row>
    <row r="41" customFormat="false" ht="39" hidden="false" customHeight="true" outlineLevel="0" collapsed="false">
      <c r="A41" s="3" t="s">
        <v>212</v>
      </c>
      <c r="B41" s="3"/>
      <c r="C41" s="3"/>
      <c r="D41" s="3"/>
      <c r="E41" s="3"/>
    </row>
  </sheetData>
  <mergeCells count="2">
    <mergeCell ref="A3:E3"/>
    <mergeCell ref="A41:E4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9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4"/>
    <col collapsed="false" customWidth="true" hidden="false" outlineLevel="0" max="2" min="2" style="0" width="54"/>
    <col collapsed="false" customWidth="true" hidden="false" outlineLevel="0" max="3" min="3" style="0" width="14"/>
    <col collapsed="false" customWidth="true" hidden="false" outlineLevel="0" max="4" min="4" style="0" width="16"/>
    <col collapsed="false" customWidth="true" hidden="false" outlineLevel="0" max="5" min="5" style="0" width="14"/>
    <col collapsed="false" customWidth="true" hidden="false" outlineLevel="0" max="6" min="6" style="0" width="10"/>
  </cols>
  <sheetData>
    <row r="1" customFormat="false" ht="21.75" hidden="false" customHeight="true" outlineLevel="0" collapsed="false">
      <c r="A1" s="1" t="s">
        <v>213</v>
      </c>
      <c r="B1" s="2"/>
      <c r="C1" s="2"/>
      <c r="D1" s="2"/>
      <c r="E1" s="2"/>
      <c r="F1" s="2"/>
    </row>
    <row r="3" customFormat="false" ht="39" hidden="false" customHeight="true" outlineLevel="0" collapsed="false">
      <c r="A3" s="3" t="s">
        <v>214</v>
      </c>
      <c r="B3" s="3"/>
      <c r="C3" s="3"/>
      <c r="D3" s="3"/>
      <c r="E3" s="3"/>
      <c r="F3" s="3"/>
    </row>
    <row r="5" customFormat="false" ht="30" hidden="false" customHeight="true" outlineLevel="0" collapsed="false">
      <c r="A5" s="10" t="s">
        <v>215</v>
      </c>
      <c r="B5" s="10" t="s">
        <v>216</v>
      </c>
      <c r="C5" s="10" t="s">
        <v>217</v>
      </c>
      <c r="D5" s="10" t="s">
        <v>218</v>
      </c>
      <c r="E5" s="10" t="s">
        <v>219</v>
      </c>
      <c r="F5" s="10" t="s">
        <v>220</v>
      </c>
    </row>
    <row r="6" customFormat="false" ht="15" hidden="false" customHeight="false" outlineLevel="0" collapsed="false">
      <c r="A6" s="12" t="s">
        <v>221</v>
      </c>
      <c r="B6" s="12" t="s">
        <v>222</v>
      </c>
      <c r="C6" s="32" t="n">
        <f aca="false">'1 The model rebuilt'!B26</f>
        <v>25027500</v>
      </c>
      <c r="D6" s="32" t="n">
        <v>25027500</v>
      </c>
      <c r="E6" s="32" t="n">
        <v>0.5</v>
      </c>
      <c r="F6" s="12" t="str">
        <f aca="false">IF(ABS(C6-D6)&lt;=MAX(E6,0.0000001),"PASS","FAIL")</f>
        <v>PASS</v>
      </c>
    </row>
    <row r="7" customFormat="false" ht="15" hidden="false" customHeight="false" outlineLevel="0" collapsed="false">
      <c r="A7" s="12" t="s">
        <v>221</v>
      </c>
      <c r="B7" s="12" t="s">
        <v>223</v>
      </c>
      <c r="C7" s="32" t="n">
        <f aca="false">'1 The model rebuilt'!B29</f>
        <v>12231750</v>
      </c>
      <c r="D7" s="32" t="n">
        <v>12231750</v>
      </c>
      <c r="E7" s="32" t="n">
        <v>0.5</v>
      </c>
      <c r="F7" s="12" t="str">
        <f aca="false">IF(ABS(C7-D7)&lt;=MAX(E7,0.0000001),"PASS","FAIL")</f>
        <v>PASS</v>
      </c>
    </row>
    <row r="8" customFormat="false" ht="15" hidden="false" customHeight="false" outlineLevel="0" collapsed="false">
      <c r="A8" s="12" t="s">
        <v>221</v>
      </c>
      <c r="B8" s="12" t="s">
        <v>224</v>
      </c>
      <c r="C8" s="32" t="n">
        <f aca="false">'1 The model rebuilt'!B30</f>
        <v>626862.5</v>
      </c>
      <c r="D8" s="32" t="n">
        <v>626862.5</v>
      </c>
      <c r="E8" s="32" t="n">
        <v>1</v>
      </c>
      <c r="F8" s="12" t="str">
        <f aca="false">IF(ABS(C8-D8)&lt;=MAX(E8,0.0000001),"PASS","FAIL")</f>
        <v>PASS</v>
      </c>
    </row>
    <row r="9" customFormat="false" ht="15" hidden="false" customHeight="false" outlineLevel="0" collapsed="false">
      <c r="A9" s="12" t="s">
        <v>221</v>
      </c>
      <c r="B9" s="12" t="s">
        <v>225</v>
      </c>
      <c r="C9" s="32" t="n">
        <f aca="false">'1 The model rebuilt'!B33</f>
        <v>30287356.5217391</v>
      </c>
      <c r="D9" s="32" t="n">
        <v>30287356.5217391</v>
      </c>
      <c r="E9" s="32" t="n">
        <v>10</v>
      </c>
      <c r="F9" s="12" t="str">
        <f aca="false">IF(ABS(C9-D9)&lt;=MAX(E9,0.0000001),"PASS","FAIL")</f>
        <v>PASS</v>
      </c>
    </row>
    <row r="10" customFormat="false" ht="15" hidden="false" customHeight="false" outlineLevel="0" collapsed="false">
      <c r="A10" s="12" t="s">
        <v>221</v>
      </c>
      <c r="B10" s="12" t="s">
        <v>226</v>
      </c>
      <c r="C10" s="32" t="n">
        <f aca="false">'1 The model rebuilt'!B38</f>
        <v>0.0821220234936141</v>
      </c>
      <c r="D10" s="32" t="n">
        <v>0.0821220234936141</v>
      </c>
      <c r="E10" s="32" t="n">
        <v>5E-005</v>
      </c>
      <c r="F10" s="12" t="str">
        <f aca="false">IF(ABS(C10-D10)&lt;=MAX(E10,0.0000001),"PASS","FAIL")</f>
        <v>PASS</v>
      </c>
    </row>
    <row r="11" customFormat="false" ht="15" hidden="false" customHeight="false" outlineLevel="0" collapsed="false">
      <c r="A11" s="12" t="s">
        <v>221</v>
      </c>
      <c r="B11" s="12" t="s">
        <v>227</v>
      </c>
      <c r="C11" s="32" t="n">
        <f aca="false">'1 The model rebuilt'!B39</f>
        <v>1.44491268300522</v>
      </c>
      <c r="D11" s="32" t="n">
        <v>1.44491268300522</v>
      </c>
      <c r="E11" s="32" t="n">
        <v>0.005</v>
      </c>
      <c r="F11" s="12" t="str">
        <f aca="false">IF(ABS(C11-D11)&lt;=MAX(E11,0.0000001),"PASS","FAIL")</f>
        <v>PASS</v>
      </c>
    </row>
    <row r="12" customFormat="false" ht="15" hidden="false" customHeight="false" outlineLevel="0" collapsed="false">
      <c r="A12" s="12" t="s">
        <v>221</v>
      </c>
      <c r="B12" s="12" t="s">
        <v>228</v>
      </c>
      <c r="C12" s="32" t="n">
        <f aca="false">'1 The model rebuilt'!B40</f>
        <v>0.110707225977888</v>
      </c>
      <c r="D12" s="32" t="n">
        <v>0.110707225977888</v>
      </c>
      <c r="E12" s="32" t="n">
        <v>5E-005</v>
      </c>
      <c r="F12" s="12" t="str">
        <f aca="false">IF(ABS(C12-D12)&lt;=MAX(E12,0.0000001),"PASS","FAIL")</f>
        <v>PASS</v>
      </c>
    </row>
    <row r="13" customFormat="false" ht="15" hidden="false" customHeight="false" outlineLevel="0" collapsed="false">
      <c r="A13" s="12" t="s">
        <v>221</v>
      </c>
      <c r="B13" s="12" t="s">
        <v>229</v>
      </c>
      <c r="C13" s="32" t="n">
        <f aca="false">'1 The model rebuilt'!B41</f>
        <v>1.64352931296937</v>
      </c>
      <c r="D13" s="32" t="n">
        <v>1.64352931296937</v>
      </c>
      <c r="E13" s="32" t="n">
        <v>0.005</v>
      </c>
      <c r="F13" s="12" t="str">
        <f aca="false">IF(ABS(C13-D13)&lt;=MAX(E13,0.0000001),"PASS","FAIL")</f>
        <v>PASS</v>
      </c>
    </row>
    <row r="14" customFormat="false" ht="15" hidden="false" customHeight="false" outlineLevel="0" collapsed="false">
      <c r="A14" s="12" t="s">
        <v>221</v>
      </c>
      <c r="B14" s="12" t="s">
        <v>230</v>
      </c>
      <c r="C14" s="32" t="n">
        <f aca="false">'1 The model rebuilt'!B42</f>
        <v>0.0217333987368937</v>
      </c>
      <c r="D14" s="32" t="n">
        <v>0.0217333987368937</v>
      </c>
      <c r="E14" s="32" t="n">
        <v>5E-005</v>
      </c>
      <c r="F14" s="12" t="str">
        <f aca="false">IF(ABS(C14-D14)&lt;=MAX(E14,0.0000001),"PASS","FAIL")</f>
        <v>PASS</v>
      </c>
    </row>
    <row r="15" customFormat="false" ht="15" hidden="false" customHeight="false" outlineLevel="0" collapsed="false">
      <c r="A15" s="12" t="s">
        <v>221</v>
      </c>
      <c r="B15" s="12" t="s">
        <v>231</v>
      </c>
      <c r="C15" s="32" t="n">
        <f aca="false">'1 The model rebuilt'!B43</f>
        <v>2.01578017507827</v>
      </c>
      <c r="D15" s="32" t="n">
        <v>2.01578017507827</v>
      </c>
      <c r="E15" s="32" t="n">
        <v>0.005</v>
      </c>
      <c r="F15" s="12" t="str">
        <f aca="false">IF(ABS(C15-D15)&lt;=MAX(E15,0.0000001),"PASS","FAIL")</f>
        <v>PASS</v>
      </c>
    </row>
    <row r="16" customFormat="false" ht="15" hidden="false" customHeight="false" outlineLevel="0" collapsed="false">
      <c r="A16" s="12" t="s">
        <v>221</v>
      </c>
      <c r="B16" s="12" t="s">
        <v>232</v>
      </c>
      <c r="C16" s="32" t="n">
        <f aca="false">'1 The model rebuilt'!B45</f>
        <v>0.0977653384912959</v>
      </c>
      <c r="D16" s="32" t="n">
        <v>0.0977653384912959</v>
      </c>
      <c r="E16" s="32" t="n">
        <v>0.0001</v>
      </c>
      <c r="F16" s="12" t="str">
        <f aca="false">IF(ABS(C16-D16)&lt;=MAX(E16,0.0000001),"PASS","FAIL")</f>
        <v>PASS</v>
      </c>
    </row>
    <row r="17" customFormat="false" ht="15" hidden="false" customHeight="false" outlineLevel="0" collapsed="false">
      <c r="A17" s="12" t="s">
        <v>221</v>
      </c>
      <c r="B17" s="12" t="s">
        <v>233</v>
      </c>
      <c r="C17" s="32" t="n">
        <f aca="false">'1 The model rebuilt'!B47</f>
        <v>0.426745727733714</v>
      </c>
      <c r="D17" s="32" t="n">
        <v>0.426745727733714</v>
      </c>
      <c r="E17" s="32" t="n">
        <v>0.0005</v>
      </c>
      <c r="F17" s="12" t="str">
        <f aca="false">IF(ABS(C17-D17)&lt;=MAX(E17,0.0000001),"PASS","FAIL")</f>
        <v>PASS</v>
      </c>
    </row>
    <row r="18" customFormat="false" ht="15" hidden="false" customHeight="false" outlineLevel="0" collapsed="false">
      <c r="A18" s="12" t="s">
        <v>221</v>
      </c>
      <c r="B18" s="12" t="s">
        <v>234</v>
      </c>
      <c r="C18" s="32" t="n">
        <f aca="false">'1 The model rebuilt'!B51</f>
        <v>0.118967840057201</v>
      </c>
      <c r="D18" s="32" t="n">
        <v>0.119</v>
      </c>
      <c r="E18" s="32" t="n">
        <v>0.0001</v>
      </c>
      <c r="F18" s="12" t="str">
        <f aca="false">IF(ABS(C18-D18)&lt;=MAX(E18,0.0000001),"PASS","FAIL")</f>
        <v>PASS</v>
      </c>
    </row>
    <row r="19" customFormat="false" ht="15" hidden="false" customHeight="false" outlineLevel="0" collapsed="false">
      <c r="A19" s="12" t="s">
        <v>221</v>
      </c>
      <c r="B19" s="12" t="s">
        <v>235</v>
      </c>
      <c r="C19" s="32" t="n">
        <f aca="false">'1 The model rebuilt'!D51</f>
        <v>0.174532700479241</v>
      </c>
      <c r="D19" s="32" t="n">
        <v>0.1745</v>
      </c>
      <c r="E19" s="32" t="n">
        <v>0.0001</v>
      </c>
      <c r="F19" s="12" t="str">
        <f aca="false">IF(ABS(C19-D19)&lt;=MAX(E19,0.0000001),"PASS","FAIL")</f>
        <v>PASS</v>
      </c>
    </row>
    <row r="20" customFormat="false" ht="15" hidden="false" customHeight="false" outlineLevel="0" collapsed="false">
      <c r="A20" s="12" t="s">
        <v>221</v>
      </c>
      <c r="B20" s="12" t="s">
        <v>236</v>
      </c>
      <c r="C20" s="32" t="n">
        <f aca="false">'1 The model rebuilt'!B52</f>
        <v>0.0994278048508875</v>
      </c>
      <c r="D20" s="32" t="n">
        <v>0.0994</v>
      </c>
      <c r="E20" s="32" t="n">
        <v>0.0001</v>
      </c>
      <c r="F20" s="12" t="str">
        <f aca="false">IF(ABS(C20-D20)&lt;=MAX(E20,0.0000001),"PASS","FAIL")</f>
        <v>PASS</v>
      </c>
    </row>
    <row r="21" customFormat="false" ht="15" hidden="false" customHeight="false" outlineLevel="0" collapsed="false">
      <c r="A21" s="12" t="s">
        <v>221</v>
      </c>
      <c r="B21" s="12" t="s">
        <v>237</v>
      </c>
      <c r="C21" s="32" t="n">
        <f aca="false">'1 The model rebuilt'!D52</f>
        <v>0.141413445747476</v>
      </c>
      <c r="D21" s="32" t="n">
        <v>0.1414</v>
      </c>
      <c r="E21" s="32" t="n">
        <v>0.0001</v>
      </c>
      <c r="F21" s="12" t="str">
        <f aca="false">IF(ABS(C21-D21)&lt;=MAX(E21,0.0000001),"PASS","FAIL")</f>
        <v>PASS</v>
      </c>
    </row>
    <row r="22" customFormat="false" ht="15" hidden="false" customHeight="false" outlineLevel="0" collapsed="false">
      <c r="A22" s="12" t="s">
        <v>221</v>
      </c>
      <c r="B22" s="12" t="s">
        <v>238</v>
      </c>
      <c r="C22" s="32" t="n">
        <f aca="false">'1 The model rebuilt'!B53</f>
        <v>0.0821220234936141</v>
      </c>
      <c r="D22" s="32" t="n">
        <v>0.0821</v>
      </c>
      <c r="E22" s="32" t="n">
        <v>0.0001</v>
      </c>
      <c r="F22" s="12" t="str">
        <f aca="false">IF(ABS(C22-D22)&lt;=MAX(E22,0.0000001),"PASS","FAIL")</f>
        <v>PASS</v>
      </c>
    </row>
    <row r="23" customFormat="false" ht="15" hidden="false" customHeight="false" outlineLevel="0" collapsed="false">
      <c r="A23" s="12" t="s">
        <v>221</v>
      </c>
      <c r="B23" s="12" t="s">
        <v>239</v>
      </c>
      <c r="C23" s="32" t="n">
        <f aca="false">'1 The model rebuilt'!D53</f>
        <v>0.110707225977888</v>
      </c>
      <c r="D23" s="32" t="n">
        <v>0.1107</v>
      </c>
      <c r="E23" s="32" t="n">
        <v>0.0001</v>
      </c>
      <c r="F23" s="12" t="str">
        <f aca="false">IF(ABS(C23-D23)&lt;=MAX(E23,0.0000001),"PASS","FAIL")</f>
        <v>PASS</v>
      </c>
    </row>
    <row r="24" customFormat="false" ht="15" hidden="false" customHeight="false" outlineLevel="0" collapsed="false">
      <c r="A24" s="12" t="s">
        <v>221</v>
      </c>
      <c r="B24" s="12" t="s">
        <v>240</v>
      </c>
      <c r="C24" s="32" t="n">
        <f aca="false">'1 The model rebuilt'!B54</f>
        <v>0.0666390059814627</v>
      </c>
      <c r="D24" s="32" t="n">
        <v>0.0666</v>
      </c>
      <c r="E24" s="32" t="n">
        <v>0.0001</v>
      </c>
      <c r="F24" s="12" t="str">
        <f aca="false">IF(ABS(C24-D24)&lt;=MAX(E24,0.0000001),"PASS","FAIL")</f>
        <v>PASS</v>
      </c>
    </row>
    <row r="25" customFormat="false" ht="15" hidden="false" customHeight="false" outlineLevel="0" collapsed="false">
      <c r="A25" s="12" t="s">
        <v>221</v>
      </c>
      <c r="B25" s="12" t="s">
        <v>241</v>
      </c>
      <c r="C25" s="32" t="n">
        <f aca="false">'1 The model rebuilt'!D54</f>
        <v>0.0818898911446663</v>
      </c>
      <c r="D25" s="32" t="n">
        <v>0.0819</v>
      </c>
      <c r="E25" s="32" t="n">
        <v>0.0001</v>
      </c>
      <c r="F25" s="12" t="str">
        <f aca="false">IF(ABS(C25-D25)&lt;=MAX(E25,0.0000001),"PASS","FAIL")</f>
        <v>PASS</v>
      </c>
    </row>
    <row r="26" customFormat="false" ht="15" hidden="false" customHeight="false" outlineLevel="0" collapsed="false">
      <c r="A26" s="12" t="s">
        <v>221</v>
      </c>
      <c r="B26" s="12" t="s">
        <v>242</v>
      </c>
      <c r="C26" s="32" t="n">
        <f aca="false">'1 The model rebuilt'!B55</f>
        <v>0.0526684149346226</v>
      </c>
      <c r="D26" s="32" t="n">
        <v>0.0527</v>
      </c>
      <c r="E26" s="32" t="n">
        <v>0.0001</v>
      </c>
      <c r="F26" s="12" t="str">
        <f aca="false">IF(ABS(C26-D26)&lt;=MAX(E26,0.0000001),"PASS","FAIL")</f>
        <v>PASS</v>
      </c>
    </row>
    <row r="27" customFormat="false" ht="15" hidden="false" customHeight="false" outlineLevel="0" collapsed="false">
      <c r="A27" s="12" t="s">
        <v>221</v>
      </c>
      <c r="B27" s="12" t="s">
        <v>243</v>
      </c>
      <c r="C27" s="32" t="n">
        <f aca="false">'1 The model rebuilt'!D55</f>
        <v>0.0545518457227147</v>
      </c>
      <c r="D27" s="32" t="n">
        <v>0.0546</v>
      </c>
      <c r="E27" s="32" t="n">
        <v>0.0001</v>
      </c>
      <c r="F27" s="12" t="str">
        <f aca="false">IF(ABS(C27-D27)&lt;=MAX(E27,0.0000001),"PASS","FAIL")</f>
        <v>PASS</v>
      </c>
    </row>
    <row r="28" customFormat="false" ht="15" hidden="false" customHeight="false" outlineLevel="0" collapsed="false">
      <c r="A28" s="12" t="s">
        <v>244</v>
      </c>
      <c r="B28" s="12" t="s">
        <v>245</v>
      </c>
      <c r="C28" s="32" t="n">
        <f aca="false">'2 The tornado'!E8</f>
        <v>595.235546028102</v>
      </c>
      <c r="D28" s="32" t="n">
        <v>595.235546028101</v>
      </c>
      <c r="E28" s="32" t="n">
        <v>1</v>
      </c>
      <c r="F28" s="12" t="str">
        <f aca="false">IF(ABS(C28-D28)&lt;=MAX(E28,0.0000001),"PASS","FAIL")</f>
        <v>PASS</v>
      </c>
    </row>
    <row r="29" customFormat="false" ht="15" hidden="false" customHeight="false" outlineLevel="0" collapsed="false">
      <c r="A29" s="12" t="s">
        <v>244</v>
      </c>
      <c r="B29" s="12" t="s">
        <v>246</v>
      </c>
      <c r="C29" s="32" t="n">
        <f aca="false">'2 The tornado'!E9</f>
        <v>445.628677562036</v>
      </c>
      <c r="D29" s="32" t="n">
        <v>445.628677562036</v>
      </c>
      <c r="E29" s="32" t="n">
        <v>1</v>
      </c>
      <c r="F29" s="12" t="str">
        <f aca="false">IF(ABS(C29-D29)&lt;=MAX(E29,0.0000001),"PASS","FAIL")</f>
        <v>PASS</v>
      </c>
    </row>
    <row r="30" customFormat="false" ht="15" hidden="false" customHeight="false" outlineLevel="0" collapsed="false">
      <c r="A30" s="12" t="s">
        <v>244</v>
      </c>
      <c r="B30" s="12" t="s">
        <v>247</v>
      </c>
      <c r="C30" s="32" t="n">
        <f aca="false">'2 The tornado'!E10</f>
        <v>381.19242587328</v>
      </c>
      <c r="D30" s="32" t="n">
        <v>381.19242587328</v>
      </c>
      <c r="E30" s="32" t="n">
        <v>1</v>
      </c>
      <c r="F30" s="12" t="str">
        <f aca="false">IF(ABS(C30-D30)&lt;=MAX(E30,0.0000001),"PASS","FAIL")</f>
        <v>PASS</v>
      </c>
    </row>
    <row r="31" customFormat="false" ht="15" hidden="false" customHeight="false" outlineLevel="0" collapsed="false">
      <c r="A31" s="12" t="s">
        <v>244</v>
      </c>
      <c r="B31" s="12" t="s">
        <v>248</v>
      </c>
      <c r="C31" s="32" t="n">
        <f aca="false">'2 The tornado'!E11</f>
        <v>184.47973206253</v>
      </c>
      <c r="D31" s="32" t="n">
        <v>184.47973206253</v>
      </c>
      <c r="E31" s="32" t="n">
        <v>1</v>
      </c>
      <c r="F31" s="12" t="str">
        <f aca="false">IF(ABS(C31-D31)&lt;=MAX(E31,0.0000001),"PASS","FAIL")</f>
        <v>PASS</v>
      </c>
    </row>
    <row r="32" customFormat="false" ht="15" hidden="false" customHeight="false" outlineLevel="0" collapsed="false">
      <c r="A32" s="12" t="s">
        <v>244</v>
      </c>
      <c r="B32" s="12" t="s">
        <v>249</v>
      </c>
      <c r="C32" s="32" t="n">
        <f aca="false">'2 The tornado'!E12</f>
        <v>100.494315241065</v>
      </c>
      <c r="D32" s="32" t="n">
        <v>100.494315241064</v>
      </c>
      <c r="E32" s="32" t="n">
        <v>1</v>
      </c>
      <c r="F32" s="12" t="str">
        <f aca="false">IF(ABS(C32-D32)&lt;=MAX(E32,0.0000001),"PASS","FAIL")</f>
        <v>PASS</v>
      </c>
    </row>
    <row r="33" customFormat="false" ht="15" hidden="false" customHeight="false" outlineLevel="0" collapsed="false">
      <c r="A33" s="12" t="s">
        <v>244</v>
      </c>
      <c r="B33" s="12" t="s">
        <v>250</v>
      </c>
      <c r="C33" s="32" t="n">
        <f aca="false">'2 The tornado'!E13</f>
        <v>58.446640517984</v>
      </c>
      <c r="D33" s="32" t="n">
        <v>58.446640517984</v>
      </c>
      <c r="E33" s="32" t="n">
        <v>1</v>
      </c>
      <c r="F33" s="12" t="str">
        <f aca="false">IF(ABS(C33-D33)&lt;=MAX(E33,0.0000001),"PASS","FAIL")</f>
        <v>PASS</v>
      </c>
    </row>
    <row r="34" customFormat="false" ht="15" hidden="false" customHeight="false" outlineLevel="0" collapsed="false">
      <c r="A34" s="12" t="s">
        <v>244</v>
      </c>
      <c r="B34" s="12" t="s">
        <v>251</v>
      </c>
      <c r="C34" s="32" t="n">
        <f aca="false">'2 The tornado'!E14</f>
        <v>53.5029642661609</v>
      </c>
      <c r="D34" s="32" t="n">
        <v>53.5029642661611</v>
      </c>
      <c r="E34" s="32" t="n">
        <v>1</v>
      </c>
      <c r="F34" s="12" t="str">
        <f aca="false">IF(ABS(C34-D34)&lt;=MAX(E34,0.0000001),"PASS","FAIL")</f>
        <v>PASS</v>
      </c>
    </row>
    <row r="35" customFormat="false" ht="15" hidden="false" customHeight="false" outlineLevel="0" collapsed="false">
      <c r="A35" s="12" t="s">
        <v>244</v>
      </c>
      <c r="B35" s="12" t="s">
        <v>252</v>
      </c>
      <c r="C35" s="32" t="n">
        <f aca="false">'2 The tornado'!E15</f>
        <v>46.518747293649</v>
      </c>
      <c r="D35" s="32" t="n">
        <v>46.518747293649</v>
      </c>
      <c r="E35" s="32" t="n">
        <v>1</v>
      </c>
      <c r="F35" s="12" t="str">
        <f aca="false">IF(ABS(C35-D35)&lt;=MAX(E35,0.0000001),"PASS","FAIL")</f>
        <v>PASS</v>
      </c>
    </row>
    <row r="36" customFormat="false" ht="15" hidden="false" customHeight="false" outlineLevel="0" collapsed="false">
      <c r="A36" s="12" t="s">
        <v>244</v>
      </c>
      <c r="B36" s="12" t="s">
        <v>253</v>
      </c>
      <c r="C36" s="32" t="n">
        <f aca="false">'2 The tornado'!E16</f>
        <v>22.5610424668</v>
      </c>
      <c r="D36" s="32" t="n">
        <v>22.5610424667999</v>
      </c>
      <c r="E36" s="32" t="n">
        <v>1</v>
      </c>
      <c r="F36" s="12" t="str">
        <f aca="false">IF(ABS(C36-D36)&lt;=MAX(E36,0.0000001),"PASS","FAIL")</f>
        <v>PASS</v>
      </c>
    </row>
    <row r="37" customFormat="false" ht="15" hidden="false" customHeight="false" outlineLevel="0" collapsed="false">
      <c r="A37" s="12" t="s">
        <v>244</v>
      </c>
      <c r="B37" s="12" t="s">
        <v>254</v>
      </c>
      <c r="C37" s="32" t="n">
        <f aca="false">IF('2 The tornado'!E8=MAX('2 The tornado'!E8:E16),1,0)</f>
        <v>1</v>
      </c>
      <c r="D37" s="32" t="n">
        <v>1</v>
      </c>
      <c r="E37" s="32" t="n">
        <v>0</v>
      </c>
      <c r="F37" s="12" t="str">
        <f aca="false">IF(ABS(C37-D37)&lt;=MAX(E37,0.0000001),"PASS","FAIL")</f>
        <v>PASS</v>
      </c>
    </row>
    <row r="38" customFormat="false" ht="15" hidden="false" customHeight="false" outlineLevel="0" collapsed="false">
      <c r="A38" s="12" t="s">
        <v>244</v>
      </c>
      <c r="B38" s="12" t="s">
        <v>255</v>
      </c>
      <c r="C38" s="32" t="n">
        <f aca="false">IF('2 The tornado'!B20&gt;9,1,0)</f>
        <v>1</v>
      </c>
      <c r="D38" s="32" t="n">
        <v>1</v>
      </c>
      <c r="E38" s="32" t="n">
        <v>0</v>
      </c>
      <c r="F38" s="12" t="str">
        <f aca="false">IF(ABS(C38-D38)&lt;=MAX(E38,0.0000001),"PASS","FAIL")</f>
        <v>PASS</v>
      </c>
    </row>
    <row r="39" customFormat="false" ht="15" hidden="false" customHeight="false" outlineLevel="0" collapsed="false">
      <c r="A39" s="12" t="s">
        <v>256</v>
      </c>
      <c r="B39" s="12" t="s">
        <v>257</v>
      </c>
      <c r="C39" s="32" t="n">
        <f aca="false">'3 Two-way table'!B10</f>
        <v>0.0363857608640473</v>
      </c>
      <c r="D39" s="32" t="n">
        <v>0.0363857608640473</v>
      </c>
      <c r="E39" s="32" t="n">
        <v>0.0001</v>
      </c>
      <c r="F39" s="12" t="str">
        <f aca="false">IF(ABS(C39-D39)&lt;=MAX(E39,0.0000001),"PASS","FAIL")</f>
        <v>PASS</v>
      </c>
    </row>
    <row r="40" customFormat="false" ht="15" hidden="false" customHeight="false" outlineLevel="0" collapsed="false">
      <c r="A40" s="12" t="s">
        <v>256</v>
      </c>
      <c r="B40" s="12" t="s">
        <v>258</v>
      </c>
      <c r="C40" s="32" t="n">
        <f aca="false">'3 Two-way table'!C10</f>
        <v>0.0630568818612384</v>
      </c>
      <c r="D40" s="32" t="n">
        <v>0.0630568818612384</v>
      </c>
      <c r="E40" s="32" t="n">
        <v>0.0001</v>
      </c>
      <c r="F40" s="12" t="str">
        <f aca="false">IF(ABS(C40-D40)&lt;=MAX(E40,0.0000001),"PASS","FAIL")</f>
        <v>PASS</v>
      </c>
    </row>
    <row r="41" customFormat="false" ht="15" hidden="false" customHeight="false" outlineLevel="0" collapsed="false">
      <c r="A41" s="12" t="s">
        <v>256</v>
      </c>
      <c r="B41" s="12" t="s">
        <v>259</v>
      </c>
      <c r="C41" s="32" t="n">
        <f aca="false">'3 Two-way table'!D10</f>
        <v>0.0877181584783716</v>
      </c>
      <c r="D41" s="32" t="n">
        <v>0.0877181584783716</v>
      </c>
      <c r="E41" s="32" t="n">
        <v>0.0001</v>
      </c>
      <c r="F41" s="12" t="str">
        <f aca="false">IF(ABS(C41-D41)&lt;=MAX(E41,0.0000001),"PASS","FAIL")</f>
        <v>PASS</v>
      </c>
    </row>
    <row r="42" customFormat="false" ht="15" hidden="false" customHeight="false" outlineLevel="0" collapsed="false">
      <c r="A42" s="12" t="s">
        <v>256</v>
      </c>
      <c r="B42" s="12" t="s">
        <v>260</v>
      </c>
      <c r="C42" s="32" t="n">
        <f aca="false">'3 Two-way table'!E10</f>
        <v>0.110707225977888</v>
      </c>
      <c r="D42" s="32" t="n">
        <v>0.110707225977888</v>
      </c>
      <c r="E42" s="32" t="n">
        <v>0.0001</v>
      </c>
      <c r="F42" s="12" t="str">
        <f aca="false">IF(ABS(C42-D42)&lt;=MAX(E42,0.0000001),"PASS","FAIL")</f>
        <v>PASS</v>
      </c>
    </row>
    <row r="43" customFormat="false" ht="15" hidden="false" customHeight="false" outlineLevel="0" collapsed="false">
      <c r="A43" s="12" t="s">
        <v>256</v>
      </c>
      <c r="B43" s="12" t="s">
        <v>261</v>
      </c>
      <c r="C43" s="32" t="n">
        <f aca="false">'3 Two-way table'!F10</f>
        <v>0.132281026234575</v>
      </c>
      <c r="D43" s="32" t="n">
        <v>0.132281026234575</v>
      </c>
      <c r="E43" s="32" t="n">
        <v>0.0001</v>
      </c>
      <c r="F43" s="12" t="str">
        <f aca="false">IF(ABS(C43-D43)&lt;=MAX(E43,0.0000001),"PASS","FAIL")</f>
        <v>PASS</v>
      </c>
    </row>
    <row r="44" customFormat="false" ht="15" hidden="false" customHeight="false" outlineLevel="0" collapsed="false">
      <c r="A44" s="12" t="s">
        <v>256</v>
      </c>
      <c r="B44" s="12" t="s">
        <v>262</v>
      </c>
      <c r="C44" s="32" t="n">
        <f aca="false">'3 Two-way table'!G10</f>
        <v>0.152639943988601</v>
      </c>
      <c r="D44" s="32" t="n">
        <v>0.152639943988601</v>
      </c>
      <c r="E44" s="32" t="n">
        <v>0.0001</v>
      </c>
      <c r="F44" s="12" t="str">
        <f aca="false">IF(ABS(C44-D44)&lt;=MAX(E44,0.0000001),"PASS","FAIL")</f>
        <v>PASS</v>
      </c>
    </row>
    <row r="45" customFormat="false" ht="15" hidden="false" customHeight="false" outlineLevel="0" collapsed="false">
      <c r="A45" s="12" t="s">
        <v>256</v>
      </c>
      <c r="B45" s="12" t="s">
        <v>263</v>
      </c>
      <c r="C45" s="32" t="n">
        <f aca="false">'3 Two-way table'!C10</f>
        <v>0.0630568818612384</v>
      </c>
      <c r="D45" s="32" t="n">
        <v>0.0630568818612384</v>
      </c>
      <c r="E45" s="32" t="n">
        <v>0.0001</v>
      </c>
      <c r="F45" s="12" t="str">
        <f aca="false">IF(ABS(C45-D45)&lt;=MAX(E45,0.0000001),"PASS","FAIL")</f>
        <v>PASS</v>
      </c>
    </row>
    <row r="46" customFormat="false" ht="15" hidden="false" customHeight="false" outlineLevel="0" collapsed="false">
      <c r="A46" s="12" t="s">
        <v>264</v>
      </c>
      <c r="B46" s="12" t="s">
        <v>265</v>
      </c>
      <c r="C46" s="32" t="n">
        <f aca="false">'4 The scenario table'!B6</f>
        <v>0.110707225977888</v>
      </c>
      <c r="D46" s="32" t="n">
        <v>0.110707225977888</v>
      </c>
      <c r="E46" s="32" t="n">
        <v>0.0001</v>
      </c>
      <c r="F46" s="12" t="str">
        <f aca="false">IF(ABS(C46-D46)&lt;=MAX(E46,0.0000001),"PASS","FAIL")</f>
        <v>PASS</v>
      </c>
    </row>
    <row r="47" customFormat="false" ht="15" hidden="false" customHeight="false" outlineLevel="0" collapsed="false">
      <c r="A47" s="12" t="s">
        <v>264</v>
      </c>
      <c r="B47" s="12" t="s">
        <v>266</v>
      </c>
      <c r="C47" s="32" t="n">
        <f aca="false">'4 The scenario table'!B7</f>
        <v>1.64352931296937</v>
      </c>
      <c r="D47" s="32" t="n">
        <v>1.64352931296937</v>
      </c>
      <c r="E47" s="32" t="n">
        <v>0.0001</v>
      </c>
      <c r="F47" s="12" t="str">
        <f aca="false">IF(ABS(C47-D47)&lt;=MAX(E47,0.0000001),"PASS","FAIL")</f>
        <v>PASS</v>
      </c>
    </row>
    <row r="48" customFormat="false" ht="15" hidden="false" customHeight="false" outlineLevel="0" collapsed="false">
      <c r="A48" s="12" t="s">
        <v>264</v>
      </c>
      <c r="B48" s="12" t="s">
        <v>267</v>
      </c>
      <c r="C48" s="32" t="n">
        <f aca="false">'4 The scenario table'!B8</f>
        <v>12231750</v>
      </c>
      <c r="D48" s="32" t="n">
        <v>12231750</v>
      </c>
      <c r="E48" s="32" t="n">
        <v>1</v>
      </c>
      <c r="F48" s="12" t="str">
        <f aca="false">IF(ABS(C48-D48)&lt;=MAX(E48,0.0000001),"PASS","FAIL")</f>
        <v>PASS</v>
      </c>
    </row>
    <row r="49" customFormat="false" ht="15" hidden="false" customHeight="false" outlineLevel="0" collapsed="false">
      <c r="A49" s="12" t="s">
        <v>264</v>
      </c>
      <c r="B49" s="12" t="s">
        <v>268</v>
      </c>
      <c r="C49" s="32" t="n">
        <f aca="false">'4 The scenario table'!B9</f>
        <v>0.0781092248630009</v>
      </c>
      <c r="D49" s="32" t="n">
        <v>0.0781092248630009</v>
      </c>
      <c r="E49" s="32" t="n">
        <v>0.0001</v>
      </c>
      <c r="F49" s="12" t="str">
        <f aca="false">IF(ABS(C49-D49)&lt;=MAX(E49,0.0000001),"PASS","FAIL")</f>
        <v>PASS</v>
      </c>
    </row>
    <row r="50" customFormat="false" ht="15" hidden="false" customHeight="false" outlineLevel="0" collapsed="false">
      <c r="A50" s="12" t="s">
        <v>264</v>
      </c>
      <c r="B50" s="12" t="s">
        <v>269</v>
      </c>
      <c r="C50" s="32" t="n">
        <f aca="false">'4 The scenario table'!B10</f>
        <v>0.0977653384912959</v>
      </c>
      <c r="D50" s="32" t="n">
        <v>0.0977653384912959</v>
      </c>
      <c r="E50" s="32" t="n">
        <v>0.0001</v>
      </c>
      <c r="F50" s="12" t="str">
        <f aca="false">IF(ABS(C50-D50)&lt;=MAX(E50,0.0000001),"PASS","FAIL")</f>
        <v>PASS</v>
      </c>
    </row>
    <row r="51" customFormat="false" ht="15" hidden="false" customHeight="false" outlineLevel="0" collapsed="false">
      <c r="A51" s="12" t="s">
        <v>264</v>
      </c>
      <c r="B51" s="12" t="s">
        <v>270</v>
      </c>
      <c r="C51" s="32" t="n">
        <f aca="false">'4 The scenario table'!B11</f>
        <v>30287356.5217391</v>
      </c>
      <c r="D51" s="32" t="n">
        <v>30287356.5217391</v>
      </c>
      <c r="E51" s="32" t="n">
        <v>1</v>
      </c>
      <c r="F51" s="12" t="str">
        <f aca="false">IF(ABS(C51-D51)&lt;=MAX(E51,0.0000001),"PASS","FAIL")</f>
        <v>PASS</v>
      </c>
    </row>
    <row r="52" customFormat="false" ht="15" hidden="false" customHeight="false" outlineLevel="0" collapsed="false">
      <c r="A52" s="12" t="s">
        <v>264</v>
      </c>
      <c r="B52" s="12" t="s">
        <v>271</v>
      </c>
      <c r="C52" s="32" t="n">
        <f aca="false">'4 The scenario table'!C6</f>
        <v>0.0230176857160326</v>
      </c>
      <c r="D52" s="32" t="n">
        <v>0.0230176857160326</v>
      </c>
      <c r="E52" s="32" t="n">
        <v>0.0001</v>
      </c>
      <c r="F52" s="12" t="str">
        <f aca="false">IF(ABS(C52-D52)&lt;=MAX(E52,0.0000001),"PASS","FAIL")</f>
        <v>PASS</v>
      </c>
    </row>
    <row r="53" customFormat="false" ht="15" hidden="false" customHeight="false" outlineLevel="0" collapsed="false">
      <c r="A53" s="12" t="s">
        <v>264</v>
      </c>
      <c r="B53" s="12" t="s">
        <v>272</v>
      </c>
      <c r="C53" s="32" t="n">
        <f aca="false">'4 The scenario table'!C7</f>
        <v>1.11387132994052</v>
      </c>
      <c r="D53" s="32" t="n">
        <v>1.11387132994052</v>
      </c>
      <c r="E53" s="32" t="n">
        <v>0.0001</v>
      </c>
      <c r="F53" s="12" t="str">
        <f aca="false">IF(ABS(C53-D53)&lt;=MAX(E53,0.0000001),"PASS","FAIL")</f>
        <v>PASS</v>
      </c>
    </row>
    <row r="54" customFormat="false" ht="15" hidden="false" customHeight="false" outlineLevel="0" collapsed="false">
      <c r="A54" s="12" t="s">
        <v>264</v>
      </c>
      <c r="B54" s="12" t="s">
        <v>273</v>
      </c>
      <c r="C54" s="32" t="n">
        <f aca="false">'4 The scenario table'!C8</f>
        <v>12231750</v>
      </c>
      <c r="D54" s="32" t="n">
        <v>12231750</v>
      </c>
      <c r="E54" s="32" t="n">
        <v>1</v>
      </c>
      <c r="F54" s="12" t="str">
        <f aca="false">IF(ABS(C54-D54)&lt;=MAX(E54,0.0000001),"PASS","FAIL")</f>
        <v>PASS</v>
      </c>
    </row>
    <row r="55" customFormat="false" ht="15" hidden="false" customHeight="false" outlineLevel="0" collapsed="false">
      <c r="A55" s="12" t="s">
        <v>264</v>
      </c>
      <c r="B55" s="12" t="s">
        <v>274</v>
      </c>
      <c r="C55" s="32" t="n">
        <f aca="false">'4 The scenario table'!C9</f>
        <v>0.0690019423132606</v>
      </c>
      <c r="D55" s="32" t="n">
        <v>0.0690019423132606</v>
      </c>
      <c r="E55" s="32" t="n">
        <v>0.0001</v>
      </c>
      <c r="F55" s="12" t="str">
        <f aca="false">IF(ABS(C55-D55)&lt;=MAX(E55,0.0000001),"PASS","FAIL")</f>
        <v>PASS</v>
      </c>
    </row>
    <row r="56" customFormat="false" ht="15" hidden="false" customHeight="false" outlineLevel="0" collapsed="false">
      <c r="A56" s="12" t="s">
        <v>264</v>
      </c>
      <c r="B56" s="12" t="s">
        <v>275</v>
      </c>
      <c r="C56" s="32" t="n">
        <f aca="false">'4 The scenario table'!C10</f>
        <v>0.0889664580270793</v>
      </c>
      <c r="D56" s="32" t="n">
        <v>0.0889664580270793</v>
      </c>
      <c r="E56" s="32" t="n">
        <v>0.0001</v>
      </c>
      <c r="F56" s="12" t="str">
        <f aca="false">IF(ABS(C56-D56)&lt;=MAX(E56,0.0000001),"PASS","FAIL")</f>
        <v>PASS</v>
      </c>
    </row>
    <row r="57" customFormat="false" ht="15" hidden="false" customHeight="false" outlineLevel="0" collapsed="false">
      <c r="A57" s="12" t="s">
        <v>264</v>
      </c>
      <c r="B57" s="12" t="s">
        <v>276</v>
      </c>
      <c r="C57" s="32" t="n">
        <f aca="false">'4 The scenario table'!C11</f>
        <v>24381322</v>
      </c>
      <c r="D57" s="32" t="n">
        <v>24381322</v>
      </c>
      <c r="E57" s="32" t="n">
        <v>1</v>
      </c>
      <c r="F57" s="12" t="str">
        <f aca="false">IF(ABS(C57-D57)&lt;=MAX(E57,0.0000001),"PASS","FAIL")</f>
        <v>PASS</v>
      </c>
    </row>
    <row r="58" customFormat="false" ht="15" hidden="false" customHeight="false" outlineLevel="0" collapsed="false">
      <c r="A58" s="12" t="s">
        <v>264</v>
      </c>
      <c r="B58" s="12" t="s">
        <v>277</v>
      </c>
      <c r="C58" s="32" t="n">
        <f aca="false">'4 The scenario table'!D6</f>
        <v>0.166456467765932</v>
      </c>
      <c r="D58" s="32" t="n">
        <v>0.166456467765932</v>
      </c>
      <c r="E58" s="32" t="n">
        <v>0.0001</v>
      </c>
      <c r="F58" s="12" t="str">
        <f aca="false">IF(ABS(C58-D58)&lt;=MAX(E58,0.0000001),"PASS","FAIL")</f>
        <v>PASS</v>
      </c>
    </row>
    <row r="59" customFormat="false" ht="15" hidden="false" customHeight="false" outlineLevel="0" collapsed="false">
      <c r="A59" s="12" t="s">
        <v>264</v>
      </c>
      <c r="B59" s="12" t="s">
        <v>278</v>
      </c>
      <c r="C59" s="32" t="n">
        <f aca="false">'4 The scenario table'!D7</f>
        <v>2.07212700608389</v>
      </c>
      <c r="D59" s="32" t="n">
        <v>2.07212700608389</v>
      </c>
      <c r="E59" s="32" t="n">
        <v>0.0001</v>
      </c>
      <c r="F59" s="12" t="str">
        <f aca="false">IF(ABS(C59-D59)&lt;=MAX(E59,0.0000001),"PASS","FAIL")</f>
        <v>PASS</v>
      </c>
    </row>
    <row r="60" customFormat="false" ht="15" hidden="false" customHeight="false" outlineLevel="0" collapsed="false">
      <c r="A60" s="12" t="s">
        <v>264</v>
      </c>
      <c r="B60" s="12" t="s">
        <v>279</v>
      </c>
      <c r="C60" s="32" t="n">
        <f aca="false">'4 The scenario table'!D8</f>
        <v>12231750</v>
      </c>
      <c r="D60" s="32" t="n">
        <v>12231750</v>
      </c>
      <c r="E60" s="32" t="n">
        <v>1</v>
      </c>
      <c r="F60" s="12" t="str">
        <f aca="false">IF(ABS(C60-D60)&lt;=MAX(E60,0.0000001),"PASS","FAIL")</f>
        <v>PASS</v>
      </c>
    </row>
    <row r="61" customFormat="false" ht="15" hidden="false" customHeight="false" outlineLevel="0" collapsed="false">
      <c r="A61" s="12" t="s">
        <v>264</v>
      </c>
      <c r="B61" s="12" t="s">
        <v>280</v>
      </c>
      <c r="C61" s="32" t="n">
        <f aca="false">'4 The scenario table'!D9</f>
        <v>0.0844916472146243</v>
      </c>
      <c r="D61" s="32" t="n">
        <v>0.0844916472146243</v>
      </c>
      <c r="E61" s="32" t="n">
        <v>0.0001</v>
      </c>
      <c r="F61" s="12" t="str">
        <f aca="false">IF(ABS(C61-D61)&lt;=MAX(E61,0.0000001),"PASS","FAIL")</f>
        <v>PASS</v>
      </c>
    </row>
    <row r="62" customFormat="false" ht="15" hidden="false" customHeight="false" outlineLevel="0" collapsed="false">
      <c r="A62" s="12" t="s">
        <v>264</v>
      </c>
      <c r="B62" s="12" t="s">
        <v>281</v>
      </c>
      <c r="C62" s="32" t="n">
        <f aca="false">'4 The scenario table'!D10</f>
        <v>0.103631258800774</v>
      </c>
      <c r="D62" s="32" t="n">
        <v>0.103631258800774</v>
      </c>
      <c r="E62" s="32" t="n">
        <v>0.0001</v>
      </c>
      <c r="F62" s="12" t="str">
        <f aca="false">IF(ABS(C62-D62)&lt;=MAX(E62,0.0000001),"PASS","FAIL")</f>
        <v>PASS</v>
      </c>
    </row>
    <row r="63" customFormat="false" ht="15" hidden="false" customHeight="false" outlineLevel="0" collapsed="false">
      <c r="A63" s="12" t="s">
        <v>264</v>
      </c>
      <c r="B63" s="12" t="s">
        <v>282</v>
      </c>
      <c r="C63" s="32" t="n">
        <f aca="false">'4 The scenario table'!D11</f>
        <v>35162178.6666667</v>
      </c>
      <c r="D63" s="32" t="n">
        <v>35162178.6666667</v>
      </c>
      <c r="E63" s="32" t="n">
        <v>1</v>
      </c>
      <c r="F63" s="12" t="str">
        <f aca="false">IF(ABS(C63-D63)&lt;=MAX(E63,0.0000001),"PASS","FAIL")</f>
        <v>PASS</v>
      </c>
    </row>
    <row r="64" customFormat="false" ht="15" hidden="false" customHeight="false" outlineLevel="0" collapsed="false">
      <c r="A64" s="12" t="s">
        <v>264</v>
      </c>
      <c r="B64" s="12" t="s">
        <v>283</v>
      </c>
      <c r="C64" s="32" t="n">
        <f aca="false">'4 The scenario table'!E6</f>
        <v>0.0102927434793866</v>
      </c>
      <c r="D64" s="32" t="n">
        <v>0.0102927434793866</v>
      </c>
      <c r="E64" s="32" t="n">
        <v>0.0001</v>
      </c>
      <c r="F64" s="12" t="str">
        <f aca="false">IF(ABS(C64-D64)&lt;=MAX(E64,0.0000001),"PASS","FAIL")</f>
        <v>PASS</v>
      </c>
    </row>
    <row r="65" customFormat="false" ht="15" hidden="false" customHeight="false" outlineLevel="0" collapsed="false">
      <c r="A65" s="12" t="s">
        <v>264</v>
      </c>
      <c r="B65" s="12" t="s">
        <v>284</v>
      </c>
      <c r="C65" s="32" t="n">
        <f aca="false">'4 The scenario table'!E7</f>
        <v>1.05018221046048</v>
      </c>
      <c r="D65" s="32" t="n">
        <v>1.05018221046048</v>
      </c>
      <c r="E65" s="32" t="n">
        <v>0.0001</v>
      </c>
      <c r="F65" s="12" t="str">
        <f aca="false">IF(ABS(C65-D65)&lt;=MAX(E65,0.0000001),"PASS","FAIL")</f>
        <v>PASS</v>
      </c>
    </row>
    <row r="66" customFormat="false" ht="15" hidden="false" customHeight="false" outlineLevel="0" collapsed="false">
      <c r="A66" s="12" t="s">
        <v>264</v>
      </c>
      <c r="B66" s="12" t="s">
        <v>285</v>
      </c>
      <c r="C66" s="32" t="n">
        <f aca="false">'4 The scenario table'!E8</f>
        <v>12231750</v>
      </c>
      <c r="D66" s="32" t="n">
        <v>12231750</v>
      </c>
      <c r="E66" s="32" t="n">
        <v>1</v>
      </c>
      <c r="F66" s="12" t="str">
        <f aca="false">IF(ABS(C66-D66)&lt;=MAX(E66,0.0000001),"PASS","FAIL")</f>
        <v>PASS</v>
      </c>
    </row>
    <row r="67" customFormat="false" ht="15" hidden="false" customHeight="false" outlineLevel="0" collapsed="false">
      <c r="A67" s="12" t="s">
        <v>264</v>
      </c>
      <c r="B67" s="12" t="s">
        <v>286</v>
      </c>
      <c r="C67" s="32" t="n">
        <f aca="false">'4 The scenario table'!E9</f>
        <v>0.0641686979476916</v>
      </c>
      <c r="D67" s="32" t="n">
        <v>0.0641686979476916</v>
      </c>
      <c r="E67" s="32" t="n">
        <v>0.0001</v>
      </c>
      <c r="F67" s="12" t="str">
        <f aca="false">IF(ABS(C67-D67)&lt;=MAX(E67,0.0000001),"PASS","FAIL")</f>
        <v>PASS</v>
      </c>
    </row>
    <row r="68" customFormat="false" ht="15" hidden="false" customHeight="false" outlineLevel="0" collapsed="false">
      <c r="A68" s="12" t="s">
        <v>264</v>
      </c>
      <c r="B68" s="12" t="s">
        <v>287</v>
      </c>
      <c r="C68" s="32" t="n">
        <f aca="false">'4 The scenario table'!E10</f>
        <v>0.0840781911025145</v>
      </c>
      <c r="D68" s="32" t="n">
        <v>0.0840781911025145</v>
      </c>
      <c r="E68" s="32" t="n">
        <v>0.0001</v>
      </c>
      <c r="F68" s="12" t="str">
        <f aca="false">IF(ABS(C68-D68)&lt;=MAX(E68,0.0000001),"PASS","FAIL")</f>
        <v>PASS</v>
      </c>
    </row>
    <row r="69" customFormat="false" ht="15" hidden="false" customHeight="false" outlineLevel="0" collapsed="false">
      <c r="A69" s="12" t="s">
        <v>264</v>
      </c>
      <c r="B69" s="12" t="s">
        <v>288</v>
      </c>
      <c r="C69" s="32" t="n">
        <f aca="false">'4 The scenario table'!E11</f>
        <v>23963356.48</v>
      </c>
      <c r="D69" s="32" t="n">
        <v>23963356.48</v>
      </c>
      <c r="E69" s="32" t="n">
        <v>1</v>
      </c>
      <c r="F69" s="12" t="str">
        <f aca="false">IF(ABS(C69-D69)&lt;=MAX(E69,0.0000001),"PASS","FAIL")</f>
        <v>PASS</v>
      </c>
    </row>
    <row r="70" customFormat="false" ht="15" hidden="false" customHeight="false" outlineLevel="0" collapsed="false">
      <c r="A70" s="12" t="s">
        <v>289</v>
      </c>
      <c r="B70" s="12" t="s">
        <v>290</v>
      </c>
      <c r="C70" s="32" t="n">
        <f aca="false">'5 The four break-evens'!B11</f>
        <v>0.0781092248630009</v>
      </c>
      <c r="D70" s="32" t="n">
        <v>0.0781092248630009</v>
      </c>
      <c r="E70" s="32" t="n">
        <v>1E-006</v>
      </c>
      <c r="F70" s="12" t="str">
        <f aca="false">IF(ABS(C70-D70)&lt;=MAX(E70,0.0000001),"PASS","FAIL")</f>
        <v>PASS</v>
      </c>
    </row>
    <row r="71" customFormat="false" ht="15" hidden="false" customHeight="false" outlineLevel="0" collapsed="false">
      <c r="A71" s="12" t="s">
        <v>289</v>
      </c>
      <c r="B71" s="12" t="s">
        <v>291</v>
      </c>
      <c r="C71" s="32" t="n">
        <f aca="false">'5 The four break-evens'!B12</f>
        <v>206.092248630009</v>
      </c>
      <c r="D71" s="32" t="n">
        <v>206.092248630009</v>
      </c>
      <c r="E71" s="32" t="n">
        <v>0.5</v>
      </c>
      <c r="F71" s="12" t="str">
        <f aca="false">IF(ABS(C71-D71)&lt;=MAX(E71,0.0000001),"PASS","FAIL")</f>
        <v>PASS</v>
      </c>
    </row>
    <row r="72" customFormat="false" ht="15" hidden="false" customHeight="false" outlineLevel="0" collapsed="false">
      <c r="A72" s="12" t="s">
        <v>289</v>
      </c>
      <c r="B72" s="12" t="s">
        <v>292</v>
      </c>
      <c r="C72" s="32" t="n">
        <f aca="false">'5 The four break-evens'!B14</f>
        <v>0.263851355574816</v>
      </c>
      <c r="D72" s="32" t="n">
        <v>0.263851355574816</v>
      </c>
      <c r="E72" s="32" t="n">
        <v>1E-006</v>
      </c>
      <c r="F72" s="12" t="str">
        <f aca="false">IF(ABS(C72-D72)&lt;=MAX(E72,0.0000001),"PASS","FAIL")</f>
        <v>PASS</v>
      </c>
    </row>
    <row r="73" customFormat="false" ht="15" hidden="false" customHeight="false" outlineLevel="0" collapsed="false">
      <c r="A73" s="12" t="s">
        <v>289</v>
      </c>
      <c r="B73" s="12" t="s">
        <v>293</v>
      </c>
      <c r="C73" s="32" t="n">
        <f aca="false">'5 The four break-evens'!B19</f>
        <v>0.355088408908712</v>
      </c>
      <c r="D73" s="32" t="n">
        <v>0.355088408908712</v>
      </c>
      <c r="E73" s="32" t="n">
        <v>1E-006</v>
      </c>
      <c r="F73" s="12" t="str">
        <f aca="false">IF(ABS(C73-D73)&lt;=MAX(E73,0.0000001),"PASS","FAIL")</f>
        <v>PASS</v>
      </c>
    </row>
    <row r="74" customFormat="false" ht="15" hidden="false" customHeight="false" outlineLevel="0" collapsed="false">
      <c r="A74" s="12" t="s">
        <v>289</v>
      </c>
      <c r="B74" s="12" t="s">
        <v>294</v>
      </c>
      <c r="C74" s="32" t="n">
        <f aca="false">'5 The four break-evens'!B20</f>
        <v>0.0794283394414603</v>
      </c>
      <c r="D74" s="32" t="n">
        <v>0.0794283394414603</v>
      </c>
      <c r="E74" s="32" t="n">
        <v>1E-006</v>
      </c>
      <c r="F74" s="12" t="str">
        <f aca="false">IF(ABS(C74-D74)&lt;=MAX(E74,0.0000001),"PASS","FAIL")</f>
        <v>PASS</v>
      </c>
    </row>
    <row r="75" customFormat="false" ht="15" hidden="false" customHeight="false" outlineLevel="0" collapsed="false">
      <c r="A75" s="12" t="s">
        <v>289</v>
      </c>
      <c r="B75" s="12" t="s">
        <v>295</v>
      </c>
      <c r="C75" s="32" t="n">
        <f aca="false">IF('5 The four break-evens'!B21&gt;4,1,0)</f>
        <v>1</v>
      </c>
      <c r="D75" s="32" t="n">
        <v>1</v>
      </c>
      <c r="E75" s="32" t="n">
        <v>0</v>
      </c>
      <c r="F75" s="12" t="str">
        <f aca="false">IF(ABS(C75-D75)&lt;=MAX(E75,0.0000001),"PASS","FAIL")</f>
        <v>PASS</v>
      </c>
    </row>
    <row r="76" customFormat="false" ht="15" hidden="false" customHeight="false" outlineLevel="0" collapsed="false">
      <c r="A76" s="12" t="s">
        <v>289</v>
      </c>
      <c r="B76" s="12" t="s">
        <v>296</v>
      </c>
      <c r="C76" s="32" t="n">
        <f aca="false">'5 The four break-evens'!B29</f>
        <v>17233333.3333333</v>
      </c>
      <c r="D76" s="32" t="n">
        <v>17233333.3333333</v>
      </c>
      <c r="E76" s="32" t="n">
        <v>1</v>
      </c>
      <c r="F76" s="12" t="str">
        <f aca="false">IF(ABS(C76-D76)&lt;=MAX(E76,0.0000001),"PASS","FAIL")</f>
        <v>PASS</v>
      </c>
    </row>
    <row r="77" customFormat="false" ht="15" hidden="false" customHeight="false" outlineLevel="0" collapsed="false">
      <c r="A77" s="12" t="s">
        <v>289</v>
      </c>
      <c r="B77" s="12" t="s">
        <v>297</v>
      </c>
      <c r="C77" s="32" t="n">
        <f aca="false">'5 The four break-evens'!B36</f>
        <v>8.2627920205945</v>
      </c>
      <c r="D77" s="32" t="n">
        <v>8.2627920205945</v>
      </c>
      <c r="E77" s="32" t="n">
        <v>0.05</v>
      </c>
      <c r="F77" s="12" t="str">
        <f aca="false">IF(ABS(C77-D77)&lt;=MAX(E77,0.0000001),"PASS","FAIL")</f>
        <v>PASS</v>
      </c>
    </row>
    <row r="78" customFormat="false" ht="15" hidden="false" customHeight="false" outlineLevel="0" collapsed="false">
      <c r="A78" s="12" t="s">
        <v>289</v>
      </c>
      <c r="B78" s="12" t="s">
        <v>298</v>
      </c>
      <c r="C78" s="32" t="n">
        <f aca="false">IF('5 The four break-evens'!B40&gt;3,1,0)</f>
        <v>1</v>
      </c>
      <c r="D78" s="32" t="n">
        <v>1</v>
      </c>
      <c r="E78" s="32" t="n">
        <v>0</v>
      </c>
      <c r="F78" s="12" t="str">
        <f aca="false">IF(ABS(C78-D78)&lt;=MAX(E78,0.0000001),"PASS","FAIL")</f>
        <v>PASS</v>
      </c>
    </row>
    <row r="79" customFormat="false" ht="15" hidden="false" customHeight="false" outlineLevel="0" collapsed="false">
      <c r="A79" s="12" t="s">
        <v>299</v>
      </c>
      <c r="B79" s="12" t="s">
        <v>300</v>
      </c>
      <c r="C79" s="32" t="n">
        <f aca="false">'6 Worse than the sum'!B9</f>
        <v>30287356.5217391</v>
      </c>
      <c r="D79" s="32" t="n">
        <v>30287356.5217391</v>
      </c>
      <c r="E79" s="32" t="n">
        <v>1</v>
      </c>
      <c r="F79" s="12" t="str">
        <f aca="false">IF(ABS(C79-D79)&lt;=MAX(E79,0.0000001),"PASS","FAIL")</f>
        <v>PASS</v>
      </c>
    </row>
    <row r="80" customFormat="false" ht="15" hidden="false" customHeight="false" outlineLevel="0" collapsed="false">
      <c r="A80" s="12" t="s">
        <v>299</v>
      </c>
      <c r="B80" s="12" t="s">
        <v>301</v>
      </c>
      <c r="C80" s="32" t="n">
        <f aca="false">'6 Worse than the sum'!B12</f>
        <v>24381322</v>
      </c>
      <c r="D80" s="32" t="n">
        <v>24381322</v>
      </c>
      <c r="E80" s="32" t="n">
        <v>1</v>
      </c>
      <c r="F80" s="12" t="str">
        <f aca="false">IF(ABS(C80-D80)&lt;=MAX(E80,0.0000001),"PASS","FAIL")</f>
        <v>PASS</v>
      </c>
    </row>
    <row r="81" customFormat="false" ht="15" hidden="false" customHeight="false" outlineLevel="0" collapsed="false">
      <c r="A81" s="12" t="s">
        <v>299</v>
      </c>
      <c r="B81" s="12" t="s">
        <v>302</v>
      </c>
      <c r="C81" s="32" t="n">
        <f aca="false">'6 Worse than the sum'!B16</f>
        <v>-6220557.07023411</v>
      </c>
      <c r="D81" s="32" t="n">
        <v>-6220557.07023411</v>
      </c>
      <c r="E81" s="32" t="n">
        <v>1</v>
      </c>
      <c r="F81" s="12" t="str">
        <f aca="false">IF(ABS(C81-D81)&lt;=MAX(E81,0.0000001),"PASS","FAIL")</f>
        <v>PASS</v>
      </c>
    </row>
    <row r="82" customFormat="false" ht="15" hidden="false" customHeight="false" outlineLevel="0" collapsed="false">
      <c r="A82" s="12" t="s">
        <v>299</v>
      </c>
      <c r="B82" s="12" t="s">
        <v>303</v>
      </c>
      <c r="C82" s="32" t="n">
        <f aca="false">'6 Worse than the sum'!B17</f>
        <v>-5906034.52173913</v>
      </c>
      <c r="D82" s="32" t="n">
        <v>-5906034.52173913</v>
      </c>
      <c r="E82" s="32" t="n">
        <v>1</v>
      </c>
      <c r="F82" s="12" t="str">
        <f aca="false">IF(ABS(C82-D82)&lt;=MAX(E82,0.0000001),"PASS","FAIL")</f>
        <v>PASS</v>
      </c>
    </row>
    <row r="83" customFormat="false" ht="15" hidden="false" customHeight="false" outlineLevel="0" collapsed="false">
      <c r="A83" s="12" t="s">
        <v>299</v>
      </c>
      <c r="B83" s="12" t="s">
        <v>304</v>
      </c>
      <c r="C83" s="32" t="n">
        <f aca="false">'6 Worse than the sum'!B18</f>
        <v>314522.548494983</v>
      </c>
      <c r="D83" s="32" t="n">
        <v>314522.548494984</v>
      </c>
      <c r="E83" s="32" t="n">
        <v>1</v>
      </c>
      <c r="F83" s="12" t="str">
        <f aca="false">IF(ABS(C83-D83)&lt;=MAX(E83,0.0000001),"PASS","FAIL")</f>
        <v>PASS</v>
      </c>
    </row>
    <row r="84" customFormat="false" ht="15" hidden="false" customHeight="false" outlineLevel="0" collapsed="false">
      <c r="A84" s="12" t="s">
        <v>299</v>
      </c>
      <c r="B84" s="12" t="s">
        <v>305</v>
      </c>
      <c r="C84" s="32" t="n">
        <f aca="false">'6 Worse than the sum'!B19</f>
        <v>314522.548494983</v>
      </c>
      <c r="D84" s="32" t="n">
        <v>314522.548494984</v>
      </c>
      <c r="E84" s="32" t="n">
        <v>1</v>
      </c>
      <c r="F84" s="12" t="str">
        <f aca="false">IF(ABS(C84-D84)&lt;=MAX(E84,0.0000001),"PASS","FAIL")</f>
        <v>PASS</v>
      </c>
    </row>
    <row r="85" customFormat="false" ht="15" hidden="false" customHeight="false" outlineLevel="0" collapsed="false">
      <c r="A85" s="12" t="s">
        <v>299</v>
      </c>
      <c r="B85" s="12" t="s">
        <v>306</v>
      </c>
      <c r="C85" s="32" t="n">
        <f aca="false">IF('6 Worse than the sum'!B18&gt;0,1,0)</f>
        <v>1</v>
      </c>
      <c r="D85" s="32" t="n">
        <v>1</v>
      </c>
      <c r="E85" s="32" t="n">
        <v>0</v>
      </c>
      <c r="F85" s="12" t="str">
        <f aca="false">IF(ABS(C85-D85)&lt;=MAX(E85,0.0000001),"PASS","FAIL")</f>
        <v>PASS</v>
      </c>
    </row>
    <row r="86" customFormat="false" ht="15" hidden="false" customHeight="false" outlineLevel="0" collapsed="false">
      <c r="A86" s="12" t="s">
        <v>299</v>
      </c>
      <c r="B86" s="12" t="s">
        <v>307</v>
      </c>
      <c r="C86" s="32" t="n">
        <f aca="false">IF('6 Worse than the sum'!B31&lt;0,1,0)</f>
        <v>1</v>
      </c>
      <c r="D86" s="32" t="n">
        <v>1</v>
      </c>
      <c r="E86" s="32" t="n">
        <v>0</v>
      </c>
      <c r="F86" s="12" t="str">
        <f aca="false">IF(ABS(C86-D86)&lt;=MAX(E86,0.0000001),"PASS","FAIL")</f>
        <v>PASS</v>
      </c>
    </row>
    <row r="87" customFormat="false" ht="15" hidden="false" customHeight="false" outlineLevel="0" collapsed="false">
      <c r="A87" s="12" t="s">
        <v>299</v>
      </c>
      <c r="B87" s="12" t="s">
        <v>308</v>
      </c>
      <c r="C87" s="32" t="n">
        <f aca="false">'6 Worse than the sum'!B30</f>
        <v>-876.895402618556</v>
      </c>
      <c r="D87" s="32" t="n">
        <v>-876.895402618556</v>
      </c>
      <c r="E87" s="32" t="n">
        <v>0.5</v>
      </c>
      <c r="F87" s="12" t="str">
        <f aca="false">IF(ABS(C87-D87)&lt;=MAX(E87,0.0000001),"PASS","FAIL")</f>
        <v>PASS</v>
      </c>
    </row>
    <row r="88" customFormat="false" ht="15" hidden="false" customHeight="false" outlineLevel="0" collapsed="false">
      <c r="A88" s="12" t="s">
        <v>299</v>
      </c>
      <c r="B88" s="12" t="s">
        <v>309</v>
      </c>
      <c r="C88" s="32" t="n">
        <f aca="false">IF(AND('6 Worse than the sum'!B36&gt;0,'6 Worse than the sum'!B38&lt;0),1,0)</f>
        <v>1</v>
      </c>
      <c r="D88" s="32" t="n">
        <v>1</v>
      </c>
      <c r="E88" s="32" t="n">
        <v>0</v>
      </c>
      <c r="F88" s="12" t="str">
        <f aca="false">IF(ABS(C88-D88)&lt;=MAX(E88,0.0000001),"PASS","FAIL")</f>
        <v>PASS</v>
      </c>
    </row>
    <row r="90" customFormat="false" ht="15" hidden="false" customHeight="false" outlineLevel="0" collapsed="false">
      <c r="B90" s="9" t="s">
        <v>310</v>
      </c>
      <c r="C90" s="9" t="n">
        <f aca="false">COUNTA(B6:B88)</f>
        <v>83</v>
      </c>
    </row>
    <row r="91" customFormat="false" ht="15" hidden="false" customHeight="false" outlineLevel="0" collapsed="false">
      <c r="B91" s="9" t="s">
        <v>311</v>
      </c>
      <c r="C91" s="9" t="n">
        <f aca="false">COUNTIF(F6:F88,"PASS")</f>
        <v>83</v>
      </c>
    </row>
    <row r="92" customFormat="false" ht="15" hidden="false" customHeight="false" outlineLevel="0" collapsed="false">
      <c r="B92" s="9" t="s">
        <v>312</v>
      </c>
      <c r="C92" s="9" t="n">
        <f aca="false">COUNTIF(F6:F88,"FAIL")</f>
        <v>0</v>
      </c>
    </row>
  </sheetData>
  <mergeCells count="1">
    <mergeCell ref="A3:F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2026-08-23T05:47:23Z</dcterms:created>
  <dc:creator>openpyxl</dc:creator>
  <dc:description/>
  <dc:language>en-US</dc:language>
  <cp:lastModifiedBy/>
  <dcterms:modified xsi:type="dcterms:W3CDTF">2026-08-23T05:47:23Z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