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1 Inputs" sheetId="1" state="visible" r:id="rId3"/>
    <sheet name="2 The table" sheetId="2" state="visible" r:id="rId4"/>
    <sheet name="3 The frontier" sheetId="3" state="visible" r:id="rId5"/>
    <sheet name="4 The loop" sheetId="4" state="visible" r:id="rId6"/>
    <sheet name="5 Four ways out" sheetId="5" state="visible" r:id="rId7"/>
    <sheet name="6 The sequence" sheetId="6" state="visible" r:id="rId8"/>
    <sheet name="7 Ten minutes" sheetId="7" state="visible" r:id="rId9"/>
    <sheet name="Control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<sst xmlns="http://schemas.openxmlformats.org/spreadsheetml/2006/main" count="252" uniqueCount="228">
  <si>
    <t xml:space="preserve">Inputs — every amber cell in the first block is printed in the book</t>
  </si>
  <si>
    <t xml:space="preserve">Chapter 12 states a feedback loop and never iterates it. Chapter 19 supplies a complete, internally consistent company — Meridian Industrial Trust — with which the loop can be run. The second block holds the three conventions the chapter does not give; without them the loop cannot turn, which is precisely why it never turned.</t>
  </si>
  <si>
    <t xml:space="preserve">FROM THE BOOK — chapter 19 unless stated</t>
  </si>
  <si>
    <t xml:space="preserve">AFFO per share, $</t>
  </si>
  <si>
    <t xml:space="preserve">ch.19 step 3</t>
  </si>
  <si>
    <t xml:space="preserve">FFO per share, $</t>
  </si>
  <si>
    <t xml:space="preserve">ch.19 step 2</t>
  </si>
  <si>
    <t xml:space="preserve">Net asset value per share, $</t>
  </si>
  <si>
    <t xml:space="preserve">ch.19 step 4</t>
  </si>
  <si>
    <t xml:space="preserve">Share price, $</t>
  </si>
  <si>
    <t xml:space="preserve">ch.19, the company</t>
  </si>
  <si>
    <t xml:space="preserve">Transaction cap rate</t>
  </si>
  <si>
    <t xml:space="preserve">ch.19 step 4 — recent comparable transactions</t>
  </si>
  <si>
    <t xml:space="preserve">Implied cap rate</t>
  </si>
  <si>
    <t xml:space="preserve">ch.19 step 5</t>
  </si>
  <si>
    <t xml:space="preserve">Fully diluted shares, m</t>
  </si>
  <si>
    <t xml:space="preserve">ch.19, incl. 8.4m exchangeable units</t>
  </si>
  <si>
    <t xml:space="preserve">Dividend per share, $</t>
  </si>
  <si>
    <t xml:space="preserve">ch.19 step 7</t>
  </si>
  <si>
    <t xml:space="preserve">Same-store NOI growth</t>
  </si>
  <si>
    <t xml:space="preserve">ch.19, operating statistics</t>
  </si>
  <si>
    <t xml:space="preserve">Forward stabilised NOI</t>
  </si>
  <si>
    <t xml:space="preserve">ch.19</t>
  </si>
  <si>
    <t xml:space="preserve">General and administrative expense</t>
  </si>
  <si>
    <t xml:space="preserve">Net debt</t>
  </si>
  <si>
    <t xml:space="preserve">ch.19 step 6</t>
  </si>
  <si>
    <t xml:space="preserve">EBITDA</t>
  </si>
  <si>
    <t xml:space="preserve">Cost of debt</t>
  </si>
  <si>
    <t xml:space="preserve">ch.12 §632 — “debt at 4.5 percent”</t>
  </si>
  <si>
    <t xml:space="preserve">NOT IN THE BOOK — the conventions the chapter never supplies</t>
  </si>
  <si>
    <t xml:space="preserve">Target debt share of funding</t>
  </si>
  <si>
    <t xml:space="preserve">§636 says “the company's actual target mix” and never gives it</t>
  </si>
  <si>
    <t xml:space="preserve">Discount points closed per 1pp of excess AFFO growth</t>
  </si>
  <si>
    <t xml:space="preserve">the chapter never says how the market re-rates. Without this the loop cannot turn.</t>
  </si>
  <si>
    <t xml:space="preserve">Growth multiplier when accretion is negative</t>
  </si>
  <si>
    <t xml:space="preserve">§622 says “growth stops”. This is how much of same-store survives.</t>
  </si>
  <si>
    <t xml:space="preserve">Recycling programme size</t>
  </si>
  <si>
    <t xml:space="preserve">§626 prices no programme</t>
  </si>
  <si>
    <t xml:space="preserve">Debt-funded acquisition size</t>
  </si>
  <si>
    <t xml:space="preserve">§635 gives no size</t>
  </si>
  <si>
    <t xml:space="preserve">Price haircut on the forced equity issue</t>
  </si>
  <si>
    <t xml:space="preserve">§635 says “often at a worse price” and never says how much worse</t>
  </si>
  <si>
    <t xml:space="preserve">Starting price for the upward loop, $</t>
  </si>
  <si>
    <t xml:space="preserve">ch.12, the third line of the table</t>
  </si>
  <si>
    <t xml:space="preserve">Share of accretion added to AFFO growth when acquisitions are accretive</t>
  </si>
  <si>
    <t xml:space="preserve">NOT IN THE BOOK: Appendix F uses it without naming it (it was typed as /2 in sheet 4)</t>
  </si>
  <si>
    <t xml:space="preserve">The chapter's own table, reproduced</t>
  </si>
  <si>
    <t xml:space="preserve">Before contradicting the chapter it has to be reproduced. Cost of equity is the AFFO yield, as §614 prescribes; accretion is the transaction cap rate less that yield. All three lines come back to the basis point.</t>
  </si>
  <si>
    <t xml:space="preserve">Share price</t>
  </si>
  <si>
    <t xml:space="preserve">Discount to NAV</t>
  </si>
  <si>
    <t xml:space="preserve">Cost of equity</t>
  </si>
  <si>
    <t xml:space="preserve">Accretion vs cap rate</t>
  </si>
  <si>
    <t xml:space="preserve">The book prints</t>
  </si>
  <si>
    <t xml:space="preserve">§610 reads the second line as the frontier: above NAV you can acquire, below you cannot. Note that the second line is already +32 bps — accretive AT net asset value, not neutral. The frontier is somewhere below. Sheet 3.</t>
  </si>
  <si>
    <t xml:space="preserve">THE TEST THE CHAPTER PRESCRIBES BUT DOES NOT USE</t>
  </si>
  <si>
    <t xml:space="preserve">§636: blended cost at the target mix</t>
  </si>
  <si>
    <t xml:space="preserve">Accretion on that test, at $34.50</t>
  </si>
  <si>
    <t xml:space="preserve">Accretion the chapter prints, at $34.50</t>
  </si>
  <si>
    <t xml:space="preserve">Difference</t>
  </si>
  <si>
    <t xml:space="preserve">The chapter prints one test in its table and prescribes another three pages later. On its own company at its own price they differ by this much.</t>
  </si>
  <si>
    <t xml:space="preserve">Where the frontier actually sits</t>
  </si>
  <si>
    <t xml:space="preserve">Accretion turns on the cost of equity against the cap rate, not on the price against net asset value. Setting the two equal gives the break-even price directly.</t>
  </si>
  <si>
    <t xml:space="preserve">BREAK-EVEN PRICE</t>
  </si>
  <si>
    <t xml:space="preserve">All-equity funding — the test the table uses</t>
  </si>
  <si>
    <t xml:space="preserve">AFFO per share divided by the cap rate</t>
  </si>
  <si>
    <t xml:space="preserve">… as a discount to net asset value</t>
  </si>
  <si>
    <t xml:space="preserve">the chapter says this should be zero</t>
  </si>
  <si>
    <t xml:space="preserve">Blended funding — the test §636 prescribes</t>
  </si>
  <si>
    <t xml:space="preserve">Dollars per share between NAV and the blended frontier</t>
  </si>
  <si>
    <t xml:space="preserve">… in market value, millions</t>
  </si>
  <si>
    <t xml:space="preserve">the size of the band over which “cannot” is false</t>
  </si>
  <si>
    <t xml:space="preserve">WHERE THE WEDGE COMES FROM — a number the book computes and never connects</t>
  </si>
  <si>
    <t xml:space="preserve">Capitalised at the transaction cap rate</t>
  </si>
  <si>
    <t xml:space="preserve">ch.19 step 6 prints 800</t>
  </si>
  <si>
    <t xml:space="preserve">Per share</t>
  </si>
  <si>
    <t xml:space="preserve">ch.19 step 6 prints $4.44</t>
  </si>
  <si>
    <t xml:space="preserve">As a share of net asset value</t>
  </si>
  <si>
    <t xml:space="preserve">ch.19 step 6 prints 10.3 percent</t>
  </si>
  <si>
    <t xml:space="preserve">Net asset value capitalises the buildings. The AFFO yield is struck after overhead, interest and recurring capital expenditure. That is the whole of the gap, and the book computes both halves seven chapters apart without joining them.</t>
  </si>
  <si>
    <t xml:space="preserve">ACCRETION ACROSS THE DISCOUNT BAND</t>
  </si>
  <si>
    <t xml:space="preserve">Accretion, all-equity</t>
  </si>
  <si>
    <t xml:space="preserve">Accretion, blended</t>
  </si>
  <si>
    <t xml:space="preserve">Can it acquire?</t>
  </si>
  <si>
    <t xml:space="preserve">The loop, iterated — three years, the chapter's own horizon</t>
  </si>
  <si>
    <t xml:space="preserve">§623 calls both loops self-reinforcing and predictive over three years. A loop is multi-period; the chapter's only calculation is a single-period table. Here it turns. The re-rating rule is on sheet 1 and is not in the book — that is why the loop was never run.</t>
  </si>
  <si>
    <t xml:space="preserve">DOWNWARD — starting at the actual price</t>
  </si>
  <si>
    <t xml:space="preserve">Year</t>
  </si>
  <si>
    <t xml:space="preserve">Opening price</t>
  </si>
  <si>
    <t xml:space="preserve">Accretion</t>
  </si>
  <si>
    <t xml:space="preserve">AFFO growth</t>
  </si>
  <si>
    <t xml:space="preserve">Closing discount</t>
  </si>
  <si>
    <t xml:space="preserve">Price after three years</t>
  </si>
  <si>
    <t xml:space="preserve">Three-year change</t>
  </si>
  <si>
    <t xml:space="preserve">UPWARD — starting at a premium</t>
  </si>
  <si>
    <t xml:space="preserve">ARE THE TWO LOOPS THE SAME SIZE?</t>
  </si>
  <si>
    <t xml:space="preserve">Downward, three years</t>
  </si>
  <si>
    <t xml:space="preserve">Upward, three years</t>
  </si>
  <si>
    <t xml:space="preserve">Ratio, downward to upward</t>
  </si>
  <si>
    <t xml:space="preserve">The asymmetry is the chapter's own doing: downward it says growth STOPS, upward accretion merely ADDS to growth. Stopping is a bigger move than adding. Presenting the two as equivalent is the one thing the chapter asserts that its own mechanism contradicts.</t>
  </si>
  <si>
    <t xml:space="preserve">A note on the method (added 24 September 2026). AFFO per share and net asset value are held at their opening values: growth enters only through the re-rating rule. Let AFFO compound at the growth shown and the downward price path is unchanged (growth is 60 percent of same-store either way) but accretion deepens to −164 and −255 basis points in years two and three, against −142 and −207.</t>
  </si>
  <si>
    <t xml:space="preserve">The four ways out, priced and ranked</t>
  </si>
  <si>
    <t xml:space="preserve">§625 calls the choice “the clearest available evidence of whether they work for shareholders” and names four options. Only the first gets any arithmetic, and only half of it.</t>
  </si>
  <si>
    <t xml:space="preserve">(a) SELL ASSETS AND REPURCHASE SHARES</t>
  </si>
  <si>
    <t xml:space="preserve">Programme size</t>
  </si>
  <si>
    <t xml:space="preserve">amber on sheet 1 — the chapter prices no programme</t>
  </si>
  <si>
    <t xml:space="preserve">NOI given up, at the transaction cap rate</t>
  </si>
  <si>
    <t xml:space="preserve">Shares repurchased, m</t>
  </si>
  <si>
    <t xml:space="preserve">NAV per share after</t>
  </si>
  <si>
    <t xml:space="preserve">… change</t>
  </si>
  <si>
    <t xml:space="preserve">AFFO per share after</t>
  </si>
  <si>
    <t xml:space="preserve">both rise: this is the arbitrage §626 describes and never sizes</t>
  </si>
  <si>
    <t xml:space="preserve">(b) SELL ASSETS AND REPAY DEBT</t>
  </si>
  <si>
    <t xml:space="preserve">Net debt after</t>
  </si>
  <si>
    <t xml:space="preserve">EBITDA after</t>
  </si>
  <si>
    <t xml:space="preserve">Net debt / EBITDA, before</t>
  </si>
  <si>
    <t xml:space="preserve">Net debt / EBITDA, after</t>
  </si>
  <si>
    <t xml:space="preserve">risk falls</t>
  </si>
  <si>
    <t xml:space="preserve">NEGATIVE: selling at 5.25% to repay debt at 4.50% costs AFFO per share</t>
  </si>
  <si>
    <t xml:space="preserve">(c) SELL THE COMPANY  ·  (d) DO NOTHING</t>
  </si>
  <si>
    <t xml:space="preserve">Sale at net asset value, gain on the spot price</t>
  </si>
  <si>
    <t xml:space="preserve">once, and the company ceases to exist</t>
  </si>
  <si>
    <t xml:space="preserve">Do nothing — three years of the downward loop</t>
  </si>
  <si>
    <t xml:space="preserve">sheet 4</t>
  </si>
  <si>
    <t xml:space="preserve">RANKED BY EFFECT ON VALUE PER SHARE</t>
  </si>
  <si>
    <t xml:space="preserve">Option</t>
  </si>
  <si>
    <t xml:space="preserve">Effect on NAV/share</t>
  </si>
  <si>
    <t xml:space="preserve">Effect on AFFO/share</t>
  </si>
  <si>
    <t xml:space="preserve">Reversible?</t>
  </si>
  <si>
    <t xml:space="preserve">(a) sell and repurchase</t>
  </si>
  <si>
    <t xml:space="preserve">(b) sell and repay debt</t>
  </si>
  <si>
    <t xml:space="preserve">(c) sell the company</t>
  </si>
  <si>
    <t xml:space="preserve">(d) do nothing</t>
  </si>
  <si>
    <t xml:space="preserve">“Value-destructive in aggregate even though each step looked accretive”</t>
  </si>
  <si>
    <t xml:space="preserve">§635 makes a two-period claim and never tests it. Both steps are here. This is the one finding on which the chapter turns out to be right — and it is still arithmetic the book does not print.</t>
  </si>
  <si>
    <t xml:space="preserve">STEP 1 — ACQUIRE ENTIRELY WITH DEBT</t>
  </si>
  <si>
    <t xml:space="preserve">Acquisition size</t>
  </si>
  <si>
    <t xml:space="preserve">NOI acquired, at the cap rate</t>
  </si>
  <si>
    <t xml:space="preserve">Interest on the new debt</t>
  </si>
  <si>
    <t xml:space="preserve">AFFO added</t>
  </si>
  <si>
    <t xml:space="preserve">accretive, exactly as §632 says</t>
  </si>
  <si>
    <t xml:space="preserve">Net debt / EBITDA after</t>
  </si>
  <si>
    <t xml:space="preserve">and the leverage that pays for it</t>
  </si>
  <si>
    <t xml:space="preserve">STEP 2 — ISSUE EQUITY TO RESTORE LEVERAGE</t>
  </si>
  <si>
    <t xml:space="preserve">Equity needed to return to the opening leverage</t>
  </si>
  <si>
    <t xml:space="preserve">Price of the issue</t>
  </si>
  <si>
    <t xml:space="preserve">§635: “often at a worse price”</t>
  </si>
  <si>
    <t xml:space="preserve">New shares, m</t>
  </si>
  <si>
    <t xml:space="preserve">Dilution</t>
  </si>
  <si>
    <t xml:space="preserve">AFFO per share after both steps</t>
  </si>
  <si>
    <t xml:space="preserve">… change against the starting point</t>
  </si>
  <si>
    <t xml:space="preserve">VERDICT</t>
  </si>
  <si>
    <t xml:space="preserve">“Derivable in ten minutes” — tested</t>
  </si>
  <si>
    <t xml:space="preserve">§623 claims the direction of the loop is derivable in ten minutes from the discount and the cost of capital. Half of that is true.</t>
  </si>
  <si>
    <t xml:space="preserve">WHAT IT TAKES TO PLACE A COMPANY ON THE LOOP</t>
  </si>
  <si>
    <t xml:space="preserve">1. AFFO per share</t>
  </si>
  <si>
    <t xml:space="preserve">one line of the supplemental</t>
  </si>
  <si>
    <t xml:space="preserve">2. Share price</t>
  </si>
  <si>
    <t xml:space="preserve">the screen</t>
  </si>
  <si>
    <t xml:space="preserve">3. Net asset value per share</t>
  </si>
  <si>
    <t xml:space="preserve">one cap rate on forward NOI</t>
  </si>
  <si>
    <t xml:space="preserve">4. Transaction cap rate</t>
  </si>
  <si>
    <t xml:space="preserve">the comparable set</t>
  </si>
  <si>
    <t xml:space="preserve">Cost of equity = 1 ÷ 2</t>
  </si>
  <si>
    <t xml:space="preserve">one division</t>
  </si>
  <si>
    <t xml:space="preserve">Accretion = 4 − that</t>
  </si>
  <si>
    <t xml:space="preserve">one subtraction</t>
  </si>
  <si>
    <t xml:space="preserve">Discount = 1 − 2 ÷ 3</t>
  </si>
  <si>
    <t xml:space="preserve">one more division</t>
  </si>
  <si>
    <t xml:space="preserve">"Placing the company: four numbers, two divisions, one subtraction. THE CLAIM HOLDS."</t>
  </si>
  <si>
    <t xml:space="preserve">WHAT DOES NOT FIT IN TEN MINUTES</t>
  </si>
  <si>
    <t xml:space="preserve">The direction over three years needs the re-rating rule — how far the market closes the discount for a point of growth. The chapter never gives it, and without it sheet 4 cannot compute a single year. Ten minutes buys the position on the loop. It does not buy the trajectory.</t>
  </si>
  <si>
    <t xml:space="preserve">HOW MUCH THE ANSWER DEPENDS ON THAT MISSING RULE</t>
  </si>
  <si>
    <t xml:space="preserve">Points of discount closed per 1pp of excess growth</t>
  </si>
  <si>
    <t xml:space="preserve">An approximation held over three years at a constant growth gap, to show the order of magnitude. The exact iteration is on sheet 4.</t>
  </si>
  <si>
    <t xml:space="preserve">Controls</t>
  </si>
  <si>
    <t xml:space="preserve">Each row is a formula that tests something the book asserts, or something the model must satisfy. They write PASS or FAIL on their own. Change an amber cell: if a row flips, it is telling you something true.</t>
  </si>
  <si>
    <t xml:space="preserve">#</t>
  </si>
  <si>
    <t xml:space="preserve">What is tested</t>
  </si>
  <si>
    <t xml:space="preserve">Result</t>
  </si>
  <si>
    <t xml:space="preserve">Cost of equity at $34.50 reproduces the book's 6.14 percent</t>
  </si>
  <si>
    <t xml:space="preserve">Cost of equity at NAV reproduces the book's 4.93 percent</t>
  </si>
  <si>
    <t xml:space="preserve">Cost of equity at $50.00 reproduces the book's 4.23 percent</t>
  </si>
  <si>
    <t xml:space="preserve">Accretion at $34.50 reproduces the book's −89 basis points</t>
  </si>
  <si>
    <t xml:space="preserve">Accretion at NAV reproduces the book's +32 basis points</t>
  </si>
  <si>
    <t xml:space="preserve">Accretion at $50.00 reproduces the book's +102 basis points</t>
  </si>
  <si>
    <t xml:space="preserve">All three lines match the printed table</t>
  </si>
  <si>
    <t xml:space="preserve">The discount at $34.50 is the book's 19.7 percent</t>
  </si>
  <si>
    <t xml:space="preserve">AT NET ASSET VALUE THE BOOK'S OWN TABLE IS ALREADY ACCRETIVE</t>
  </si>
  <si>
    <t xml:space="preserve">The break-even price is below net asset value</t>
  </si>
  <si>
    <t xml:space="preserve">All-equity break-even sits at a discount of 5 to 8 percent</t>
  </si>
  <si>
    <t xml:space="preserve">Blended break-even sits at a deeper discount still</t>
  </si>
  <si>
    <t xml:space="preserve">The band where “cannot” is false is worth more than $500m</t>
  </si>
  <si>
    <t xml:space="preserve">Capitalised overhead reproduces the book's 800</t>
  </si>
  <si>
    <t xml:space="preserve">Capitalised overhead reproduces the book's $4.44 per share</t>
  </si>
  <si>
    <t xml:space="preserve">Capitalised overhead reproduces the book's 10.3 percent of NAV</t>
  </si>
  <si>
    <t xml:space="preserve">Capitalised overhead alone is the same order as the NAV-to-frontier gap</t>
  </si>
  <si>
    <t xml:space="preserve">The chapter's printed test and prescribed test differ by more than 25 bps</t>
  </si>
  <si>
    <t xml:space="preserve">Accretion improves monotonically as the discount narrows</t>
  </si>
  <si>
    <t xml:space="preserve">Somewhere in the band, the prescribed test says yes and the printed test says no</t>
  </si>
  <si>
    <t xml:space="preserve">Downward loop: the discount widens every year</t>
  </si>
  <si>
    <t xml:space="preserve">Downward loop: the cost of equity rises every year</t>
  </si>
  <si>
    <t xml:space="preserve">Downward loop: accretion gets worse every year — self-reinforcing</t>
  </si>
  <si>
    <t xml:space="preserve">Upward loop: accretion improves every year</t>
  </si>
  <si>
    <t xml:space="preserve">Downward three-year move is a loss</t>
  </si>
  <si>
    <t xml:space="preserve">Upward three-year move is a gain</t>
  </si>
  <si>
    <t xml:space="preserve">THE TWO LOOPS ARE NOT THE SAME SIZE</t>
  </si>
  <si>
    <t xml:space="preserve">The downward loop is more than four times the upward one</t>
  </si>
  <si>
    <t xml:space="preserve">Sell-and-repurchase raises net asset value per share</t>
  </si>
  <si>
    <t xml:space="preserve">Sell-and-repurchase raises AFFO per share too</t>
  </si>
  <si>
    <t xml:space="preserve">SELL-AND-REPAY-DEBT COSTS AFFO PER SHARE</t>
  </si>
  <si>
    <t xml:space="preserve">Sell-and-repay-debt does lower leverage</t>
  </si>
  <si>
    <t xml:space="preserve">Selling the company beats doing nothing</t>
  </si>
  <si>
    <t xml:space="preserve">Repurchasing beats doing nothing on value per share</t>
  </si>
  <si>
    <t xml:space="preserve">The debt-funded step on its own is accretive</t>
  </si>
  <si>
    <t xml:space="preserve">The debt-funded step does raise leverage</t>
  </si>
  <si>
    <t xml:space="preserve">THE PAIR OF STEPS DESTROYS VALUE PER SHARE — the book's claim</t>
  </si>
  <si>
    <t xml:space="preserve">The equity issue dilutes by more than five percent</t>
  </si>
  <si>
    <t xml:space="preserve">Placing a company on the loop needs only the four listed numbers</t>
  </si>
  <si>
    <t xml:space="preserve">The ten-minute cost of equity matches sheet 2</t>
  </si>
  <si>
    <t xml:space="preserve">The three-year direction moves with the missing re-rating rule</t>
  </si>
  <si>
    <t xml:space="preserve">Every figure the book prints is reproduced somewhere above</t>
  </si>
  <si>
    <t xml:space="preserve">The upward loop starts at the input price</t>
  </si>
  <si>
    <t xml:space="preserve">Upward year one: AFFO growth = same-store + the input share of accretion</t>
  </si>
  <si>
    <t xml:space="preserve">The downward three-year move reproduces Appendix F's −24.2 percent</t>
  </si>
  <si>
    <t xml:space="preserve">The upward three-year move reproduces Appendix F's +4.1 percent</t>
  </si>
  <si>
    <t xml:space="preserve">All controls: 38 read PASS and the eight findings read as they should</t>
  </si>
  <si>
    <t xml:space="preserve">46 controls.</t>
  </si>
  <si>
    <t xml:space="preserve">Eight of them do not say PASS. They name a finding: accretive at net asset value, the frontier below NAV, the band where the prescribed test disagrees with the printed one, both loops self-reinforcing but not equally, sell-and-repay-debt dilutive, and the book being right about the two-step sequence. Those are results, not faults.</t>
  </si>
</sst>
</file>

<file path=xl/styles.xml><?xml version="1.0" encoding="utf-8"?>
<styleSheet xmlns="http://schemas.openxmlformats.org/spreadsheetml/2006/main">
  <numFmts count="12">
    <numFmt numFmtId="164" formatCode="General"/>
    <numFmt numFmtId="165" formatCode="#,##0.000"/>
    <numFmt numFmtId="166" formatCode="#,##0.00"/>
    <numFmt numFmtId="167" formatCode="0.00%"/>
    <numFmt numFmtId="168" formatCode="#,##0.0"/>
    <numFmt numFmtId="169" formatCode="0.0%"/>
    <numFmt numFmtId="170" formatCode="0%"/>
    <numFmt numFmtId="171" formatCode="#,##0"/>
    <numFmt numFmtId="172" formatCode="0.00"/>
    <numFmt numFmtId="173" formatCode="\$#,##0.00"/>
    <numFmt numFmtId="174" formatCode="\+0&quot; bps&quot;;\-0&quot; bps&quot;"/>
    <numFmt numFmtId="175" formatCode="0.00\x"/>
  </numFmts>
  <fonts count="9">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i val="true"/>
      <sz val="9"/>
      <color rgb="FF666666"/>
      <name val="Cambria"/>
      <family val="0"/>
      <charset val="1"/>
    </font>
    <font>
      <b val="true"/>
      <sz val="11"/>
      <name val="Cambria"/>
      <family val="0"/>
      <charset val="1"/>
    </font>
    <font>
      <b val="true"/>
      <sz val="11"/>
      <color rgb="FFFFFFFF"/>
      <name val="Cambria"/>
      <family val="0"/>
      <charset val="1"/>
    </font>
    <font>
      <b val="true"/>
      <sz val="11"/>
      <color theme="1"/>
      <name val="Calibri"/>
      <family val="0"/>
      <charset val="1"/>
    </font>
  </fonts>
  <fills count="6">
    <fill>
      <patternFill patternType="none"/>
    </fill>
    <fill>
      <patternFill patternType="gray125"/>
    </fill>
    <fill>
      <patternFill patternType="solid">
        <fgColor rgb="FFEDEDED"/>
        <bgColor rgb="FFE2EFDA"/>
      </patternFill>
    </fill>
    <fill>
      <patternFill patternType="solid">
        <fgColor rgb="FFFFF2CC"/>
        <bgColor rgb="FFEDEDED"/>
      </patternFill>
    </fill>
    <fill>
      <patternFill patternType="solid">
        <fgColor rgb="FF1B1F27"/>
        <bgColor rgb="FF333300"/>
      </patternFill>
    </fill>
    <fill>
      <patternFill patternType="solid">
        <fgColor rgb="FFE2EFDA"/>
        <bgColor rgb="FFEDEDED"/>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9" fontId="0" fillId="3" borderId="1" xfId="0" applyFont="false" applyBorder="true" applyAlignment="false" applyProtection="false">
      <alignment horizontal="general" vertical="bottom" textRotation="0" wrapText="false" indent="0" shrinkToFit="false"/>
      <protection locked="true" hidden="false"/>
    </xf>
    <xf numFmtId="170" fontId="0" fillId="3" borderId="1" xfId="0" applyFont="false" applyBorder="true" applyAlignment="false" applyProtection="false">
      <alignment horizontal="general" vertical="bottom" textRotation="0" wrapText="false" indent="0" shrinkToFit="false"/>
      <protection locked="true" hidden="false"/>
    </xf>
    <xf numFmtId="171" fontId="0" fillId="3" borderId="1" xfId="0" applyFont="false" applyBorder="true" applyAlignment="false" applyProtection="false">
      <alignment horizontal="general" vertical="bottom" textRotation="0" wrapText="false" indent="0" shrinkToFit="false"/>
      <protection locked="true" hidden="false"/>
    </xf>
    <xf numFmtId="172" fontId="0" fillId="3" borderId="1" xfId="0" applyFont="false" applyBorder="tru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center" vertical="bottom" textRotation="0" wrapText="true" indent="0" shrinkToFit="false"/>
      <protection locked="true" hidden="false"/>
    </xf>
    <xf numFmtId="173" fontId="0" fillId="3" borderId="1" xfId="0" applyFont="false" applyBorder="true" applyAlignment="false" applyProtection="false">
      <alignment horizontal="general" vertical="bottom" textRotation="0" wrapText="false" indent="0" shrinkToFit="false"/>
      <protection locked="true" hidden="false"/>
    </xf>
    <xf numFmtId="169" fontId="0" fillId="5" borderId="0" xfId="0" applyFont="false" applyBorder="false" applyAlignment="false" applyProtection="false">
      <alignment horizontal="general" vertical="bottom" textRotation="0" wrapText="false" indent="0" shrinkToFit="false"/>
      <protection locked="true" hidden="false"/>
    </xf>
    <xf numFmtId="167" fontId="0" fillId="5" borderId="0" xfId="0" applyFont="false" applyBorder="false" applyAlignment="false" applyProtection="false">
      <alignment horizontal="general" vertical="bottom" textRotation="0" wrapText="false" indent="0" shrinkToFit="false"/>
      <protection locked="true" hidden="false"/>
    </xf>
    <xf numFmtId="174" fontId="6" fillId="5" borderId="0" xfId="0" applyFont="true" applyBorder="false" applyAlignment="false" applyProtection="false">
      <alignment horizontal="general" vertical="bottom" textRotation="0" wrapText="false" indent="0" shrinkToFit="false"/>
      <protection locked="true" hidden="false"/>
    </xf>
    <xf numFmtId="174" fontId="0" fillId="3"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6" fillId="5" borderId="0" xfId="0" applyFont="true" applyBorder="false" applyAlignment="false" applyProtection="false">
      <alignment horizontal="general" vertical="bottom" textRotation="0" wrapText="false" indent="0" shrinkToFit="false"/>
      <protection locked="true" hidden="false"/>
    </xf>
    <xf numFmtId="173" fontId="6" fillId="5" borderId="0" xfId="0" applyFont="true" applyBorder="false" applyAlignment="false" applyProtection="false">
      <alignment horizontal="general" vertical="bottom" textRotation="0" wrapText="false" indent="0" shrinkToFit="false"/>
      <protection locked="true" hidden="false"/>
    </xf>
    <xf numFmtId="169" fontId="6" fillId="5" borderId="0" xfId="0" applyFont="true" applyBorder="false" applyAlignment="false" applyProtection="false">
      <alignment horizontal="general" vertical="bottom" textRotation="0" wrapText="false" indent="0" shrinkToFit="false"/>
      <protection locked="true" hidden="false"/>
    </xf>
    <xf numFmtId="171" fontId="6" fillId="5" borderId="0" xfId="0" applyFont="true" applyBorder="false" applyAlignment="false" applyProtection="false">
      <alignment horizontal="general" vertical="bottom" textRotation="0" wrapText="false" indent="0" shrinkToFit="false"/>
      <protection locked="true" hidden="false"/>
    </xf>
    <xf numFmtId="168" fontId="6" fillId="5" borderId="0" xfId="0" applyFont="true" applyBorder="false" applyAlignment="false" applyProtection="false">
      <alignment horizontal="general" vertical="bottom" textRotation="0" wrapText="false" indent="0" shrinkToFit="false"/>
      <protection locked="true" hidden="false"/>
    </xf>
    <xf numFmtId="170" fontId="0" fillId="5" borderId="0" xfId="0" applyFont="false" applyBorder="false" applyAlignment="false" applyProtection="false">
      <alignment horizontal="general" vertical="bottom" textRotation="0" wrapText="false" indent="0" shrinkToFit="false"/>
      <protection locked="true" hidden="false"/>
    </xf>
    <xf numFmtId="173" fontId="0" fillId="5" borderId="0" xfId="0" applyFont="false" applyBorder="false" applyAlignment="false" applyProtection="false">
      <alignment horizontal="general" vertical="bottom" textRotation="0" wrapText="false" indent="0" shrinkToFit="false"/>
      <protection locked="true" hidden="false"/>
    </xf>
    <xf numFmtId="174" fontId="0" fillId="5"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71" fontId="0" fillId="5" borderId="0" xfId="0" applyFont="false" applyBorder="false" applyAlignment="false" applyProtection="false">
      <alignment horizontal="general" vertical="bottom" textRotation="0" wrapText="false" indent="0" shrinkToFit="false"/>
      <protection locked="true" hidden="false"/>
    </xf>
    <xf numFmtId="175" fontId="6" fillId="5" borderId="0" xfId="0" applyFont="true" applyBorder="false" applyAlignment="false" applyProtection="false">
      <alignment horizontal="general" vertical="bottom" textRotation="0" wrapText="false" indent="0" shrinkToFit="false"/>
      <protection locked="true" hidden="false"/>
    </xf>
    <xf numFmtId="164" fontId="6" fillId="5" borderId="0" xfId="0" applyFont="true" applyBorder="true" applyAlignment="false" applyProtection="false">
      <alignment horizontal="general" vertical="bottom" textRotation="0" wrapText="false" indent="0" shrinkToFit="false"/>
      <protection locked="true" hidden="false"/>
    </xf>
    <xf numFmtId="166" fontId="6" fillId="5" borderId="0" xfId="0" applyFont="true" applyBorder="false" applyAlignment="false" applyProtection="false">
      <alignment horizontal="general" vertical="bottom" textRotation="0" wrapText="false" indent="0" shrinkToFit="false"/>
      <protection locked="true" hidden="false"/>
    </xf>
    <xf numFmtId="165" fontId="6" fillId="5" borderId="0" xfId="0" applyFont="true" applyBorder="false" applyAlignment="false" applyProtection="false">
      <alignment horizontal="general" vertical="bottom" textRotation="0" wrapText="false" indent="0" shrinkToFit="false"/>
      <protection locked="true" hidden="false"/>
    </xf>
    <xf numFmtId="168" fontId="0" fillId="5"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2CC"/>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1B1F2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3"/>
    <col collapsed="false" customWidth="true" hidden="false" outlineLevel="0" max="4" min="4" style="0" width="74"/>
  </cols>
  <sheetData>
    <row r="1" customFormat="false" ht="16.15" hidden="false" customHeight="false" outlineLevel="0" collapsed="false">
      <c r="A1" s="1" t="s">
        <v>0</v>
      </c>
    </row>
    <row r="2" customFormat="false" ht="55.5" hidden="false" customHeight="true" outlineLevel="0" collapsed="false">
      <c r="A2" s="2" t="s">
        <v>1</v>
      </c>
    </row>
    <row r="4" customFormat="false" ht="15" hidden="false" customHeight="false" outlineLevel="0" collapsed="false">
      <c r="A4" s="3" t="s">
        <v>2</v>
      </c>
      <c r="B4" s="4"/>
      <c r="C4" s="4"/>
      <c r="D4" s="4"/>
    </row>
    <row r="5" customFormat="false" ht="15" hidden="false" customHeight="false" outlineLevel="0" collapsed="false">
      <c r="A5" s="0" t="s">
        <v>3</v>
      </c>
      <c r="B5" s="5" t="n">
        <v>2.117</v>
      </c>
      <c r="D5" s="6" t="s">
        <v>4</v>
      </c>
    </row>
    <row r="6" customFormat="false" ht="15" hidden="false" customHeight="false" outlineLevel="0" collapsed="false">
      <c r="A6" s="0" t="s">
        <v>5</v>
      </c>
      <c r="B6" s="5" t="n">
        <v>2.878</v>
      </c>
      <c r="D6" s="6" t="s">
        <v>6</v>
      </c>
    </row>
    <row r="7" customFormat="false" ht="15" hidden="false" customHeight="false" outlineLevel="0" collapsed="false">
      <c r="A7" s="0" t="s">
        <v>7</v>
      </c>
      <c r="B7" s="7" t="n">
        <v>42.97</v>
      </c>
      <c r="D7" s="6" t="s">
        <v>8</v>
      </c>
    </row>
    <row r="8" customFormat="false" ht="15" hidden="false" customHeight="false" outlineLevel="0" collapsed="false">
      <c r="A8" s="0" t="s">
        <v>9</v>
      </c>
      <c r="B8" s="7" t="n">
        <v>34.5</v>
      </c>
      <c r="D8" s="6" t="s">
        <v>10</v>
      </c>
    </row>
    <row r="9" customFormat="false" ht="15" hidden="false" customHeight="false" outlineLevel="0" collapsed="false">
      <c r="A9" s="0" t="s">
        <v>11</v>
      </c>
      <c r="B9" s="8" t="n">
        <v>0.0525</v>
      </c>
      <c r="D9" s="6" t="s">
        <v>12</v>
      </c>
    </row>
    <row r="10" customFormat="false" ht="15" hidden="false" customHeight="false" outlineLevel="0" collapsed="false">
      <c r="A10" s="0" t="s">
        <v>13</v>
      </c>
      <c r="B10" s="8" t="n">
        <v>0.0621</v>
      </c>
      <c r="D10" s="6" t="s">
        <v>14</v>
      </c>
    </row>
    <row r="11" customFormat="false" ht="15" hidden="false" customHeight="false" outlineLevel="0" collapsed="false">
      <c r="A11" s="0" t="s">
        <v>15</v>
      </c>
      <c r="B11" s="9" t="n">
        <v>180</v>
      </c>
      <c r="D11" s="6" t="s">
        <v>16</v>
      </c>
    </row>
    <row r="12" customFormat="false" ht="15" hidden="false" customHeight="false" outlineLevel="0" collapsed="false">
      <c r="A12" s="0" t="s">
        <v>17</v>
      </c>
      <c r="B12" s="7" t="n">
        <v>1.72</v>
      </c>
      <c r="D12" s="6" t="s">
        <v>18</v>
      </c>
    </row>
    <row r="13" customFormat="false" ht="15" hidden="false" customHeight="false" outlineLevel="0" collapsed="false">
      <c r="A13" s="0" t="s">
        <v>19</v>
      </c>
      <c r="B13" s="10" t="n">
        <v>0.054</v>
      </c>
      <c r="D13" s="6" t="s">
        <v>20</v>
      </c>
    </row>
    <row r="14" customFormat="false" ht="15" hidden="false" customHeight="false" outlineLevel="0" collapsed="false">
      <c r="A14" s="0" t="s">
        <v>21</v>
      </c>
      <c r="B14" s="9" t="n">
        <v>520</v>
      </c>
      <c r="D14" s="6" t="s">
        <v>22</v>
      </c>
    </row>
    <row r="15" customFormat="false" ht="15" hidden="false" customHeight="false" outlineLevel="0" collapsed="false">
      <c r="A15" s="0" t="s">
        <v>23</v>
      </c>
      <c r="B15" s="9" t="n">
        <v>42</v>
      </c>
      <c r="D15" s="6" t="s">
        <v>22</v>
      </c>
    </row>
    <row r="16" customFormat="false" ht="15" hidden="false" customHeight="false" outlineLevel="0" collapsed="false">
      <c r="A16" s="0" t="s">
        <v>24</v>
      </c>
      <c r="B16" s="9" t="n">
        <v>2340</v>
      </c>
      <c r="D16" s="6" t="s">
        <v>25</v>
      </c>
    </row>
    <row r="17" customFormat="false" ht="15" hidden="false" customHeight="false" outlineLevel="0" collapsed="false">
      <c r="A17" s="0" t="s">
        <v>26</v>
      </c>
      <c r="B17" s="9" t="n">
        <v>492</v>
      </c>
      <c r="D17" s="6" t="s">
        <v>25</v>
      </c>
    </row>
    <row r="18" customFormat="false" ht="15" hidden="false" customHeight="false" outlineLevel="0" collapsed="false">
      <c r="A18" s="0" t="s">
        <v>27</v>
      </c>
      <c r="B18" s="8" t="n">
        <v>0.045</v>
      </c>
      <c r="D18" s="6" t="s">
        <v>28</v>
      </c>
    </row>
    <row r="20" customFormat="false" ht="15" hidden="false" customHeight="false" outlineLevel="0" collapsed="false">
      <c r="A20" s="3" t="s">
        <v>29</v>
      </c>
      <c r="B20" s="4"/>
      <c r="C20" s="4"/>
      <c r="D20" s="4"/>
    </row>
    <row r="21" customFormat="false" ht="15" hidden="false" customHeight="false" outlineLevel="0" collapsed="false">
      <c r="A21" s="0" t="s">
        <v>30</v>
      </c>
      <c r="B21" s="11" t="n">
        <v>0.3</v>
      </c>
      <c r="D21" s="6" t="s">
        <v>31</v>
      </c>
    </row>
    <row r="22" customFormat="false" ht="15" hidden="false" customHeight="false" outlineLevel="0" collapsed="false">
      <c r="A22" s="0" t="s">
        <v>32</v>
      </c>
      <c r="B22" s="9" t="n">
        <v>3</v>
      </c>
      <c r="D22" s="6" t="s">
        <v>33</v>
      </c>
    </row>
    <row r="23" customFormat="false" ht="15" hidden="false" customHeight="false" outlineLevel="0" collapsed="false">
      <c r="A23" s="0" t="s">
        <v>34</v>
      </c>
      <c r="B23" s="7" t="n">
        <v>0.6</v>
      </c>
      <c r="D23" s="6" t="s">
        <v>35</v>
      </c>
    </row>
    <row r="24" customFormat="false" ht="15" hidden="false" customHeight="false" outlineLevel="0" collapsed="false">
      <c r="A24" s="0" t="s">
        <v>36</v>
      </c>
      <c r="B24" s="12" t="n">
        <v>500</v>
      </c>
      <c r="D24" s="6" t="s">
        <v>37</v>
      </c>
    </row>
    <row r="25" customFormat="false" ht="15" hidden="false" customHeight="false" outlineLevel="0" collapsed="false">
      <c r="A25" s="0" t="s">
        <v>38</v>
      </c>
      <c r="B25" s="12" t="n">
        <v>800</v>
      </c>
      <c r="D25" s="6" t="s">
        <v>39</v>
      </c>
    </row>
    <row r="26" customFormat="false" ht="15" hidden="false" customHeight="false" outlineLevel="0" collapsed="false">
      <c r="A26" s="0" t="s">
        <v>40</v>
      </c>
      <c r="B26" s="11" t="n">
        <v>0.1</v>
      </c>
      <c r="D26" s="6" t="s">
        <v>41</v>
      </c>
    </row>
    <row r="27" customFormat="false" ht="15" hidden="false" customHeight="false" outlineLevel="0" collapsed="false">
      <c r="A27" s="0" t="s">
        <v>42</v>
      </c>
      <c r="B27" s="13" t="n">
        <v>50</v>
      </c>
      <c r="D27" s="6" t="s">
        <v>43</v>
      </c>
    </row>
    <row r="28" customFormat="false" ht="15" hidden="false" customHeight="false" outlineLevel="0" collapsed="false">
      <c r="A28" s="0" t="s">
        <v>44</v>
      </c>
      <c r="B28" s="13" t="n">
        <v>0.5</v>
      </c>
      <c r="D28" s="6" t="s">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5" min="3" style="0" width="16"/>
    <col collapsed="false" customWidth="true" hidden="false" outlineLevel="0" max="6" min="6" style="0" width="3"/>
    <col collapsed="false" customWidth="true" hidden="false" outlineLevel="0" max="7" min="7" style="0" width="52"/>
  </cols>
  <sheetData>
    <row r="1" customFormat="false" ht="16.15" hidden="false" customHeight="false" outlineLevel="0" collapsed="false">
      <c r="A1" s="1" t="s">
        <v>46</v>
      </c>
    </row>
    <row r="2" customFormat="false" ht="55.5" hidden="false" customHeight="true" outlineLevel="0" collapsed="false">
      <c r="A2" s="2" t="s">
        <v>47</v>
      </c>
    </row>
    <row r="4" customFormat="false" ht="30" hidden="false" customHeight="true" outlineLevel="0" collapsed="false">
      <c r="A4" s="14" t="s">
        <v>48</v>
      </c>
      <c r="B4" s="14" t="s">
        <v>49</v>
      </c>
      <c r="C4" s="14" t="s">
        <v>50</v>
      </c>
      <c r="D4" s="14" t="s">
        <v>51</v>
      </c>
      <c r="E4" s="14" t="s">
        <v>52</v>
      </c>
    </row>
    <row r="5" customFormat="false" ht="15" hidden="false" customHeight="false" outlineLevel="0" collapsed="false">
      <c r="A5" s="15" t="n">
        <f aca="false">'1 Inputs'!$B$8</f>
        <v>34.5</v>
      </c>
      <c r="B5" s="16" t="n">
        <f aca="false">1-A5/'1 Inputs'!$B$7</f>
        <v>0.197114265766814</v>
      </c>
      <c r="C5" s="17" t="n">
        <f aca="false">'1 Inputs'!$B$5/A5</f>
        <v>0.0613623188405797</v>
      </c>
      <c r="D5" s="18" t="n">
        <f aca="false">('1 Inputs'!$B$9-C5)*10000</f>
        <v>-88.6231884057971</v>
      </c>
      <c r="E5" s="19" t="n">
        <v>-89</v>
      </c>
    </row>
    <row r="6" customFormat="false" ht="15" hidden="false" customHeight="false" outlineLevel="0" collapsed="false">
      <c r="A6" s="15" t="n">
        <f aca="false">'1 Inputs'!$B$7</f>
        <v>42.97</v>
      </c>
      <c r="B6" s="16" t="n">
        <f aca="false">1-A6/'1 Inputs'!$B$7</f>
        <v>0</v>
      </c>
      <c r="C6" s="17" t="n">
        <f aca="false">'1 Inputs'!$B$5/A6</f>
        <v>0.0492669304165697</v>
      </c>
      <c r="D6" s="18" t="n">
        <f aca="false">('1 Inputs'!$B$9-C6)*10000</f>
        <v>32.330695834303</v>
      </c>
      <c r="E6" s="19" t="n">
        <v>32</v>
      </c>
    </row>
    <row r="7" customFormat="false" ht="15" hidden="false" customHeight="false" outlineLevel="0" collapsed="false">
      <c r="A7" s="15" t="n">
        <f aca="false">'1 Inputs'!$B$27</f>
        <v>50</v>
      </c>
      <c r="B7" s="16" t="n">
        <f aca="false">1-A7/'1 Inputs'!$B$7</f>
        <v>-0.163602513381429</v>
      </c>
      <c r="C7" s="17" t="n">
        <f aca="false">'1 Inputs'!$B$5/A7</f>
        <v>0.04234</v>
      </c>
      <c r="D7" s="18" t="n">
        <f aca="false">('1 Inputs'!$B$9-C7)*10000</f>
        <v>101.6</v>
      </c>
      <c r="E7" s="19" t="n">
        <v>102</v>
      </c>
    </row>
    <row r="9" customFormat="false" ht="15" hidden="false" customHeight="false" outlineLevel="0" collapsed="false">
      <c r="A9" s="6" t="s">
        <v>53</v>
      </c>
    </row>
    <row r="11" customFormat="false" ht="15" hidden="false" customHeight="false" outlineLevel="0" collapsed="false">
      <c r="A11" s="3" t="s">
        <v>54</v>
      </c>
      <c r="B11" s="4"/>
      <c r="C11" s="4"/>
      <c r="D11" s="4"/>
      <c r="E11" s="4"/>
      <c r="F11" s="4"/>
      <c r="G11" s="4"/>
    </row>
    <row r="12" customFormat="false" ht="15" hidden="false" customHeight="false" outlineLevel="0" collapsed="false">
      <c r="A12" s="20" t="s">
        <v>55</v>
      </c>
      <c r="B12" s="21" t="n">
        <f aca="false">'1 Inputs'!$B$21*'1 Inputs'!$B$18+(1-'1 Inputs'!$B$21)*'1 Inputs'!$B$5/'1 Inputs'!$B$8</f>
        <v>0.0564536231884058</v>
      </c>
    </row>
    <row r="13" customFormat="false" ht="15" hidden="false" customHeight="false" outlineLevel="0" collapsed="false">
      <c r="A13" s="20" t="s">
        <v>56</v>
      </c>
      <c r="B13" s="18" t="n">
        <f aca="false">('1 Inputs'!$B$9-B12)*10000</f>
        <v>-39.5362318840579</v>
      </c>
    </row>
    <row r="14" customFormat="false" ht="15" hidden="false" customHeight="false" outlineLevel="0" collapsed="false">
      <c r="A14" s="20" t="s">
        <v>57</v>
      </c>
      <c r="B14" s="18" t="n">
        <f aca="false">('1 Inputs'!$B$9-'1 Inputs'!$B$5/'1 Inputs'!$B$8)*10000</f>
        <v>-88.6231884057971</v>
      </c>
    </row>
    <row r="15" customFormat="false" ht="15" hidden="false" customHeight="false" outlineLevel="0" collapsed="false">
      <c r="A15" s="20" t="s">
        <v>58</v>
      </c>
      <c r="B15" s="18" t="n">
        <f aca="false">B13-B14</f>
        <v>49.0869565217392</v>
      </c>
      <c r="G15" s="6" t="s">
        <v>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3"/>
    <col collapsed="false" customWidth="true" hidden="false" outlineLevel="0" max="4" min="4" style="0" width="66"/>
  </cols>
  <sheetData>
    <row r="1" customFormat="false" ht="16.15" hidden="false" customHeight="false" outlineLevel="0" collapsed="false">
      <c r="A1" s="1" t="s">
        <v>60</v>
      </c>
    </row>
    <row r="2" customFormat="false" ht="55.5" hidden="false" customHeight="true" outlineLevel="0" collapsed="false">
      <c r="A2" s="2" t="s">
        <v>61</v>
      </c>
    </row>
    <row r="4" customFormat="false" ht="15" hidden="false" customHeight="false" outlineLevel="0" collapsed="false">
      <c r="A4" s="3" t="s">
        <v>62</v>
      </c>
      <c r="B4" s="4"/>
      <c r="C4" s="4"/>
      <c r="D4" s="4"/>
    </row>
    <row r="5" customFormat="false" ht="15" hidden="false" customHeight="false" outlineLevel="0" collapsed="false">
      <c r="A5" s="20" t="s">
        <v>63</v>
      </c>
      <c r="B5" s="22" t="n">
        <f aca="false">'1 Inputs'!$B$5/'1 Inputs'!$B$9</f>
        <v>40.3238095238095</v>
      </c>
      <c r="D5" s="6" t="s">
        <v>64</v>
      </c>
    </row>
    <row r="6" customFormat="false" ht="15" hidden="false" customHeight="false" outlineLevel="0" collapsed="false">
      <c r="A6" s="20" t="s">
        <v>65</v>
      </c>
      <c r="B6" s="23" t="n">
        <f aca="false">1-B5/'1 Inputs'!$B$7</f>
        <v>0.0615822777796248</v>
      </c>
      <c r="D6" s="6" t="s">
        <v>66</v>
      </c>
    </row>
    <row r="7" customFormat="false" ht="15" hidden="false" customHeight="false" outlineLevel="0" collapsed="false">
      <c r="A7" s="20" t="s">
        <v>67</v>
      </c>
      <c r="B7" s="22" t="n">
        <f aca="false">'1 Inputs'!$B$5*(1-'1 Inputs'!$B$21)/('1 Inputs'!$B$9-'1 Inputs'!$B$21*'1 Inputs'!$B$18)</f>
        <v>37.9974358974359</v>
      </c>
      <c r="D7" s="6"/>
    </row>
    <row r="8" customFormat="false" ht="15" hidden="false" customHeight="false" outlineLevel="0" collapsed="false">
      <c r="A8" s="20" t="s">
        <v>65</v>
      </c>
      <c r="B8" s="23" t="n">
        <f aca="false">1-B7/'1 Inputs'!$B$7</f>
        <v>0.115721761753877</v>
      </c>
      <c r="D8" s="6"/>
    </row>
    <row r="9" customFormat="false" ht="15" hidden="false" customHeight="false" outlineLevel="0" collapsed="false">
      <c r="A9" s="20" t="s">
        <v>68</v>
      </c>
      <c r="B9" s="22" t="n">
        <f aca="false">'1 Inputs'!$B$7-B7</f>
        <v>4.9725641025641</v>
      </c>
      <c r="D9" s="6"/>
    </row>
    <row r="10" customFormat="false" ht="15" hidden="false" customHeight="false" outlineLevel="0" collapsed="false">
      <c r="A10" s="20" t="s">
        <v>69</v>
      </c>
      <c r="B10" s="24" t="n">
        <f aca="false">B9*'1 Inputs'!$B$11</f>
        <v>895.061538461538</v>
      </c>
      <c r="D10" s="6" t="s">
        <v>70</v>
      </c>
    </row>
    <row r="12" customFormat="false" ht="15" hidden="false" customHeight="false" outlineLevel="0" collapsed="false">
      <c r="A12" s="3" t="s">
        <v>71</v>
      </c>
      <c r="B12" s="4"/>
      <c r="C12" s="4"/>
      <c r="D12" s="4"/>
    </row>
    <row r="13" customFormat="false" ht="15" hidden="false" customHeight="false" outlineLevel="0" collapsed="false">
      <c r="A13" s="20" t="s">
        <v>23</v>
      </c>
      <c r="B13" s="25" t="n">
        <f aca="false">'1 Inputs'!$B$15</f>
        <v>42</v>
      </c>
      <c r="D13" s="6" t="s">
        <v>22</v>
      </c>
    </row>
    <row r="14" customFormat="false" ht="15" hidden="false" customHeight="false" outlineLevel="0" collapsed="false">
      <c r="A14" s="20" t="s">
        <v>72</v>
      </c>
      <c r="B14" s="24" t="n">
        <f aca="false">B13/'1 Inputs'!$B$9</f>
        <v>800</v>
      </c>
      <c r="D14" s="6" t="s">
        <v>73</v>
      </c>
    </row>
    <row r="15" customFormat="false" ht="15" hidden="false" customHeight="false" outlineLevel="0" collapsed="false">
      <c r="A15" s="20" t="s">
        <v>74</v>
      </c>
      <c r="B15" s="22" t="n">
        <f aca="false">B14/'1 Inputs'!$B$11</f>
        <v>4.44444444444445</v>
      </c>
      <c r="D15" s="6" t="s">
        <v>75</v>
      </c>
    </row>
    <row r="16" customFormat="false" ht="15" hidden="false" customHeight="false" outlineLevel="0" collapsed="false">
      <c r="A16" s="20" t="s">
        <v>76</v>
      </c>
      <c r="B16" s="23" t="n">
        <f aca="false">B14/('1 Inputs'!$B$7*'1 Inputs'!$B$11)</f>
        <v>0.103431334522794</v>
      </c>
      <c r="D16" s="6" t="s">
        <v>77</v>
      </c>
    </row>
    <row r="18" customFormat="false" ht="15" hidden="false" customHeight="false" outlineLevel="0" collapsed="false">
      <c r="A18" s="6" t="s">
        <v>78</v>
      </c>
    </row>
    <row r="20" customFormat="false" ht="15" hidden="false" customHeight="false" outlineLevel="0" collapsed="false">
      <c r="A20" s="3" t="s">
        <v>79</v>
      </c>
      <c r="B20" s="4"/>
      <c r="C20" s="4"/>
      <c r="D20" s="4"/>
    </row>
    <row r="21" customFormat="false" ht="30" hidden="false" customHeight="true" outlineLevel="0" collapsed="false">
      <c r="A21" s="14" t="s">
        <v>49</v>
      </c>
      <c r="B21" s="14" t="s">
        <v>48</v>
      </c>
      <c r="C21" s="14" t="s">
        <v>50</v>
      </c>
      <c r="D21" s="14" t="s">
        <v>80</v>
      </c>
      <c r="E21" s="14" t="s">
        <v>81</v>
      </c>
      <c r="F21" s="14" t="s">
        <v>82</v>
      </c>
    </row>
    <row r="22" customFormat="false" ht="15" hidden="false" customHeight="false" outlineLevel="0" collapsed="false">
      <c r="A22" s="26" t="n">
        <v>0</v>
      </c>
      <c r="B22" s="27" t="n">
        <f aca="false">'1 Inputs'!$B$7*(1-A22)</f>
        <v>42.97</v>
      </c>
      <c r="C22" s="17" t="n">
        <f aca="false">'1 Inputs'!$B$5/B22</f>
        <v>0.0492669304165697</v>
      </c>
      <c r="D22" s="28" t="n">
        <f aca="false">('1 Inputs'!$B$9-C22)*10000</f>
        <v>32.330695834303</v>
      </c>
      <c r="E22" s="28" t="n">
        <f aca="false">('1 Inputs'!$B$9-('1 Inputs'!$B$21*'1 Inputs'!$B$18+(1-'1 Inputs'!$B$21)*C22))*10000</f>
        <v>45.1314870840121</v>
      </c>
      <c r="F22" s="29" t="str">
        <f aca="false">IF(E22&gt;0,IF(D22&gt;0,"yes, on either test","yes, on the prescribed test only"),"no")</f>
        <v>yes, on either test</v>
      </c>
    </row>
    <row r="23" customFormat="false" ht="15" hidden="false" customHeight="false" outlineLevel="0" collapsed="false">
      <c r="A23" s="26" t="n">
        <v>0.02</v>
      </c>
      <c r="B23" s="27" t="n">
        <f aca="false">'1 Inputs'!$B$7*(1-A23)</f>
        <v>42.1106</v>
      </c>
      <c r="C23" s="17" t="n">
        <f aca="false">'1 Inputs'!$B$5/B23</f>
        <v>0.0502723779760915</v>
      </c>
      <c r="D23" s="28" t="n">
        <f aca="false">('1 Inputs'!$B$9-C23)*10000</f>
        <v>22.2762202390846</v>
      </c>
      <c r="E23" s="28" t="n">
        <f aca="false">('1 Inputs'!$B$9-('1 Inputs'!$B$21*'1 Inputs'!$B$18+(1-'1 Inputs'!$B$21)*C23))*10000</f>
        <v>38.0933541673593</v>
      </c>
      <c r="F23" s="29" t="str">
        <f aca="false">IF(E23&gt;0,IF(D23&gt;0,"yes, on either test","yes, on the prescribed test only"),"no")</f>
        <v>yes, on either test</v>
      </c>
    </row>
    <row r="24" customFormat="false" ht="15" hidden="false" customHeight="false" outlineLevel="0" collapsed="false">
      <c r="A24" s="26" t="n">
        <v>0.04</v>
      </c>
      <c r="B24" s="27" t="n">
        <f aca="false">'1 Inputs'!$B$7*(1-A24)</f>
        <v>41.2512</v>
      </c>
      <c r="C24" s="17" t="n">
        <f aca="false">'1 Inputs'!$B$5/B24</f>
        <v>0.0513197191839268</v>
      </c>
      <c r="D24" s="28" t="n">
        <f aca="false">('1 Inputs'!$B$9-C24)*10000</f>
        <v>11.8028081607322</v>
      </c>
      <c r="E24" s="28" t="n">
        <f aca="false">('1 Inputs'!$B$9-('1 Inputs'!$B$21*'1 Inputs'!$B$18+(1-'1 Inputs'!$B$21)*C24))*10000</f>
        <v>30.7619657125126</v>
      </c>
      <c r="F24" s="29" t="str">
        <f aca="false">IF(E24&gt;0,IF(D24&gt;0,"yes, on either test","yes, on the prescribed test only"),"no")</f>
        <v>yes, on either test</v>
      </c>
    </row>
    <row r="25" customFormat="false" ht="15" hidden="false" customHeight="false" outlineLevel="0" collapsed="false">
      <c r="A25" s="26" t="n">
        <v>0.06</v>
      </c>
      <c r="B25" s="27" t="n">
        <f aca="false">'1 Inputs'!$B$7*(1-A25)</f>
        <v>40.3918</v>
      </c>
      <c r="C25" s="17" t="n">
        <f aca="false">'1 Inputs'!$B$5/B25</f>
        <v>0.0524116281027337</v>
      </c>
      <c r="D25" s="28" t="n">
        <f aca="false">('1 Inputs'!$B$9-C25)*10000</f>
        <v>0.88371897266272</v>
      </c>
      <c r="E25" s="28" t="n">
        <f aca="false">('1 Inputs'!$B$9-('1 Inputs'!$B$21*'1 Inputs'!$B$18+(1-'1 Inputs'!$B$21)*C25))*10000</f>
        <v>23.118603280864</v>
      </c>
      <c r="F25" s="29" t="str">
        <f aca="false">IF(E25&gt;0,IF(D25&gt;0,"yes, on either test","yes, on the prescribed test only"),"no")</f>
        <v>yes, on either test</v>
      </c>
    </row>
    <row r="26" customFormat="false" ht="15" hidden="false" customHeight="false" outlineLevel="0" collapsed="false">
      <c r="A26" s="26" t="n">
        <v>0.08</v>
      </c>
      <c r="B26" s="27" t="n">
        <f aca="false">'1 Inputs'!$B$7*(1-A26)</f>
        <v>39.5324</v>
      </c>
      <c r="C26" s="17" t="n">
        <f aca="false">'1 Inputs'!$B$5/B26</f>
        <v>0.0535510113223584</v>
      </c>
      <c r="D26" s="28" t="n">
        <f aca="false">('1 Inputs'!$B$9-C26)*10000</f>
        <v>-10.5101132235837</v>
      </c>
      <c r="E26" s="28" t="n">
        <f aca="false">('1 Inputs'!$B$9-('1 Inputs'!$B$21*'1 Inputs'!$B$18+(1-'1 Inputs'!$B$21)*C26))*10000</f>
        <v>15.1429207434915</v>
      </c>
      <c r="F26" s="29" t="str">
        <f aca="false">IF(E26&gt;0,IF(D26&gt;0,"yes, on either test","yes, on the prescribed test only"),"no")</f>
        <v>yes, on the prescribed test only</v>
      </c>
    </row>
    <row r="27" customFormat="false" ht="15" hidden="false" customHeight="false" outlineLevel="0" collapsed="false">
      <c r="A27" s="26" t="n">
        <v>0.1</v>
      </c>
      <c r="B27" s="27" t="n">
        <f aca="false">'1 Inputs'!$B$7*(1-A27)</f>
        <v>38.673</v>
      </c>
      <c r="C27" s="17" t="n">
        <f aca="false">'1 Inputs'!$B$5/B27</f>
        <v>0.0547410337961886</v>
      </c>
      <c r="D27" s="28" t="n">
        <f aca="false">('1 Inputs'!$B$9-C27)*10000</f>
        <v>-22.4103379618856</v>
      </c>
      <c r="E27" s="28" t="n">
        <f aca="false">('1 Inputs'!$B$9-('1 Inputs'!$B$21*'1 Inputs'!$B$18+(1-'1 Inputs'!$B$21)*C27))*10000</f>
        <v>6.81276342668014</v>
      </c>
      <c r="F27" s="29" t="str">
        <f aca="false">IF(E27&gt;0,IF(D27&gt;0,"yes, on either test","yes, on the prescribed test only"),"no")</f>
        <v>yes, on the prescribed test only</v>
      </c>
    </row>
    <row r="28" customFormat="false" ht="15" hidden="false" customHeight="false" outlineLevel="0" collapsed="false">
      <c r="A28" s="26" t="n">
        <v>0.12</v>
      </c>
      <c r="B28" s="27" t="n">
        <f aca="false">'1 Inputs'!$B$7*(1-A28)</f>
        <v>37.8136</v>
      </c>
      <c r="C28" s="17" t="n">
        <f aca="false">'1 Inputs'!$B$5/B28</f>
        <v>0.0559851482006474</v>
      </c>
      <c r="D28" s="28" t="n">
        <f aca="false">('1 Inputs'!$B$9-C28)*10000</f>
        <v>-34.8514820064739</v>
      </c>
      <c r="E28" s="28" t="n">
        <f aca="false">('1 Inputs'!$B$9-('1 Inputs'!$B$21*'1 Inputs'!$B$18+(1-'1 Inputs'!$B$21)*C28))*10000</f>
        <v>-1.89603740453168</v>
      </c>
      <c r="F28" s="29" t="str">
        <f aca="false">IF(E28&gt;0,IF(D28&gt;0,"yes, on either test","yes, on the prescribed test only"),"no")</f>
        <v>no</v>
      </c>
    </row>
    <row r="29" customFormat="false" ht="15" hidden="false" customHeight="false" outlineLevel="0" collapsed="false">
      <c r="A29" s="26" t="n">
        <v>0.14</v>
      </c>
      <c r="B29" s="27" t="n">
        <f aca="false">'1 Inputs'!$B$7*(1-A29)</f>
        <v>36.9542</v>
      </c>
      <c r="C29" s="17" t="n">
        <f aca="false">'1 Inputs'!$B$5/B29</f>
        <v>0.0572871283913601</v>
      </c>
      <c r="D29" s="28" t="n">
        <f aca="false">('1 Inputs'!$B$9-C29)*10000</f>
        <v>-47.8712839136012</v>
      </c>
      <c r="E29" s="28" t="n">
        <f aca="false">('1 Inputs'!$B$9-('1 Inputs'!$B$21*'1 Inputs'!$B$18+(1-'1 Inputs'!$B$21)*C29))*10000</f>
        <v>-11.0098987395208</v>
      </c>
      <c r="F29" s="29" t="str">
        <f aca="false">IF(E29&gt;0,IF(D29&gt;0,"yes, on either test","yes, on the prescribed test only"),"no")</f>
        <v>no</v>
      </c>
    </row>
    <row r="30" customFormat="false" ht="15" hidden="false" customHeight="false" outlineLevel="0" collapsed="false">
      <c r="A30" s="26" t="n">
        <v>0.16</v>
      </c>
      <c r="B30" s="27" t="n">
        <f aca="false">'1 Inputs'!$B$7*(1-A30)</f>
        <v>36.0948</v>
      </c>
      <c r="C30" s="17" t="n">
        <f aca="false">'1 Inputs'!$B$5/B30</f>
        <v>0.0586511076387735</v>
      </c>
      <c r="D30" s="28" t="n">
        <f aca="false">('1 Inputs'!$B$9-C30)*10000</f>
        <v>-61.5110763877345</v>
      </c>
      <c r="E30" s="28" t="n">
        <f aca="false">('1 Inputs'!$B$9-('1 Inputs'!$B$21*'1 Inputs'!$B$18+(1-'1 Inputs'!$B$21)*C30))*10000</f>
        <v>-20.5577534714142</v>
      </c>
      <c r="F30" s="29" t="str">
        <f aca="false">IF(E30&gt;0,IF(D30&gt;0,"yes, on either test","yes, on the prescribed test only"),"no")</f>
        <v>no</v>
      </c>
    </row>
    <row r="31" customFormat="false" ht="15" hidden="false" customHeight="false" outlineLevel="0" collapsed="false">
      <c r="A31" s="26" t="n">
        <v>0.18</v>
      </c>
      <c r="B31" s="27" t="n">
        <f aca="false">'1 Inputs'!$B$7*(1-A31)</f>
        <v>35.2354</v>
      </c>
      <c r="C31" s="17" t="n">
        <f aca="false">'1 Inputs'!$B$5/B31</f>
        <v>0.0600816224592313</v>
      </c>
      <c r="D31" s="28" t="n">
        <f aca="false">('1 Inputs'!$B$9-C31)*10000</f>
        <v>-75.8162245923134</v>
      </c>
      <c r="E31" s="28" t="n">
        <f aca="false">('1 Inputs'!$B$9-('1 Inputs'!$B$21*'1 Inputs'!$B$18+(1-'1 Inputs'!$B$21)*C31))*10000</f>
        <v>-30.5713572146193</v>
      </c>
      <c r="F31" s="29" t="str">
        <f aca="false">IF(E31&gt;0,IF(D31&gt;0,"yes, on either test","yes, on the prescribed test only"),"no")</f>
        <v>no</v>
      </c>
    </row>
    <row r="32" customFormat="false" ht="15" hidden="false" customHeight="false" outlineLevel="0" collapsed="false">
      <c r="A32" s="26" t="n">
        <v>0.2</v>
      </c>
      <c r="B32" s="27" t="n">
        <f aca="false">'1 Inputs'!$B$7*(1-A32)</f>
        <v>34.376</v>
      </c>
      <c r="C32" s="17" t="n">
        <f aca="false">'1 Inputs'!$B$5/B32</f>
        <v>0.0615836630207121</v>
      </c>
      <c r="D32" s="28" t="n">
        <f aca="false">('1 Inputs'!$B$9-C32)*10000</f>
        <v>-90.8366302071213</v>
      </c>
      <c r="E32" s="28" t="n">
        <f aca="false">('1 Inputs'!$B$9-('1 Inputs'!$B$21*'1 Inputs'!$B$18+(1-'1 Inputs'!$B$21)*C32))*10000</f>
        <v>-41.0856411449849</v>
      </c>
      <c r="F32" s="29" t="str">
        <f aca="false">IF(E32&gt;0,IF(D32&gt;0,"yes, on either test","yes, on the prescribed test only"),"no")</f>
        <v>no</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3" min="2" style="0" width="14"/>
    <col collapsed="false" customWidth="true" hidden="false" outlineLevel="0" max="4" min="4" style="0" width="15"/>
    <col collapsed="false" customWidth="true" hidden="false" outlineLevel="0" max="6" min="5" style="0" width="14"/>
    <col collapsed="false" customWidth="true" hidden="false" outlineLevel="0" max="7" min="7" style="0" width="3"/>
    <col collapsed="false" customWidth="true" hidden="false" outlineLevel="0" max="8" min="8" style="0" width="54"/>
  </cols>
  <sheetData>
    <row r="1" customFormat="false" ht="16.15" hidden="false" customHeight="false" outlineLevel="0" collapsed="false">
      <c r="A1" s="1" t="s">
        <v>83</v>
      </c>
    </row>
    <row r="2" customFormat="false" ht="55.5" hidden="false" customHeight="true" outlineLevel="0" collapsed="false">
      <c r="A2" s="2" t="s">
        <v>84</v>
      </c>
    </row>
    <row r="4" customFormat="false" ht="15" hidden="false" customHeight="false" outlineLevel="0" collapsed="false">
      <c r="A4" s="3" t="s">
        <v>85</v>
      </c>
      <c r="B4" s="4"/>
      <c r="C4" s="4"/>
      <c r="D4" s="4"/>
      <c r="E4" s="4"/>
      <c r="F4" s="4"/>
    </row>
    <row r="5" customFormat="false" ht="30" hidden="false" customHeight="true" outlineLevel="0" collapsed="false">
      <c r="A5" s="14" t="s">
        <v>86</v>
      </c>
      <c r="B5" s="14" t="s">
        <v>87</v>
      </c>
      <c r="C5" s="14" t="s">
        <v>50</v>
      </c>
      <c r="D5" s="14" t="s">
        <v>88</v>
      </c>
      <c r="E5" s="14" t="s">
        <v>89</v>
      </c>
      <c r="F5" s="14" t="s">
        <v>90</v>
      </c>
    </row>
    <row r="6" customFormat="false" ht="15" hidden="false" customHeight="false" outlineLevel="0" collapsed="false">
      <c r="A6" s="30" t="n">
        <v>1</v>
      </c>
      <c r="B6" s="27" t="n">
        <f aca="false">'1 Inputs'!$B$8</f>
        <v>34.5</v>
      </c>
      <c r="C6" s="17" t="n">
        <f aca="false">'1 Inputs'!$B$5/B6</f>
        <v>0.0613623188405797</v>
      </c>
      <c r="D6" s="28" t="n">
        <f aca="false">('1 Inputs'!$B$9-C6)*10000</f>
        <v>-88.6231884057971</v>
      </c>
      <c r="E6" s="17" t="n">
        <f aca="false">IF(D6&lt;=0,'1 Inputs'!$B$13*'1 Inputs'!$B$23,'1 Inputs'!$B$13+D6/10000*'1 Inputs'!$B$28)</f>
        <v>0.0324</v>
      </c>
      <c r="F6" s="16" t="n">
        <f aca="false">(1-B6/'1 Inputs'!$B$7)-'1 Inputs'!$B$22*(E6-'1 Inputs'!$B$13)</f>
        <v>0.261914265766814</v>
      </c>
    </row>
    <row r="7" customFormat="false" ht="15" hidden="false" customHeight="false" outlineLevel="0" collapsed="false">
      <c r="A7" s="30" t="n">
        <v>2</v>
      </c>
      <c r="B7" s="27" t="n">
        <f aca="false">'1 Inputs'!$B$7*(1-F6)</f>
        <v>31.715544</v>
      </c>
      <c r="C7" s="17" t="n">
        <f aca="false">'1 Inputs'!$B$5/B7</f>
        <v>0.0667496039166158</v>
      </c>
      <c r="D7" s="28" t="n">
        <f aca="false">('1 Inputs'!$B$9-C7)*10000</f>
        <v>-142.496039166158</v>
      </c>
      <c r="E7" s="17" t="n">
        <f aca="false">IF(D7&lt;=0,'1 Inputs'!$B$13*'1 Inputs'!$B$23,'1 Inputs'!$B$13+D7/10000*'1 Inputs'!$B$28)</f>
        <v>0.0324</v>
      </c>
      <c r="F7" s="16" t="n">
        <f aca="false">(1-B7/'1 Inputs'!$B$7)-'1 Inputs'!$B$22*(E7-'1 Inputs'!$B$13)</f>
        <v>0.326714265766814</v>
      </c>
    </row>
    <row r="8" customFormat="false" ht="15" hidden="false" customHeight="false" outlineLevel="0" collapsed="false">
      <c r="A8" s="30" t="n">
        <v>3</v>
      </c>
      <c r="B8" s="27" t="n">
        <f aca="false">'1 Inputs'!$B$7*(1-F7)</f>
        <v>28.931088</v>
      </c>
      <c r="C8" s="17" t="n">
        <f aca="false">'1 Inputs'!$B$5/B8</f>
        <v>0.0731738813279335</v>
      </c>
      <c r="D8" s="28" t="n">
        <f aca="false">('1 Inputs'!$B$9-C8)*10000</f>
        <v>-206.738813279335</v>
      </c>
      <c r="E8" s="17" t="n">
        <f aca="false">IF(D8&lt;=0,'1 Inputs'!$B$13*'1 Inputs'!$B$23,'1 Inputs'!$B$13+D8/10000*'1 Inputs'!$B$28)</f>
        <v>0.0324</v>
      </c>
      <c r="F8" s="16" t="n">
        <f aca="false">(1-B8/'1 Inputs'!$B$7)-'1 Inputs'!$B$22*(E8-'1 Inputs'!$B$13)</f>
        <v>0.391514265766814</v>
      </c>
    </row>
    <row r="9" customFormat="false" ht="15" hidden="false" customHeight="false" outlineLevel="0" collapsed="false">
      <c r="A9" s="20" t="s">
        <v>91</v>
      </c>
      <c r="B9" s="22" t="n">
        <f aca="false">'1 Inputs'!$B$7*(1-F8)</f>
        <v>26.146632</v>
      </c>
    </row>
    <row r="10" customFormat="false" ht="15" hidden="false" customHeight="false" outlineLevel="0" collapsed="false">
      <c r="A10" s="20" t="s">
        <v>92</v>
      </c>
      <c r="B10" s="23" t="n">
        <f aca="false">B9/B6-1</f>
        <v>-0.242126608695652</v>
      </c>
    </row>
    <row r="14" customFormat="false" ht="15" hidden="false" customHeight="false" outlineLevel="0" collapsed="false">
      <c r="A14" s="3" t="s">
        <v>93</v>
      </c>
      <c r="B14" s="4"/>
      <c r="C14" s="4"/>
      <c r="D14" s="4"/>
      <c r="E14" s="4"/>
      <c r="F14" s="4"/>
    </row>
    <row r="15" customFormat="false" ht="30" hidden="false" customHeight="true" outlineLevel="0" collapsed="false">
      <c r="A15" s="14" t="s">
        <v>86</v>
      </c>
      <c r="B15" s="14" t="s">
        <v>87</v>
      </c>
      <c r="C15" s="14" t="s">
        <v>50</v>
      </c>
      <c r="D15" s="14" t="s">
        <v>88</v>
      </c>
      <c r="E15" s="14" t="s">
        <v>89</v>
      </c>
      <c r="F15" s="14" t="s">
        <v>90</v>
      </c>
    </row>
    <row r="16" customFormat="false" ht="15" hidden="false" customHeight="false" outlineLevel="0" collapsed="false">
      <c r="A16" s="30" t="n">
        <v>1</v>
      </c>
      <c r="B16" s="27" t="n">
        <f aca="false">'1 Inputs'!$B$27</f>
        <v>50</v>
      </c>
      <c r="C16" s="17" t="n">
        <f aca="false">'1 Inputs'!$B$5/B16</f>
        <v>0.04234</v>
      </c>
      <c r="D16" s="28" t="n">
        <f aca="false">('1 Inputs'!$B$9-C16)*10000</f>
        <v>101.6</v>
      </c>
      <c r="E16" s="17" t="n">
        <f aca="false">IF(D16&lt;=0,'1 Inputs'!$B$13*'1 Inputs'!$B$23,'1 Inputs'!$B$13+D16/10000*'1 Inputs'!$B$28)</f>
        <v>0.05908</v>
      </c>
      <c r="F16" s="16" t="n">
        <f aca="false">(1-B16/'1 Inputs'!$B$7)-'1 Inputs'!$B$22*(E16-'1 Inputs'!$B$13)</f>
        <v>-0.178842513381429</v>
      </c>
    </row>
    <row r="17" customFormat="false" ht="15" hidden="false" customHeight="false" outlineLevel="0" collapsed="false">
      <c r="A17" s="30" t="n">
        <v>2</v>
      </c>
      <c r="B17" s="27" t="n">
        <f aca="false">'1 Inputs'!$B$7*(1-F16)</f>
        <v>50.6548628</v>
      </c>
      <c r="C17" s="17" t="n">
        <f aca="false">'1 Inputs'!$B$5/B17</f>
        <v>0.0417926312101274</v>
      </c>
      <c r="D17" s="28" t="n">
        <f aca="false">('1 Inputs'!$B$9-C17)*10000</f>
        <v>107.073687898726</v>
      </c>
      <c r="E17" s="17" t="n">
        <f aca="false">IF(D17&lt;=0,'1 Inputs'!$B$13*'1 Inputs'!$B$23,'1 Inputs'!$B$13+D17/10000*'1 Inputs'!$B$28)</f>
        <v>0.0593536843949363</v>
      </c>
      <c r="F17" s="16" t="n">
        <f aca="false">(1-B17/'1 Inputs'!$B$7)-'1 Inputs'!$B$22*(E17-'1 Inputs'!$B$13)</f>
        <v>-0.194903566566238</v>
      </c>
    </row>
    <row r="18" customFormat="false" ht="15" hidden="false" customHeight="false" outlineLevel="0" collapsed="false">
      <c r="A18" s="30" t="n">
        <v>3</v>
      </c>
      <c r="B18" s="27" t="n">
        <f aca="false">'1 Inputs'!$B$7*(1-F17)</f>
        <v>51.3450062553512</v>
      </c>
      <c r="C18" s="17" t="n">
        <f aca="false">'1 Inputs'!$B$5/B18</f>
        <v>0.0412308840604993</v>
      </c>
      <c r="D18" s="28" t="n">
        <f aca="false">('1 Inputs'!$B$9-C18)*10000</f>
        <v>112.691159395007</v>
      </c>
      <c r="E18" s="17" t="n">
        <f aca="false">IF(D18&lt;=0,'1 Inputs'!$B$13*'1 Inputs'!$B$23,'1 Inputs'!$B$13+D18/10000*'1 Inputs'!$B$28)</f>
        <v>0.0596345579697503</v>
      </c>
      <c r="F18" s="16" t="n">
        <f aca="false">(1-B18/'1 Inputs'!$B$7)-'1 Inputs'!$B$22*(E18-'1 Inputs'!$B$13)</f>
        <v>-0.211807240475489</v>
      </c>
    </row>
    <row r="19" customFormat="false" ht="15" hidden="false" customHeight="false" outlineLevel="0" collapsed="false">
      <c r="A19" s="20" t="s">
        <v>91</v>
      </c>
      <c r="B19" s="22" t="n">
        <f aca="false">'1 Inputs'!$B$7*(1-F18)</f>
        <v>52.0713571232318</v>
      </c>
    </row>
    <row r="20" customFormat="false" ht="15" hidden="false" customHeight="false" outlineLevel="0" collapsed="false">
      <c r="A20" s="20" t="s">
        <v>92</v>
      </c>
      <c r="B20" s="23" t="n">
        <f aca="false">B19/B16-1</f>
        <v>0.0414271424646351</v>
      </c>
    </row>
    <row r="24" customFormat="false" ht="15" hidden="false" customHeight="false" outlineLevel="0" collapsed="false">
      <c r="A24" s="3" t="s">
        <v>94</v>
      </c>
      <c r="B24" s="4"/>
      <c r="C24" s="4"/>
      <c r="D24" s="4"/>
      <c r="E24" s="4"/>
      <c r="F24" s="4"/>
    </row>
    <row r="25" customFormat="false" ht="15" hidden="false" customHeight="false" outlineLevel="0" collapsed="false">
      <c r="A25" s="20" t="s">
        <v>95</v>
      </c>
      <c r="B25" s="23" t="n">
        <f aca="false">B10</f>
        <v>-0.242126608695652</v>
      </c>
    </row>
    <row r="26" customFormat="false" ht="15" hidden="false" customHeight="false" outlineLevel="0" collapsed="false">
      <c r="A26" s="20" t="s">
        <v>96</v>
      </c>
      <c r="B26" s="23" t="n">
        <f aca="false">B20</f>
        <v>0.0414271424646351</v>
      </c>
    </row>
    <row r="27" customFormat="false" ht="15" hidden="false" customHeight="false" outlineLevel="0" collapsed="false">
      <c r="A27" s="20" t="s">
        <v>97</v>
      </c>
      <c r="B27" s="31" t="n">
        <f aca="false">-B25/B26</f>
        <v>5.84463697688894</v>
      </c>
    </row>
    <row r="28" customFormat="false" ht="15" hidden="false" customHeight="false" outlineLevel="0" collapsed="false">
      <c r="A28" s="32" t="str">
        <f aca="false">IF(ABS(B25)&gt;2*B26,"NOT SYMMETRIC — the chapter says “both loops are self-reinforcing”","comparable")</f>
        <v>NOT SYMMETRIC — the chapter says “both loops are self-reinforcing”</v>
      </c>
      <c r="B28" s="32"/>
      <c r="C28" s="32"/>
      <c r="D28" s="32"/>
      <c r="E28" s="32"/>
      <c r="F28" s="32"/>
    </row>
    <row r="29" customFormat="false" ht="15" hidden="false" customHeight="false" outlineLevel="0" collapsed="false">
      <c r="A29" s="6" t="s">
        <v>98</v>
      </c>
    </row>
    <row r="31" customFormat="false" ht="15" hidden="false" customHeight="false" outlineLevel="0" collapsed="false">
      <c r="A31" s="6" t="s">
        <v>99</v>
      </c>
    </row>
  </sheetData>
  <mergeCells count="1">
    <mergeCell ref="A28: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4" min="2" style="0" width="14"/>
    <col collapsed="false" customWidth="true" hidden="false" outlineLevel="0" max="5" min="5" style="0" width="3"/>
    <col collapsed="false" customWidth="true" hidden="false" outlineLevel="0" max="6" min="6" style="0" width="60"/>
  </cols>
  <sheetData>
    <row r="1" customFormat="false" ht="16.15" hidden="false" customHeight="false" outlineLevel="0" collapsed="false">
      <c r="A1" s="1" t="s">
        <v>100</v>
      </c>
    </row>
    <row r="2" customFormat="false" ht="55.5" hidden="false" customHeight="true" outlineLevel="0" collapsed="false">
      <c r="A2" s="2" t="s">
        <v>101</v>
      </c>
    </row>
    <row r="4" customFormat="false" ht="15" hidden="false" customHeight="false" outlineLevel="0" collapsed="false">
      <c r="A4" s="3" t="s">
        <v>102</v>
      </c>
      <c r="B4" s="4"/>
      <c r="C4" s="4"/>
      <c r="D4" s="4"/>
    </row>
    <row r="5" customFormat="false" ht="15" hidden="false" customHeight="false" outlineLevel="0" collapsed="false">
      <c r="A5" s="20" t="s">
        <v>103</v>
      </c>
      <c r="B5" s="24" t="n">
        <f aca="false">'1 Inputs'!$B$24</f>
        <v>500</v>
      </c>
      <c r="F5" s="6" t="s">
        <v>104</v>
      </c>
    </row>
    <row r="6" customFormat="false" ht="15" hidden="false" customHeight="false" outlineLevel="0" collapsed="false">
      <c r="A6" s="20" t="s">
        <v>105</v>
      </c>
      <c r="B6" s="25" t="n">
        <f aca="false">B5*'1 Inputs'!$B$9</f>
        <v>26.25</v>
      </c>
      <c r="F6" s="6"/>
    </row>
    <row r="7" customFormat="false" ht="15" hidden="false" customHeight="false" outlineLevel="0" collapsed="false">
      <c r="A7" s="20" t="s">
        <v>106</v>
      </c>
      <c r="B7" s="33" t="n">
        <f aca="false">B5/'1 Inputs'!$B$8</f>
        <v>14.4927536231884</v>
      </c>
      <c r="F7" s="6"/>
    </row>
    <row r="8" customFormat="false" ht="15" hidden="false" customHeight="false" outlineLevel="0" collapsed="false">
      <c r="A8" s="20" t="s">
        <v>107</v>
      </c>
      <c r="B8" s="22" t="n">
        <f aca="false">('1 Inputs'!$B$7*'1 Inputs'!$B$11-'1 Inputs'!$B$8*B7)/('1 Inputs'!$B$11-B7)</f>
        <v>43.7116812609457</v>
      </c>
      <c r="F8" s="6"/>
    </row>
    <row r="9" customFormat="false" ht="15" hidden="false" customHeight="false" outlineLevel="0" collapsed="false">
      <c r="A9" s="20" t="s">
        <v>108</v>
      </c>
      <c r="B9" s="21" t="n">
        <f aca="false">B8/'1 Inputs'!$B$7-1</f>
        <v>0.0172604435872865</v>
      </c>
      <c r="F9" s="6"/>
    </row>
    <row r="10" customFormat="false" ht="15" hidden="false" customHeight="false" outlineLevel="0" collapsed="false">
      <c r="A10" s="20" t="s">
        <v>109</v>
      </c>
      <c r="B10" s="34" t="n">
        <f aca="false">('1 Inputs'!$B$5*'1 Inputs'!$B$11-B6)/('1 Inputs'!$B$11-B7)</f>
        <v>2.14377320490368</v>
      </c>
      <c r="F10" s="6"/>
    </row>
    <row r="11" customFormat="false" ht="15" hidden="false" customHeight="false" outlineLevel="0" collapsed="false">
      <c r="A11" s="20" t="s">
        <v>108</v>
      </c>
      <c r="B11" s="21" t="n">
        <f aca="false">B10/'1 Inputs'!$B$5-1</f>
        <v>0.0126467666054217</v>
      </c>
      <c r="F11" s="6" t="s">
        <v>110</v>
      </c>
    </row>
    <row r="13" customFormat="false" ht="15" hidden="false" customHeight="false" outlineLevel="0" collapsed="false">
      <c r="A13" s="3" t="s">
        <v>111</v>
      </c>
      <c r="B13" s="4"/>
      <c r="C13" s="4"/>
      <c r="D13" s="4"/>
    </row>
    <row r="14" customFormat="false" ht="15" hidden="false" customHeight="false" outlineLevel="0" collapsed="false">
      <c r="A14" s="20" t="s">
        <v>112</v>
      </c>
      <c r="B14" s="25" t="n">
        <f aca="false">'1 Inputs'!$B$16-'1 Inputs'!$B$24</f>
        <v>1840</v>
      </c>
      <c r="F14" s="6"/>
    </row>
    <row r="15" customFormat="false" ht="15" hidden="false" customHeight="false" outlineLevel="0" collapsed="false">
      <c r="A15" s="20" t="s">
        <v>113</v>
      </c>
      <c r="B15" s="25" t="n">
        <f aca="false">'1 Inputs'!$B$17-'1 Inputs'!$B$24*'1 Inputs'!$B$9</f>
        <v>465.75</v>
      </c>
      <c r="F15" s="6"/>
    </row>
    <row r="16" customFormat="false" ht="15" hidden="false" customHeight="false" outlineLevel="0" collapsed="false">
      <c r="A16" s="20" t="s">
        <v>114</v>
      </c>
      <c r="B16" s="31" t="n">
        <f aca="false">'1 Inputs'!$B$16/'1 Inputs'!$B$17</f>
        <v>4.75609756097561</v>
      </c>
      <c r="F16" s="6"/>
    </row>
    <row r="17" customFormat="false" ht="15" hidden="false" customHeight="false" outlineLevel="0" collapsed="false">
      <c r="A17" s="20" t="s">
        <v>115</v>
      </c>
      <c r="B17" s="31" t="n">
        <f aca="false">B14/B15</f>
        <v>3.95061728395062</v>
      </c>
      <c r="F17" s="6" t="s">
        <v>116</v>
      </c>
    </row>
    <row r="18" customFormat="false" ht="15" hidden="false" customHeight="false" outlineLevel="0" collapsed="false">
      <c r="A18" s="20" t="s">
        <v>109</v>
      </c>
      <c r="B18" s="34" t="n">
        <f aca="false">('1 Inputs'!$B$5*'1 Inputs'!$B$11-'1 Inputs'!$B$24*'1 Inputs'!$B$9+'1 Inputs'!$B$24*'1 Inputs'!$B$18)/'1 Inputs'!$B$11</f>
        <v>2.09616666666667</v>
      </c>
      <c r="F18" s="6"/>
    </row>
    <row r="19" customFormat="false" ht="15" hidden="false" customHeight="false" outlineLevel="0" collapsed="false">
      <c r="A19" s="20" t="s">
        <v>108</v>
      </c>
      <c r="B19" s="21" t="n">
        <f aca="false">B18/'1 Inputs'!$B$5-1</f>
        <v>-0.00984096992599592</v>
      </c>
      <c r="F19" s="6" t="s">
        <v>117</v>
      </c>
    </row>
    <row r="21" customFormat="false" ht="15" hidden="false" customHeight="false" outlineLevel="0" collapsed="false">
      <c r="A21" s="3" t="s">
        <v>118</v>
      </c>
      <c r="B21" s="4"/>
      <c r="C21" s="4"/>
      <c r="D21" s="4"/>
    </row>
    <row r="22" customFormat="false" ht="15" hidden="false" customHeight="false" outlineLevel="0" collapsed="false">
      <c r="A22" s="20" t="s">
        <v>119</v>
      </c>
      <c r="B22" s="23" t="n">
        <f aca="false">'1 Inputs'!$B$7/'1 Inputs'!$B$8-1</f>
        <v>0.245507246376812</v>
      </c>
      <c r="F22" s="6" t="s">
        <v>120</v>
      </c>
    </row>
    <row r="23" customFormat="false" ht="15" hidden="false" customHeight="false" outlineLevel="0" collapsed="false">
      <c r="A23" s="20" t="s">
        <v>121</v>
      </c>
      <c r="B23" s="23" t="n">
        <f aca="false">'4 The loop'!$B$10</f>
        <v>-0.242126608695652</v>
      </c>
      <c r="F23" s="6" t="s">
        <v>122</v>
      </c>
    </row>
    <row r="25" customFormat="false" ht="15" hidden="false" customHeight="false" outlineLevel="0" collapsed="false">
      <c r="A25" s="3" t="s">
        <v>123</v>
      </c>
      <c r="B25" s="4"/>
      <c r="C25" s="4"/>
      <c r="D25" s="4"/>
    </row>
    <row r="26" customFormat="false" ht="30" hidden="false" customHeight="true" outlineLevel="0" collapsed="false">
      <c r="A26" s="14" t="s">
        <v>124</v>
      </c>
      <c r="B26" s="14" t="s">
        <v>125</v>
      </c>
      <c r="C26" s="14" t="s">
        <v>126</v>
      </c>
      <c r="D26" s="14" t="s">
        <v>127</v>
      </c>
    </row>
    <row r="27" customFormat="false" ht="15" hidden="false" customHeight="false" outlineLevel="0" collapsed="false">
      <c r="A27" s="0" t="s">
        <v>128</v>
      </c>
      <c r="B27" s="16" t="n">
        <f aca="false">B9</f>
        <v>0.0172604435872865</v>
      </c>
      <c r="C27" s="17" t="n">
        <f aca="false">B11</f>
        <v>0.0126467666054217</v>
      </c>
      <c r="D27" s="29" t="str">
        <f aca="false">"yes"</f>
        <v>yes</v>
      </c>
    </row>
    <row r="28" customFormat="false" ht="15" hidden="false" customHeight="false" outlineLevel="0" collapsed="false">
      <c r="A28" s="0" t="s">
        <v>129</v>
      </c>
      <c r="B28" s="16" t="n">
        <f aca="false">0</f>
        <v>0</v>
      </c>
      <c r="C28" s="17" t="n">
        <f aca="false">B19</f>
        <v>-0.00984096992599592</v>
      </c>
      <c r="D28" s="29" t="str">
        <f aca="false">"yes"</f>
        <v>yes</v>
      </c>
    </row>
    <row r="29" customFormat="false" ht="15" hidden="false" customHeight="false" outlineLevel="0" collapsed="false">
      <c r="A29" s="0" t="s">
        <v>130</v>
      </c>
      <c r="B29" s="16" t="n">
        <f aca="false">'1 Inputs'!$B$7/'1 Inputs'!$B$8-1</f>
        <v>0.245507246376812</v>
      </c>
      <c r="C29" s="17" t="n">
        <f aca="false">0</f>
        <v>0</v>
      </c>
      <c r="D29" s="29" t="str">
        <f aca="false">"no"</f>
        <v>no</v>
      </c>
    </row>
    <row r="30" customFormat="false" ht="15" hidden="false" customHeight="false" outlineLevel="0" collapsed="false">
      <c r="A30" s="0" t="s">
        <v>131</v>
      </c>
      <c r="B30" s="16" t="n">
        <f aca="false">'4 The loop'!$B$10</f>
        <v>-0.242126608695652</v>
      </c>
      <c r="C30" s="17" t="n">
        <f aca="false">0</f>
        <v>0</v>
      </c>
      <c r="D30" s="29" t="str">
        <f aca="false">"the loop is not"</f>
        <v>the loop is not</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3"/>
    <col collapsed="false" customWidth="true" hidden="false" outlineLevel="0" max="4" min="4" style="0" width="66"/>
  </cols>
  <sheetData>
    <row r="1" customFormat="false" ht="16.15" hidden="false" customHeight="false" outlineLevel="0" collapsed="false">
      <c r="A1" s="1" t="s">
        <v>132</v>
      </c>
    </row>
    <row r="2" customFormat="false" ht="55.5" hidden="false" customHeight="true" outlineLevel="0" collapsed="false">
      <c r="A2" s="2" t="s">
        <v>133</v>
      </c>
    </row>
    <row r="4" customFormat="false" ht="15" hidden="false" customHeight="false" outlineLevel="0" collapsed="false">
      <c r="A4" s="3" t="s">
        <v>134</v>
      </c>
      <c r="B4" s="4"/>
      <c r="C4" s="4"/>
      <c r="D4" s="4"/>
    </row>
    <row r="5" customFormat="false" ht="15" hidden="false" customHeight="false" outlineLevel="0" collapsed="false">
      <c r="A5" s="20" t="s">
        <v>135</v>
      </c>
      <c r="B5" s="24" t="n">
        <f aca="false">'1 Inputs'!$B$25</f>
        <v>800</v>
      </c>
      <c r="D5" s="6"/>
    </row>
    <row r="6" customFormat="false" ht="15" hidden="false" customHeight="false" outlineLevel="0" collapsed="false">
      <c r="A6" s="20" t="s">
        <v>136</v>
      </c>
      <c r="B6" s="25" t="n">
        <f aca="false">B5*'1 Inputs'!$B$9</f>
        <v>42</v>
      </c>
      <c r="D6" s="6"/>
    </row>
    <row r="7" customFormat="false" ht="15" hidden="false" customHeight="false" outlineLevel="0" collapsed="false">
      <c r="A7" s="20" t="s">
        <v>137</v>
      </c>
      <c r="B7" s="25" t="n">
        <f aca="false">B5*'1 Inputs'!$B$18</f>
        <v>36</v>
      </c>
      <c r="D7" s="6"/>
    </row>
    <row r="8" customFormat="false" ht="15" hidden="false" customHeight="false" outlineLevel="0" collapsed="false">
      <c r="A8" s="20" t="s">
        <v>138</v>
      </c>
      <c r="B8" s="25" t="n">
        <f aca="false">B6-B7</f>
        <v>6</v>
      </c>
      <c r="D8" s="6"/>
    </row>
    <row r="9" customFormat="false" ht="15" hidden="false" customHeight="false" outlineLevel="0" collapsed="false">
      <c r="A9" s="20" t="s">
        <v>109</v>
      </c>
      <c r="B9" s="34" t="n">
        <f aca="false">('1 Inputs'!$B$5*'1 Inputs'!$B$11+B8)/'1 Inputs'!$B$11</f>
        <v>2.15033333333333</v>
      </c>
      <c r="D9" s="6"/>
    </row>
    <row r="10" customFormat="false" ht="15" hidden="false" customHeight="false" outlineLevel="0" collapsed="false">
      <c r="A10" s="20" t="s">
        <v>108</v>
      </c>
      <c r="B10" s="21" t="n">
        <f aca="false">B9/'1 Inputs'!$B$5-1</f>
        <v>0.0157455518815934</v>
      </c>
      <c r="D10" s="6" t="s">
        <v>139</v>
      </c>
    </row>
    <row r="11" customFormat="false" ht="15" hidden="false" customHeight="false" outlineLevel="0" collapsed="false">
      <c r="A11" s="20" t="s">
        <v>140</v>
      </c>
      <c r="B11" s="31" t="n">
        <f aca="false">('1 Inputs'!$B$16+B5)/('1 Inputs'!$B$17+B6)</f>
        <v>5.88014981273408</v>
      </c>
      <c r="D11" s="6" t="s">
        <v>141</v>
      </c>
    </row>
    <row r="13" customFormat="false" ht="15" hidden="false" customHeight="false" outlineLevel="0" collapsed="false">
      <c r="A13" s="3" t="s">
        <v>142</v>
      </c>
      <c r="B13" s="4"/>
      <c r="C13" s="4"/>
      <c r="D13" s="4"/>
    </row>
    <row r="14" customFormat="false" ht="15" hidden="false" customHeight="false" outlineLevel="0" collapsed="false">
      <c r="A14" s="20" t="s">
        <v>143</v>
      </c>
      <c r="B14" s="24" t="n">
        <f aca="false">('1 Inputs'!$B$16+'1 Inputs'!$B$25)-('1 Inputs'!$B$16/'1 Inputs'!$B$17)*('1 Inputs'!$B$17+B6)</f>
        <v>600.243902439025</v>
      </c>
      <c r="D14" s="6"/>
    </row>
    <row r="15" customFormat="false" ht="15" hidden="false" customHeight="false" outlineLevel="0" collapsed="false">
      <c r="A15" s="20" t="s">
        <v>144</v>
      </c>
      <c r="B15" s="22" t="n">
        <f aca="false">'1 Inputs'!$B$8*(1-'1 Inputs'!$B$26)</f>
        <v>31.05</v>
      </c>
      <c r="D15" s="6" t="s">
        <v>145</v>
      </c>
    </row>
    <row r="16" customFormat="false" ht="15" hidden="false" customHeight="false" outlineLevel="0" collapsed="false">
      <c r="A16" s="20" t="s">
        <v>146</v>
      </c>
      <c r="B16" s="33" t="n">
        <f aca="false">B14/B15</f>
        <v>19.3315266485998</v>
      </c>
      <c r="D16" s="6"/>
    </row>
    <row r="17" customFormat="false" ht="15" hidden="false" customHeight="false" outlineLevel="0" collapsed="false">
      <c r="A17" s="20" t="s">
        <v>147</v>
      </c>
      <c r="B17" s="23" t="n">
        <f aca="false">B16/'1 Inputs'!$B$11</f>
        <v>0.107397370269999</v>
      </c>
      <c r="D17" s="6"/>
    </row>
    <row r="18" customFormat="false" ht="15" hidden="false" customHeight="false" outlineLevel="0" collapsed="false">
      <c r="A18" s="20" t="s">
        <v>148</v>
      </c>
      <c r="B18" s="34" t="n">
        <f aca="false">(B9*'1 Inputs'!$B$11+B14*'1 Inputs'!$B$18)/('1 Inputs'!$B$11+B16)</f>
        <v>2.07729796972718</v>
      </c>
      <c r="D18" s="6"/>
    </row>
    <row r="19" customFormat="false" ht="15" hidden="false" customHeight="false" outlineLevel="0" collapsed="false">
      <c r="A19" s="20" t="s">
        <v>149</v>
      </c>
      <c r="B19" s="21" t="n">
        <f aca="false">B18/'1 Inputs'!$B$5-1</f>
        <v>-0.0187539113239575</v>
      </c>
      <c r="D19" s="6"/>
    </row>
    <row r="21" customFormat="false" ht="15" hidden="false" customHeight="false" outlineLevel="0" collapsed="false">
      <c r="A21" s="3" t="s">
        <v>150</v>
      </c>
      <c r="B21" s="4"/>
      <c r="C21" s="4"/>
      <c r="D21" s="4"/>
    </row>
    <row r="22" customFormat="false" ht="15" hidden="false" customHeight="false" outlineLevel="0" collapsed="false">
      <c r="A22" s="32" t="str">
        <f aca="false">IF(AND(B10&gt;0,B19&lt;0),"THE BOOK IS RIGHT — step one accretive, the pair destructive","the pair does not destroy value at these inputs")</f>
        <v>THE BOOK IS RIGHT — step one accretive, the pair destructive</v>
      </c>
      <c r="B22" s="32"/>
      <c r="C22" s="32"/>
      <c r="D22" s="32"/>
    </row>
  </sheetData>
  <mergeCells count="1">
    <mergeCell ref="A22:D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6"/>
    <col collapsed="false" customWidth="true" hidden="false" outlineLevel="0" max="3" min="3" style="0" width="3"/>
    <col collapsed="false" customWidth="true" hidden="false" outlineLevel="0" max="4" min="4" style="0" width="64"/>
  </cols>
  <sheetData>
    <row r="1" customFormat="false" ht="16.15" hidden="false" customHeight="false" outlineLevel="0" collapsed="false">
      <c r="A1" s="1" t="s">
        <v>151</v>
      </c>
    </row>
    <row r="2" customFormat="false" ht="55.5" hidden="false" customHeight="true" outlineLevel="0" collapsed="false">
      <c r="A2" s="2" t="s">
        <v>152</v>
      </c>
    </row>
    <row r="4" customFormat="false" ht="15" hidden="false" customHeight="false" outlineLevel="0" collapsed="false">
      <c r="A4" s="3" t="s">
        <v>153</v>
      </c>
      <c r="B4" s="4"/>
      <c r="C4" s="4"/>
      <c r="D4" s="4"/>
    </row>
    <row r="5" customFormat="false" ht="15" hidden="false" customHeight="false" outlineLevel="0" collapsed="false">
      <c r="A5" s="20" t="s">
        <v>154</v>
      </c>
      <c r="B5" s="34" t="n">
        <f aca="false">'1 Inputs'!$B$5</f>
        <v>2.117</v>
      </c>
      <c r="D5" s="6" t="s">
        <v>155</v>
      </c>
    </row>
    <row r="6" customFormat="false" ht="15" hidden="false" customHeight="false" outlineLevel="0" collapsed="false">
      <c r="A6" s="20" t="s">
        <v>156</v>
      </c>
      <c r="B6" s="22" t="n">
        <f aca="false">'1 Inputs'!$B$8</f>
        <v>34.5</v>
      </c>
      <c r="D6" s="6" t="s">
        <v>157</v>
      </c>
    </row>
    <row r="7" customFormat="false" ht="15" hidden="false" customHeight="false" outlineLevel="0" collapsed="false">
      <c r="A7" s="20" t="s">
        <v>158</v>
      </c>
      <c r="B7" s="22" t="n">
        <f aca="false">'1 Inputs'!$B$7</f>
        <v>42.97</v>
      </c>
      <c r="D7" s="6" t="s">
        <v>159</v>
      </c>
    </row>
    <row r="8" customFormat="false" ht="15" hidden="false" customHeight="false" outlineLevel="0" collapsed="false">
      <c r="A8" s="20" t="s">
        <v>160</v>
      </c>
      <c r="B8" s="21" t="n">
        <f aca="false">'1 Inputs'!$B$9</f>
        <v>0.0525</v>
      </c>
      <c r="D8" s="6" t="s">
        <v>161</v>
      </c>
    </row>
    <row r="9" customFormat="false" ht="15" hidden="false" customHeight="false" outlineLevel="0" collapsed="false">
      <c r="A9" s="20" t="s">
        <v>162</v>
      </c>
      <c r="B9" s="21" t="n">
        <f aca="false">B5/B6</f>
        <v>0.0613623188405797</v>
      </c>
      <c r="D9" s="6" t="s">
        <v>163</v>
      </c>
    </row>
    <row r="10" customFormat="false" ht="15" hidden="false" customHeight="false" outlineLevel="0" collapsed="false">
      <c r="A10" s="20" t="s">
        <v>164</v>
      </c>
      <c r="B10" s="18" t="n">
        <f aca="false">(B8-B9)*10000</f>
        <v>-88.6231884057971</v>
      </c>
      <c r="D10" s="6" t="s">
        <v>165</v>
      </c>
    </row>
    <row r="11" customFormat="false" ht="15" hidden="false" customHeight="false" outlineLevel="0" collapsed="false">
      <c r="A11" s="20" t="s">
        <v>166</v>
      </c>
      <c r="B11" s="23" t="n">
        <f aca="false">1-B6/B7</f>
        <v>0.197114265766814</v>
      </c>
      <c r="D11" s="6" t="s">
        <v>167</v>
      </c>
    </row>
    <row r="13" customFormat="false" ht="15" hidden="false" customHeight="false" outlineLevel="0" collapsed="false">
      <c r="A13" s="32" t="s">
        <v>168</v>
      </c>
      <c r="B13" s="32"/>
      <c r="C13" s="32"/>
      <c r="D13" s="32"/>
    </row>
    <row r="15" customFormat="false" ht="15" hidden="false" customHeight="false" outlineLevel="0" collapsed="false">
      <c r="A15" s="3" t="s">
        <v>169</v>
      </c>
      <c r="B15" s="4"/>
      <c r="C15" s="4"/>
      <c r="D15" s="4"/>
    </row>
    <row r="16" customFormat="false" ht="15" hidden="false" customHeight="false" outlineLevel="0" collapsed="false">
      <c r="A16" s="6" t="s">
        <v>170</v>
      </c>
    </row>
    <row r="18" customFormat="false" ht="15" hidden="false" customHeight="false" outlineLevel="0" collapsed="false">
      <c r="A18" s="3" t="s">
        <v>171</v>
      </c>
      <c r="B18" s="4"/>
      <c r="C18" s="4"/>
      <c r="D18" s="4"/>
    </row>
    <row r="19" customFormat="false" ht="30" hidden="false" customHeight="true" outlineLevel="0" collapsed="false">
      <c r="A19" s="14" t="s">
        <v>172</v>
      </c>
      <c r="B19" s="14" t="s">
        <v>95</v>
      </c>
      <c r="C19" s="14" t="s">
        <v>96</v>
      </c>
    </row>
    <row r="20" customFormat="false" ht="15" hidden="false" customHeight="false" outlineLevel="0" collapsed="false">
      <c r="A20" s="35" t="n">
        <v>1</v>
      </c>
      <c r="B20" s="16" t="n">
        <f aca="false">('1 Inputs'!$B$7*(1-((1-'1 Inputs'!$B$8/'1 Inputs'!$B$7)-A20*('1 Inputs'!$B$13*'1 Inputs'!$B$23-'1 Inputs'!$B$13)*3)))/'1 Inputs'!$B$8-1</f>
        <v>-0.0807088695652174</v>
      </c>
      <c r="C20" s="16" t="n">
        <f aca="false">('1 Inputs'!$B$7*(1-((1-'1 Inputs'!$B$27/'1 Inputs'!$B$7)-A20*'1 Inputs'!$B$28*'4 The loop'!$D$16/10000*3)))/'1 Inputs'!$B$27-1</f>
        <v>0.013097256</v>
      </c>
    </row>
    <row r="21" customFormat="false" ht="15" hidden="false" customHeight="false" outlineLevel="0" collapsed="false">
      <c r="A21" s="35" t="n">
        <v>2</v>
      </c>
      <c r="B21" s="16" t="n">
        <f aca="false">('1 Inputs'!$B$7*(1-((1-'1 Inputs'!$B$8/'1 Inputs'!$B$7)-A21*('1 Inputs'!$B$13*'1 Inputs'!$B$23-'1 Inputs'!$B$13)*3)))/'1 Inputs'!$B$8-1</f>
        <v>-0.161417739130435</v>
      </c>
      <c r="C21" s="16" t="n">
        <f aca="false">('1 Inputs'!$B$7*(1-((1-'1 Inputs'!$B$27/'1 Inputs'!$B$7)-A21*'1 Inputs'!$B$28*'4 The loop'!$D$16/10000*3)))/'1 Inputs'!$B$27-1</f>
        <v>0.026194512</v>
      </c>
    </row>
    <row r="22" customFormat="false" ht="15" hidden="false" customHeight="false" outlineLevel="0" collapsed="false">
      <c r="A22" s="35" t="n">
        <v>3</v>
      </c>
      <c r="B22" s="16" t="n">
        <f aca="false">('1 Inputs'!$B$7*(1-((1-'1 Inputs'!$B$8/'1 Inputs'!$B$7)-A22*('1 Inputs'!$B$13*'1 Inputs'!$B$23-'1 Inputs'!$B$13)*3)))/'1 Inputs'!$B$8-1</f>
        <v>-0.242126608695652</v>
      </c>
      <c r="C22" s="16" t="n">
        <f aca="false">('1 Inputs'!$B$7*(1-((1-'1 Inputs'!$B$27/'1 Inputs'!$B$7)-A22*'1 Inputs'!$B$28*'4 The loop'!$D$16/10000*3)))/'1 Inputs'!$B$27-1</f>
        <v>0.039291768</v>
      </c>
    </row>
    <row r="23" customFormat="false" ht="15" hidden="false" customHeight="false" outlineLevel="0" collapsed="false">
      <c r="A23" s="35" t="n">
        <v>4</v>
      </c>
      <c r="B23" s="16" t="n">
        <f aca="false">('1 Inputs'!$B$7*(1-((1-'1 Inputs'!$B$8/'1 Inputs'!$B$7)-A23*('1 Inputs'!$B$13*'1 Inputs'!$B$23-'1 Inputs'!$B$13)*3)))/'1 Inputs'!$B$8-1</f>
        <v>-0.32283547826087</v>
      </c>
      <c r="C23" s="16" t="n">
        <f aca="false">('1 Inputs'!$B$7*(1-((1-'1 Inputs'!$B$27/'1 Inputs'!$B$7)-A23*'1 Inputs'!$B$28*'4 The loop'!$D$16/10000*3)))/'1 Inputs'!$B$27-1</f>
        <v>0.0523890239999998</v>
      </c>
    </row>
    <row r="24" customFormat="false" ht="15" hidden="false" customHeight="false" outlineLevel="0" collapsed="false">
      <c r="A24" s="35" t="n">
        <v>5</v>
      </c>
      <c r="B24" s="16" t="n">
        <f aca="false">('1 Inputs'!$B$7*(1-((1-'1 Inputs'!$B$8/'1 Inputs'!$B$7)-A24*('1 Inputs'!$B$13*'1 Inputs'!$B$23-'1 Inputs'!$B$13)*3)))/'1 Inputs'!$B$8-1</f>
        <v>-0.403544347826087</v>
      </c>
      <c r="C24" s="16" t="n">
        <f aca="false">('1 Inputs'!$B$7*(1-((1-'1 Inputs'!$B$27/'1 Inputs'!$B$7)-A24*'1 Inputs'!$B$28*'4 The loop'!$D$16/10000*3)))/'1 Inputs'!$B$27-1</f>
        <v>0.06548628</v>
      </c>
    </row>
    <row r="25" customFormat="false" ht="15" hidden="false" customHeight="false" outlineLevel="0" collapsed="false">
      <c r="A25" s="35" t="n">
        <v>6</v>
      </c>
      <c r="B25" s="16" t="n">
        <f aca="false">('1 Inputs'!$B$7*(1-((1-'1 Inputs'!$B$8/'1 Inputs'!$B$7)-A25*('1 Inputs'!$B$13*'1 Inputs'!$B$23-'1 Inputs'!$B$13)*3)))/'1 Inputs'!$B$8-1</f>
        <v>-0.484253217391304</v>
      </c>
      <c r="C25" s="16" t="n">
        <f aca="false">('1 Inputs'!$B$7*(1-((1-'1 Inputs'!$B$27/'1 Inputs'!$B$7)-A25*'1 Inputs'!$B$28*'4 The loop'!$D$16/10000*3)))/'1 Inputs'!$B$27-1</f>
        <v>0.078583536</v>
      </c>
    </row>
    <row r="26" customFormat="false" ht="15" hidden="false" customHeight="false" outlineLevel="0" collapsed="false">
      <c r="A26" s="6" t="s">
        <v>173</v>
      </c>
    </row>
  </sheetData>
  <mergeCells count="1">
    <mergeCell ref="A13:D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84"/>
    <col collapsed="false" customWidth="true" hidden="false" outlineLevel="0" max="3" min="3" style="0" width="14"/>
    <col collapsed="false" customWidth="true" hidden="false" outlineLevel="0" max="4" min="4" style="0" width="3"/>
    <col collapsed="false" customWidth="true" hidden="false" outlineLevel="0" max="5" min="5" style="0" width="54"/>
  </cols>
  <sheetData>
    <row r="1" customFormat="false" ht="16.15" hidden="false" customHeight="false" outlineLevel="0" collapsed="false">
      <c r="A1" s="1" t="s">
        <v>174</v>
      </c>
    </row>
    <row r="2" customFormat="false" ht="55.5" hidden="false" customHeight="true" outlineLevel="0" collapsed="false">
      <c r="A2" s="2" t="s">
        <v>175</v>
      </c>
    </row>
    <row r="4" customFormat="false" ht="30" hidden="false" customHeight="true" outlineLevel="0" collapsed="false">
      <c r="A4" s="14" t="s">
        <v>176</v>
      </c>
      <c r="B4" s="14" t="s">
        <v>177</v>
      </c>
      <c r="C4" s="14" t="s">
        <v>178</v>
      </c>
    </row>
    <row r="5" customFormat="false" ht="15" hidden="false" customHeight="false" outlineLevel="0" collapsed="false">
      <c r="A5" s="30" t="n">
        <v>1</v>
      </c>
      <c r="B5" s="36" t="s">
        <v>179</v>
      </c>
      <c r="C5" s="37" t="str">
        <f aca="false">IF(ROUND('2 The table'!C5*10000,0)=614,"PASS","FAIL")</f>
        <v>PASS</v>
      </c>
    </row>
    <row r="6" customFormat="false" ht="15" hidden="false" customHeight="false" outlineLevel="0" collapsed="false">
      <c r="A6" s="30" t="n">
        <v>2</v>
      </c>
      <c r="B6" s="36" t="s">
        <v>180</v>
      </c>
      <c r="C6" s="37" t="str">
        <f aca="false">IF(ROUND('2 The table'!C6*10000,0)=493,"PASS","FAIL")</f>
        <v>PASS</v>
      </c>
    </row>
    <row r="7" customFormat="false" ht="15" hidden="false" customHeight="false" outlineLevel="0" collapsed="false">
      <c r="A7" s="30" t="n">
        <v>3</v>
      </c>
      <c r="B7" s="36" t="s">
        <v>181</v>
      </c>
      <c r="C7" s="37" t="str">
        <f aca="false">IF(ROUND('2 The table'!C7*10000,0)=423,"PASS","FAIL")</f>
        <v>PASS</v>
      </c>
    </row>
    <row r="8" customFormat="false" ht="15" hidden="false" customHeight="false" outlineLevel="0" collapsed="false">
      <c r="A8" s="30" t="n">
        <v>4</v>
      </c>
      <c r="B8" s="36" t="s">
        <v>182</v>
      </c>
      <c r="C8" s="37" t="str">
        <f aca="false">IF(ROUND('2 The table'!D5,0)=-89,"PASS","FAIL")</f>
        <v>PASS</v>
      </c>
    </row>
    <row r="9" customFormat="false" ht="15" hidden="false" customHeight="false" outlineLevel="0" collapsed="false">
      <c r="A9" s="30" t="n">
        <v>5</v>
      </c>
      <c r="B9" s="36" t="s">
        <v>183</v>
      </c>
      <c r="C9" s="37" t="str">
        <f aca="false">IF(ROUND('2 The table'!D6,0)=32,"PASS","FAIL")</f>
        <v>PASS</v>
      </c>
    </row>
    <row r="10" customFormat="false" ht="15" hidden="false" customHeight="false" outlineLevel="0" collapsed="false">
      <c r="A10" s="30" t="n">
        <v>6</v>
      </c>
      <c r="B10" s="36" t="s">
        <v>184</v>
      </c>
      <c r="C10" s="37" t="str">
        <f aca="false">IF(ROUND('2 The table'!D7,0)=102,"PASS","FAIL")</f>
        <v>PASS</v>
      </c>
    </row>
    <row r="11" customFormat="false" ht="15" hidden="false" customHeight="false" outlineLevel="0" collapsed="false">
      <c r="A11" s="30" t="n">
        <v>7</v>
      </c>
      <c r="B11" s="36" t="s">
        <v>185</v>
      </c>
      <c r="C11" s="37" t="str">
        <f aca="false">IF(AND(ROUND('2 The table'!D5,0)='2 The table'!E5,ROUND('2 The table'!D6,0)='2 The table'!E6,ROUND('2 The table'!D7,0)='2 The table'!E7),"PASS","FAIL")</f>
        <v>PASS</v>
      </c>
    </row>
    <row r="12" customFormat="false" ht="15" hidden="false" customHeight="false" outlineLevel="0" collapsed="false">
      <c r="A12" s="30" t="n">
        <v>8</v>
      </c>
      <c r="B12" s="36" t="s">
        <v>186</v>
      </c>
      <c r="C12" s="37" t="str">
        <f aca="false">IF(ROUND('2 The table'!B5*1000,0)=197,"PASS","FAIL")</f>
        <v>PASS</v>
      </c>
    </row>
    <row r="13" customFormat="false" ht="15" hidden="false" customHeight="false" outlineLevel="0" collapsed="false">
      <c r="A13" s="30" t="n">
        <v>9</v>
      </c>
      <c r="B13" s="36" t="s">
        <v>187</v>
      </c>
      <c r="C13" s="37" t="str">
        <f aca="false">IF('2 The table'!D6&gt;0,"ACCRETIVE AT NAV","neutral at NAV")</f>
        <v>ACCRETIVE AT NAV</v>
      </c>
    </row>
    <row r="14" customFormat="false" ht="15" hidden="false" customHeight="false" outlineLevel="0" collapsed="false">
      <c r="A14" s="30" t="n">
        <v>10</v>
      </c>
      <c r="B14" s="36" t="s">
        <v>188</v>
      </c>
      <c r="C14" s="37" t="str">
        <f aca="false">IF('3 The frontier'!$B$5&lt;'1 Inputs'!$B$7,"BELOW NAV","at or above NAV")</f>
        <v>BELOW NAV</v>
      </c>
    </row>
    <row r="15" customFormat="false" ht="15" hidden="false" customHeight="false" outlineLevel="0" collapsed="false">
      <c r="A15" s="30" t="n">
        <v>11</v>
      </c>
      <c r="B15" s="36" t="s">
        <v>189</v>
      </c>
      <c r="C15" s="37" t="str">
        <f aca="false">IF(AND('3 The frontier'!$B$6&gt;=0.05,'3 The frontier'!$B$6&lt;=0.08),"PASS","FAIL")</f>
        <v>PASS</v>
      </c>
    </row>
    <row r="16" customFormat="false" ht="15" hidden="false" customHeight="false" outlineLevel="0" collapsed="false">
      <c r="A16" s="30" t="n">
        <v>12</v>
      </c>
      <c r="B16" s="36" t="s">
        <v>190</v>
      </c>
      <c r="C16" s="37" t="str">
        <f aca="false">IF('3 The frontier'!$B$8&gt;'3 The frontier'!$B$6,"PASS","FAIL")</f>
        <v>PASS</v>
      </c>
    </row>
    <row r="17" customFormat="false" ht="15" hidden="false" customHeight="false" outlineLevel="0" collapsed="false">
      <c r="A17" s="30" t="n">
        <v>13</v>
      </c>
      <c r="B17" s="36" t="s">
        <v>191</v>
      </c>
      <c r="C17" s="37" t="str">
        <f aca="false">IF('3 The frontier'!$B$10&gt;500,"PASS","FAIL")</f>
        <v>PASS</v>
      </c>
    </row>
    <row r="18" customFormat="false" ht="15" hidden="false" customHeight="false" outlineLevel="0" collapsed="false">
      <c r="A18" s="30" t="n">
        <v>14</v>
      </c>
      <c r="B18" s="36" t="s">
        <v>192</v>
      </c>
      <c r="C18" s="37" t="str">
        <f aca="false">IF(ROUND('3 The frontier'!$B$14,0)=800,"PASS","FAIL")</f>
        <v>PASS</v>
      </c>
    </row>
    <row r="19" customFormat="false" ht="15" hidden="false" customHeight="false" outlineLevel="0" collapsed="false">
      <c r="A19" s="30" t="n">
        <v>15</v>
      </c>
      <c r="B19" s="36" t="s">
        <v>193</v>
      </c>
      <c r="C19" s="37" t="str">
        <f aca="false">IF(ROUND('3 The frontier'!$B$15,2)=4.44,"PASS","FAIL")</f>
        <v>PASS</v>
      </c>
    </row>
    <row r="20" customFormat="false" ht="15" hidden="false" customHeight="false" outlineLevel="0" collapsed="false">
      <c r="A20" s="30" t="n">
        <v>16</v>
      </c>
      <c r="B20" s="36" t="s">
        <v>194</v>
      </c>
      <c r="C20" s="37" t="str">
        <f aca="false">IF(ROUND('3 The frontier'!$B$16*1000,0)=103,"PASS","FAIL")</f>
        <v>PASS</v>
      </c>
    </row>
    <row r="21" customFormat="false" ht="15" hidden="false" customHeight="false" outlineLevel="0" collapsed="false">
      <c r="A21" s="30" t="n">
        <v>17</v>
      </c>
      <c r="B21" s="36" t="s">
        <v>195</v>
      </c>
      <c r="C21" s="37" t="str">
        <f aca="false">IF(AND('3 The frontier'!$B$15/('1 Inputs'!$B$7-'3 The frontier'!$B$5)&gt;=1,'3 The frontier'!$B$15/('1 Inputs'!$B$7-'3 The frontier'!$B$5)&lt;=2.5),"PASS","FAIL")</f>
        <v>PASS</v>
      </c>
    </row>
    <row r="22" customFormat="false" ht="15" hidden="false" customHeight="false" outlineLevel="0" collapsed="false">
      <c r="A22" s="30" t="n">
        <v>18</v>
      </c>
      <c r="B22" s="36" t="s">
        <v>196</v>
      </c>
      <c r="C22" s="37" t="str">
        <f aca="false">IF(ABS('2 The table'!$B$15)&gt;25,"PASS","FAIL")</f>
        <v>PASS</v>
      </c>
    </row>
    <row r="23" customFormat="false" ht="15" hidden="false" customHeight="false" outlineLevel="0" collapsed="false">
      <c r="A23" s="30" t="n">
        <v>19</v>
      </c>
      <c r="B23" s="36" t="s">
        <v>197</v>
      </c>
      <c r="C23" s="37" t="str">
        <f aca="false">IF(AND('3 The frontier'!D22&gt;'3 The frontier'!D27,'3 The frontier'!D27&gt;'3 The frontier'!D32),"PASS","FAIL")</f>
        <v>PASS</v>
      </c>
    </row>
    <row r="24" customFormat="false" ht="15" hidden="false" customHeight="false" outlineLevel="0" collapsed="false">
      <c r="A24" s="30" t="n">
        <v>20</v>
      </c>
      <c r="B24" s="36" t="s">
        <v>198</v>
      </c>
      <c r="C24" s="37" t="str">
        <f aca="false">IF(COUNTIF('3 The frontier'!F22:F32,"yes, on the prescribed test only")&gt;0,"PASS","FAIL")</f>
        <v>PASS</v>
      </c>
    </row>
    <row r="25" customFormat="false" ht="15" hidden="false" customHeight="false" outlineLevel="0" collapsed="false">
      <c r="A25" s="30" t="n">
        <v>21</v>
      </c>
      <c r="B25" s="36" t="s">
        <v>199</v>
      </c>
      <c r="C25" s="37" t="str">
        <f aca="false">IF(AND('4 The loop'!F7&gt;'4 The loop'!F6,'4 The loop'!F8&gt;'4 The loop'!F7),"PASS","FAIL")</f>
        <v>PASS</v>
      </c>
    </row>
    <row r="26" customFormat="false" ht="15" hidden="false" customHeight="false" outlineLevel="0" collapsed="false">
      <c r="A26" s="30" t="n">
        <v>22</v>
      </c>
      <c r="B26" s="36" t="s">
        <v>200</v>
      </c>
      <c r="C26" s="37" t="str">
        <f aca="false">IF(AND('4 The loop'!C7&gt;'4 The loop'!C6,'4 The loop'!C8&gt;'4 The loop'!C7),"PASS","FAIL")</f>
        <v>PASS</v>
      </c>
    </row>
    <row r="27" customFormat="false" ht="15" hidden="false" customHeight="false" outlineLevel="0" collapsed="false">
      <c r="A27" s="30" t="n">
        <v>23</v>
      </c>
      <c r="B27" s="36" t="s">
        <v>201</v>
      </c>
      <c r="C27" s="37" t="str">
        <f aca="false">IF(AND('4 The loop'!D7&lt;'4 The loop'!D6,'4 The loop'!D8&lt;'4 The loop'!D7),"SELF-REINFORCING","not self-reinforcing")</f>
        <v>SELF-REINFORCING</v>
      </c>
    </row>
    <row r="28" customFormat="false" ht="15" hidden="false" customHeight="false" outlineLevel="0" collapsed="false">
      <c r="A28" s="30" t="n">
        <v>24</v>
      </c>
      <c r="B28" s="36" t="s">
        <v>202</v>
      </c>
      <c r="C28" s="37" t="str">
        <f aca="false">IF('4 The loop'!D18&gt;'4 The loop'!D16,"SELF-REINFORCING","not self-reinforcing")</f>
        <v>SELF-REINFORCING</v>
      </c>
    </row>
    <row r="29" customFormat="false" ht="15" hidden="false" customHeight="false" outlineLevel="0" collapsed="false">
      <c r="A29" s="30" t="n">
        <v>25</v>
      </c>
      <c r="B29" s="36" t="s">
        <v>203</v>
      </c>
      <c r="C29" s="37" t="str">
        <f aca="false">IF('4 The loop'!$B$10&lt;0,"PASS","FAIL")</f>
        <v>PASS</v>
      </c>
    </row>
    <row r="30" customFormat="false" ht="15" hidden="false" customHeight="false" outlineLevel="0" collapsed="false">
      <c r="A30" s="30" t="n">
        <v>26</v>
      </c>
      <c r="B30" s="36" t="s">
        <v>204</v>
      </c>
      <c r="C30" s="37" t="str">
        <f aca="false">IF('4 The loop'!$B$20&gt;0,"PASS","FAIL")</f>
        <v>PASS</v>
      </c>
    </row>
    <row r="31" customFormat="false" ht="15" hidden="false" customHeight="false" outlineLevel="0" collapsed="false">
      <c r="A31" s="30" t="n">
        <v>27</v>
      </c>
      <c r="B31" s="36" t="s">
        <v>205</v>
      </c>
      <c r="C31" s="37" t="str">
        <f aca="false">IF(ABS('4 The loop'!$B$25)&gt;2*'4 The loop'!$B$26,"NOT SYMMETRIC","comparable")</f>
        <v>NOT SYMMETRIC</v>
      </c>
    </row>
    <row r="32" customFormat="false" ht="15" hidden="false" customHeight="false" outlineLevel="0" collapsed="false">
      <c r="A32" s="30" t="n">
        <v>28</v>
      </c>
      <c r="B32" s="36" t="s">
        <v>206</v>
      </c>
      <c r="C32" s="37" t="str">
        <f aca="false">IF('4 The loop'!$B$27&gt;4,"PASS","FAIL")</f>
        <v>PASS</v>
      </c>
    </row>
    <row r="33" customFormat="false" ht="15" hidden="false" customHeight="false" outlineLevel="0" collapsed="false">
      <c r="A33" s="30" t="n">
        <v>29</v>
      </c>
      <c r="B33" s="36" t="s">
        <v>207</v>
      </c>
      <c r="C33" s="37" t="str">
        <f aca="false">IF('5 Four ways out'!$B$9&gt;0,"PASS","FAIL")</f>
        <v>PASS</v>
      </c>
    </row>
    <row r="34" customFormat="false" ht="15" hidden="false" customHeight="false" outlineLevel="0" collapsed="false">
      <c r="A34" s="30" t="n">
        <v>30</v>
      </c>
      <c r="B34" s="36" t="s">
        <v>208</v>
      </c>
      <c r="C34" s="37" t="str">
        <f aca="false">IF('5 Four ways out'!$B$11&gt;0,"PASS","FAIL")</f>
        <v>PASS</v>
      </c>
    </row>
    <row r="35" customFormat="false" ht="15" hidden="false" customHeight="false" outlineLevel="0" collapsed="false">
      <c r="A35" s="30" t="n">
        <v>31</v>
      </c>
      <c r="B35" s="36" t="s">
        <v>209</v>
      </c>
      <c r="C35" s="37" t="str">
        <f aca="false">IF('5 Four ways out'!$B$19&lt;0,"DILUTIVE","accretive")</f>
        <v>DILUTIVE</v>
      </c>
    </row>
    <row r="36" customFormat="false" ht="15" hidden="false" customHeight="false" outlineLevel="0" collapsed="false">
      <c r="A36" s="30" t="n">
        <v>32</v>
      </c>
      <c r="B36" s="36" t="s">
        <v>210</v>
      </c>
      <c r="C36" s="37" t="str">
        <f aca="false">IF('5 Four ways out'!$B$17&lt;'5 Four ways out'!$B$16,"PASS","FAIL")</f>
        <v>PASS</v>
      </c>
    </row>
    <row r="37" customFormat="false" ht="15" hidden="false" customHeight="false" outlineLevel="0" collapsed="false">
      <c r="A37" s="30" t="n">
        <v>33</v>
      </c>
      <c r="B37" s="36" t="s">
        <v>211</v>
      </c>
      <c r="C37" s="37" t="str">
        <f aca="false">IF('5 Four ways out'!$B$22&gt;'5 Four ways out'!$B$23,"PASS","FAIL")</f>
        <v>PASS</v>
      </c>
    </row>
    <row r="38" customFormat="false" ht="15" hidden="false" customHeight="false" outlineLevel="0" collapsed="false">
      <c r="A38" s="30" t="n">
        <v>34</v>
      </c>
      <c r="B38" s="36" t="s">
        <v>212</v>
      </c>
      <c r="C38" s="37" t="str">
        <f aca="false">IF('5 Four ways out'!$B$9&gt;'5 Four ways out'!$B$23,"PASS","FAIL")</f>
        <v>PASS</v>
      </c>
    </row>
    <row r="39" customFormat="false" ht="15" hidden="false" customHeight="false" outlineLevel="0" collapsed="false">
      <c r="A39" s="30" t="n">
        <v>35</v>
      </c>
      <c r="B39" s="36" t="s">
        <v>213</v>
      </c>
      <c r="C39" s="37" t="str">
        <f aca="false">IF('6 The sequence'!$B$10&gt;0,"PASS","FAIL")</f>
        <v>PASS</v>
      </c>
    </row>
    <row r="40" customFormat="false" ht="15" hidden="false" customHeight="false" outlineLevel="0" collapsed="false">
      <c r="A40" s="30" t="n">
        <v>36</v>
      </c>
      <c r="B40" s="36" t="s">
        <v>214</v>
      </c>
      <c r="C40" s="37" t="str">
        <f aca="false">IF('6 The sequence'!$B$11&gt;'1 Inputs'!$B$16/'1 Inputs'!$B$17,"PASS","FAIL")</f>
        <v>PASS</v>
      </c>
    </row>
    <row r="41" customFormat="false" ht="15" hidden="false" customHeight="false" outlineLevel="0" collapsed="false">
      <c r="A41" s="30" t="n">
        <v>37</v>
      </c>
      <c r="B41" s="36" t="s">
        <v>215</v>
      </c>
      <c r="C41" s="37" t="str">
        <f aca="false">IF('6 The sequence'!$B$19&lt;0,"THE BOOK IS RIGHT","the book is not right here")</f>
        <v>THE BOOK IS RIGHT</v>
      </c>
    </row>
    <row r="42" customFormat="false" ht="15" hidden="false" customHeight="false" outlineLevel="0" collapsed="false">
      <c r="A42" s="30" t="n">
        <v>38</v>
      </c>
      <c r="B42" s="36" t="s">
        <v>216</v>
      </c>
      <c r="C42" s="37" t="str">
        <f aca="false">IF('6 The sequence'!$B$17&gt;0.05,"PASS","FAIL")</f>
        <v>PASS</v>
      </c>
    </row>
    <row r="43" customFormat="false" ht="15" hidden="false" customHeight="false" outlineLevel="0" collapsed="false">
      <c r="A43" s="30" t="n">
        <v>39</v>
      </c>
      <c r="B43" s="36" t="s">
        <v>217</v>
      </c>
      <c r="C43" s="37" t="str">
        <f aca="false">IF(COUNT('7 Ten minutes'!B5:B8)=4,"PASS","FAIL")</f>
        <v>PASS</v>
      </c>
    </row>
    <row r="44" customFormat="false" ht="15" hidden="false" customHeight="false" outlineLevel="0" collapsed="false">
      <c r="A44" s="30" t="n">
        <v>40</v>
      </c>
      <c r="B44" s="36" t="s">
        <v>218</v>
      </c>
      <c r="C44" s="37" t="str">
        <f aca="false">IF(ABS('7 Ten minutes'!$B$9-'2 The table'!C5)&lt;0.00001,"PASS","FAIL")</f>
        <v>PASS</v>
      </c>
    </row>
    <row r="45" customFormat="false" ht="15" hidden="false" customHeight="false" outlineLevel="0" collapsed="false">
      <c r="A45" s="30" t="n">
        <v>41</v>
      </c>
      <c r="B45" s="36" t="s">
        <v>219</v>
      </c>
      <c r="C45" s="37" t="str">
        <f aca="false">IF(ABS('7 Ten minutes'!B25-'7 Ten minutes'!B20)&gt;0.05,"THE RULE MATTERS","the rule barely matters")</f>
        <v>THE RULE MATTERS</v>
      </c>
    </row>
    <row r="46" customFormat="false" ht="15" hidden="false" customHeight="false" outlineLevel="0" collapsed="false">
      <c r="A46" s="30" t="n">
        <v>42</v>
      </c>
      <c r="B46" s="36" t="s">
        <v>220</v>
      </c>
      <c r="C46" s="37" t="str">
        <f aca="false">IF(AND(ROUND('2 The table'!D5,0)=-89,ROUND('3 The frontier'!$B$14,0)=800,ROUND('2 The table'!B5*1000,0)=197),"PASS","FAIL")</f>
        <v>PASS</v>
      </c>
    </row>
    <row r="47" customFormat="false" ht="15" hidden="false" customHeight="false" outlineLevel="0" collapsed="false">
      <c r="A47" s="30" t="n">
        <v>43</v>
      </c>
      <c r="B47" s="36" t="s">
        <v>221</v>
      </c>
      <c r="C47" s="37" t="str">
        <f aca="false">IF('4 The loop'!B16='1 Inputs'!B27,"PASS","FAIL")</f>
        <v>PASS</v>
      </c>
    </row>
    <row r="48" customFormat="false" ht="15" hidden="false" customHeight="false" outlineLevel="0" collapsed="false">
      <c r="A48" s="30" t="n">
        <v>44</v>
      </c>
      <c r="B48" s="36" t="s">
        <v>222</v>
      </c>
      <c r="C48" s="37" t="str">
        <f aca="false">IF(ABS('4 The loop'!E16-('1 Inputs'!B13+'4 The loop'!D16/10000*'1 Inputs'!B28))&lt;0.000000000001,"PASS","FAIL")</f>
        <v>PASS</v>
      </c>
    </row>
    <row r="49" customFormat="false" ht="15" hidden="false" customHeight="false" outlineLevel="0" collapsed="false">
      <c r="A49" s="30" t="n">
        <v>45</v>
      </c>
      <c r="B49" s="36" t="s">
        <v>223</v>
      </c>
      <c r="C49" s="37" t="str">
        <f aca="false">IF(ROUND('4 The loop'!B10*1000,0)=-242,"PASS","FAIL")</f>
        <v>PASS</v>
      </c>
    </row>
    <row r="50" customFormat="false" ht="15" hidden="false" customHeight="false" outlineLevel="0" collapsed="false">
      <c r="A50" s="30" t="n">
        <v>46</v>
      </c>
      <c r="B50" s="36" t="s">
        <v>224</v>
      </c>
      <c r="C50" s="37" t="str">
        <f aca="false">IF(ROUND('4 The loop'!B20*1000,0)=41,"PASS","FAIL")</f>
        <v>PASS</v>
      </c>
    </row>
    <row r="52" customFormat="false" ht="15" hidden="false" customHeight="false" outlineLevel="0" collapsed="false">
      <c r="B52" s="38" t="s">
        <v>225</v>
      </c>
      <c r="C52" s="37" t="str">
        <f aca="false">IF(AND(COUNTIF(C5:C50,"PASS")=38,C13="ACCRETIVE AT NAV",C14="BELOW NAV",C27="SELF-REINFORCING",C28="SELF-REINFORCING",C31="NOT SYMMETRIC",C35="DILUTIVE",C41="THE BOOK IS RIGHT",C45="THE RULE MATTERS"),"ALL OK","CHECK")</f>
        <v>ALL OK</v>
      </c>
    </row>
    <row r="54" customFormat="false" ht="15" hidden="false" customHeight="false" outlineLevel="0" collapsed="false">
      <c r="B54" s="0" t="s">
        <v>226</v>
      </c>
    </row>
    <row r="55" customFormat="false" ht="15" hidden="false" customHeight="false" outlineLevel="0" collapsed="false">
      <c r="B55" s="0" t="s">
        <v>227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2026-08-23T04:37:32Z</dcterms:created>
  <dc:creator>openpyxl</dc:creator>
  <dc:description/>
  <dc:language>en-US</dc:language>
  <cp:lastModifiedBy/>
  <dcterms:modified xsi:type="dcterms:W3CDTF">2026-09-24T00:09:35Z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