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puts" sheetId="2" state="visible" r:id="rId2"/>
    <sheet xmlns:r="http://schemas.openxmlformats.org/officeDocument/2006/relationships" name="Capex" sheetId="3" state="visible" r:id="rId3"/>
    <sheet xmlns:r="http://schemas.openxmlformats.org/officeDocument/2006/relationships" name="Energy" sheetId="4" state="visible" r:id="rId4"/>
    <sheet xmlns:r="http://schemas.openxmlformats.org/officeDocument/2006/relationships" name="Market" sheetId="5" state="visible" r:id="rId5"/>
    <sheet xmlns:r="http://schemas.openxmlformats.org/officeDocument/2006/relationships" name="Opex" sheetId="6" state="visible" r:id="rId6"/>
    <sheet xmlns:r="http://schemas.openxmlformats.org/officeDocument/2006/relationships" name="Credits" sheetId="7" state="visible" r:id="rId7"/>
    <sheet xmlns:r="http://schemas.openxmlformats.org/officeDocument/2006/relationships" name="Cases" sheetId="8" state="visible" r:id="rId8"/>
    <sheet xmlns:r="http://schemas.openxmlformats.org/officeDocument/2006/relationships" name="Breakeven" sheetId="9" state="visible" r:id="rId9"/>
    <sheet xmlns:r="http://schemas.openxmlformats.org/officeDocument/2006/relationships" name="Sensitivities" sheetId="10" state="visible" r:id="rId10"/>
    <sheet xmlns:r="http://schemas.openxmlformats.org/officeDocument/2006/relationships" name="Screening" sheetId="11" state="visible" r:id="rId11"/>
    <sheet xmlns:r="http://schemas.openxmlformats.org/officeDocument/2006/relationships" name="Interconnection" sheetId="12" state="visible" r:id="rId12"/>
    <sheet xmlns:r="http://schemas.openxmlformats.org/officeDocument/2006/relationships" name="Stages" sheetId="13" state="visible" r:id="rId13"/>
    <sheet xmlns:r="http://schemas.openxmlformats.org/officeDocument/2006/relationships" name="Sale" sheetId="14" state="visible" r:id="rId14"/>
    <sheet xmlns:r="http://schemas.openxmlformats.org/officeDocument/2006/relationships" name="Debt" sheetId="15" state="visible" r:id="rId15"/>
    <sheet xmlns:r="http://schemas.openxmlformats.org/officeDocument/2006/relationships" name="Tax equity" sheetId="16" state="visible" r:id="rId16"/>
    <sheet xmlns:r="http://schemas.openxmlformats.org/officeDocument/2006/relationships" name="FEOC" sheetId="17" state="visible" r:id="rId17"/>
    <sheet xmlns:r="http://schemas.openxmlformats.org/officeDocument/2006/relationships" name="Wind" sheetId="18" state="visible" r:id="rId18"/>
    <sheet xmlns:r="http://schemas.openxmlformats.org/officeDocument/2006/relationships" name="Hybrid" sheetId="19" state="visible" r:id="rId19"/>
    <sheet xmlns:r="http://schemas.openxmlformats.org/officeDocument/2006/relationships" name="EPC" sheetId="20" state="visible" r:id="rId20"/>
    <sheet xmlns:r="http://schemas.openxmlformats.org/officeDocument/2006/relationships" name="Checks" sheetId="21" state="visible" r:id="rId21"/>
  </sheets>
  <definedNames>
    <definedName name="ntp_year">Inputs!$C$7</definedName>
    <definedName name="cod_year">Inputs!$C$8</definedName>
    <definedName name="life_years">Inputs!$C$9</definedName>
    <definedName name="mwac">Inputs!$C$10</definedName>
    <definedName name="mwdc">Inputs!$C$11</definedName>
    <definedName name="hours">Inputs!$C$12</definedName>
    <definedName name="cf_p50">Inputs!$C$13</definedName>
    <definedName name="deg_rate">Inputs!$C$14</definedName>
    <definedName name="s_iav">Inputs!$C$17</definedName>
    <definedName name="s_lt">Inputs!$C$18</definedName>
    <definedName name="s_mod">Inputs!$C$19</definedName>
    <definedName name="z_p75">Inputs!$C$20</definedName>
    <definedName name="z_p90">Inputs!$C$21</definedName>
    <definedName name="z_p99">Inputs!$C$22</definedName>
    <definedName name="horizon">Inputs!$C$23</definedName>
    <definedName name="loss_1">Inputs!$C$26</definedName>
    <definedName name="loss_2">Inputs!$C$27</definedName>
    <definedName name="loss_3">Inputs!$C$28</definedName>
    <definedName name="loss_4">Inputs!$C$29</definedName>
    <definedName name="loss_5">Inputs!$C$30</definedName>
    <definedName name="loss_6">Inputs!$C$31</definedName>
    <definedName name="loss_7">Inputs!$C$32</definedName>
    <definedName name="loss_8">Inputs!$C$33</definedName>
    <definedName name="losses">Inputs!$C$26:$C$33</definedName>
    <definedName name="acres_opt">Inputs!$C$36</definedName>
    <definedName name="acres_lease">Inputs!$C$37</definedName>
    <definedName name="opt_fee">Inputs!$C$38</definedName>
    <definedName name="rent_acre">Inputs!$C$39</definedName>
    <definedName name="rent_esc">Inputs!$C$40</definedName>
    <definedName name="lease_term">Inputs!$C$41</definedName>
    <definedName name="lease_ext">Inputs!$C$42</definedName>
    <definedName name="lease_ext_years">Inputs!$C$43</definedName>
    <definedName name="module_w">Inputs!$C$46</definedName>
    <definedName name="tracker_w">Inputs!$C$47</definedName>
    <definedName name="inverter_w">Inputs!$C$48</definedName>
    <definedName name="bos_w">Inputs!$C$49</definedName>
    <definedName name="substation">Inputs!$C$50</definedName>
    <definedName name="contingency">Inputs!$C$51</definedName>
    <definedName name="interconnect">Inputs!$C$52</definedName>
    <definedName name="owner">Inputs!$C$53</definedName>
    <definedName name="decom_w">Inputs!$C$54</definedName>
    <definedName name="gentie_share">Inputs!$C$55</definedName>
    <definedName name="dev_2022">Inputs!$C$58</definedName>
    <definedName name="dev_2023">Inputs!$C$59</definedName>
    <definedName name="dev_2024">Inputs!$C$60</definedName>
    <definedName name="dev_2025">Inputs!$C$61</definedName>
    <definedName name="dev_2026">Inputs!$C$62</definedName>
    <definedName name="ic_security">Inputs!$C$63</definedName>
    <definedName name="boc_spend">Inputs!$C$64</definedName>
    <definedName name="out_amt">Inputs!$C$58:$C$64</definedName>
    <definedName name="out_date">Inputs!$D$58:$D$64</definedName>
    <definedName name="dev_amt">Inputs!$C$58:$C$62</definedName>
    <definedName name="dev_date">Inputs!$D$58:$D$62</definedName>
    <definedName name="premium">Inputs!$C$67</definedName>
    <definedName name="r_dev">Inputs!$C$68</definedName>
    <definedName name="study_deposit">Inputs!$C$69</definedName>
    <definedName name="dep_mult">Inputs!$C$70</definedName>
    <definedName name="dep_restudy">Inputs!$C$71</definedName>
    <definedName name="dep_facilities">Inputs!$C$72</definedName>
    <definedName name="dep_lgia">Inputs!$C$73</definedName>
    <definedName name="stage_p_1">Inputs!$C$76</definedName>
    <definedName name="stage_p_2">Inputs!$C$77</definedName>
    <definedName name="stage_p_3">Inputs!$C$78</definedName>
    <definedName name="stage_p_4">Inputs!$C$79</definedName>
    <definedName name="stage_p_5">Inputs!$C$80</definedName>
    <definedName name="stage_p_6">Inputs!$C$81</definedName>
    <definedName name="stage_p_7">Inputs!$C$82</definedName>
    <definedName name="st_p">Inputs!$C$76:$C$82</definedName>
    <definedName name="st_date">Inputs!$D$76:$D$82</definedName>
    <definedName name="pipe_2022">Inputs!$C$85</definedName>
    <definedName name="pipe_2023">Inputs!$C$86</definedName>
    <definedName name="pipe_2024">Inputs!$C$87</definedName>
    <definedName name="pipe_2025">Inputs!$C$88</definedName>
    <definedName name="pipe_2026">Inputs!$C$89</definedName>
    <definedName name="pipe_2027">Inputs!$C$90</definedName>
    <definedName name="eo_upfront">Inputs!$C$93</definedName>
    <definedName name="eo_lgia">Inputs!$C$94</definedName>
    <definedName name="eo_ntp">Inputs!$C$95</definedName>
    <definedName name="eo_date">Inputs!$C$96</definedName>
    <definedName name="sale_year">Inputs!$C$97</definedName>
    <definedName name="delay_stage">Inputs!$C$98</definedName>
    <definedName name="delay_years">Inputs!$C$99</definedName>
    <definedName name="om_kw">Inputs!$C$102</definedName>
    <definedName name="am_cost">Inputs!$C$103</definedName>
    <definedName name="ins_rate">Inputs!$C$104</definedName>
    <definedName name="prop_tax">Inputs!$C$105</definedName>
    <definedName name="misc_cost">Inputs!$C$106</definedName>
    <definedName name="opex_esc">Inputs!$C$107</definedName>
    <definedName name="hub_2028">Inputs!$C$110</definedName>
    <definedName name="hub_esc">Inputs!$C$111</definedName>
    <definedName name="capture_2028">Inputs!$C$112</definedName>
    <definedName name="capture_step">Inputs!$C$113</definedName>
    <definedName name="capture_floor">Inputs!$C$114</definedName>
    <definedName name="basis_2028">Inputs!$C$115</definedName>
    <definedName name="rec_price">Inputs!$C$116</definedName>
    <definedName name="cap_mwday">Inputs!$C$117</definedName>
    <definedName name="days_year">Inputs!$C$118</definedName>
    <definedName name="acc_2028">Inputs!$C$119</definedName>
    <definedName name="acc_step">Inputs!$C$120</definedName>
    <definedName name="acc_floor">Inputs!$C$121</definedName>
    <definedName name="u_price">Inputs!$C$124</definedName>
    <definedName name="u_esc">Inputs!$C$125</definedName>
    <definedName name="u_years">Inputs!$C$126</definedName>
    <definedName name="c_price">Inputs!$C$127</definedName>
    <definedName name="c_years">Inputs!$C$128</definedName>
    <definedName name="ptc_base">Inputs!$C$131</definedName>
    <definedName name="ptc_factor">Inputs!$C$132</definedName>
    <definedName name="ptc_factor_year">Inputs!$C$133</definedName>
    <definedName name="ptc_factor_g">Inputs!$C$134</definedName>
    <definedName name="ptc_round">Inputs!$C$135</definedName>
    <definedName name="ptc_mult">Inputs!$C$136</definedName>
    <definedName name="ptc_years">Inputs!$C$137</definedName>
    <definedName name="itc_rate">Inputs!$C$138</definedName>
    <definedName name="ec_bonus">Inputs!$C$139</definedName>
    <definedName name="dc_bonus">Inputs!$C$140</definedName>
    <definedName name="transfer_itc">Inputs!$C$141</definedName>
    <definedName name="transfer_ptc">Inputs!$C$142</definedName>
    <definedName name="r_c">Inputs!$C$145</definedName>
    <definedName name="r_m">Inputs!$C$146</definedName>
    <definedName name="kd_rate">Inputs!$C$149</definedName>
    <definedName name="dscr_p50">Inputs!$C$150</definedName>
    <definedName name="dscr_p99">Inputs!$C$151</definedName>
    <definedName name="dscr_m">Inputs!$C$152</definedName>
    <definedName name="tenor_u">Inputs!$C$153</definedName>
    <definedName name="tenor_c">Inputs!$C$154</definedName>
    <definedName name="tenor_m">Inputs!$C$155</definedName>
    <definedName name="constr_rate">Inputs!$C$156</definedName>
    <definedName name="constr_avg">Inputs!$C$157</definedName>
    <definedName name="te_yield">Inputs!$C$160</definedName>
    <definedName name="te_alloc_pre">Inputs!$C$161</definedName>
    <definedName name="te_cash_pre">Inputs!$C$162</definedName>
    <definedName name="te_cash_post">Inputs!$C$163</definedName>
    <definedName name="te_flip">Inputs!$C$164</definedName>
    <definedName name="tax_rate">Inputs!$C$165</definedName>
    <definedName name="macrs_1">Inputs!$C$166</definedName>
    <definedName name="macrs_2">Inputs!$C$167</definedName>
    <definedName name="macrs_3">Inputs!$C$168</definedName>
    <definedName name="macrs_4">Inputs!$C$169</definedName>
    <definedName name="macrs_5">Inputs!$C$170</definedName>
    <definedName name="macrs_6">Inputs!$C$171</definedName>
    <definedName name="macrs">Inputs!$C$166:$C$171</definedName>
    <definedName name="gentie_mile">Inputs!$C$177</definedName>
    <definedName name="base_miles">Inputs!$C$178</definedName>
    <definedName name="w_mw">Inputs!$C$181</definedName>
    <definedName name="w_turbines">Inputs!$C$182</definedName>
    <definedName name="w_unit_mw">Inputs!$C$183</definedName>
    <definedName name="w_cf_p50">Inputs!$C$184</definedName>
    <definedName name="w_life">Inputs!$C$185</definedName>
    <definedName name="w_s_iav">Inputs!$C$186</definedName>
    <definedName name="w_s_lt">Inputs!$C$187</definedName>
    <definedName name="w_s_mod">Inputs!$C$188</definedName>
    <definedName name="w_turbine_kw">Inputs!$C$189</definedName>
    <definedName name="w_bop_kw">Inputs!$C$190</definedName>
    <definedName name="w_substation">Inputs!$C$191</definedName>
    <definedName name="w_contingency">Inputs!$C$192</definedName>
    <definedName name="w_interconnect">Inputs!$C$193</definedName>
    <definedName name="w_owner">Inputs!$C$194</definedName>
    <definedName name="w_decom_kw">Inputs!$C$195</definedName>
    <definedName name="w_opex_kw">Inputs!$C$196</definedName>
    <definedName name="w_capture0">Inputs!$C$197</definedName>
    <definedName name="w_capture_step">Inputs!$C$198</definedName>
    <definedName name="w_capture_floor">Inputs!$C$199</definedName>
    <definedName name="w_basis">Inputs!$C$200</definedName>
    <definedName name="w_acc0">Inputs!$C$201</definedName>
    <definedName name="w_u_price">Inputs!$C$202</definedName>
    <definedName name="w_u_esc">Inputs!$C$203</definedName>
    <definedName name="w_u_years">Inputs!$C$204</definedName>
    <definedName name="h_mw">Inputs!$C$207</definedName>
    <definedName name="h_mwh">Inputs!$C$208</definedName>
    <definedName name="h_capex_kwh">Inputs!$C$209</definedName>
    <definedName name="h_itc">Inputs!$C$210</definedName>
    <definedName name="h_transfer">Inputs!$C$211</definedName>
    <definedName name="h_cycles">Inputs!$C$212</definedName>
    <definedName name="h_avail">Inputs!$C$213</definedName>
    <definedName name="h_rte">Inputs!$C$214</definedName>
    <definedName name="h_p_eve">Inputs!$C$215</definedName>
    <definedName name="h_p_mid">Inputs!$C$216</definedName>
    <definedName name="h_esc">Inputs!$C$217</definedName>
    <definedName name="h_spread_real_decline">Inputs!$C$218</definedName>
    <definedName name="h_cap_acc">Inputs!$C$219</definedName>
    <definedName name="h_opex_kw">Inputs!$C$220</definedName>
    <definedName name="h_deg">Inputs!$C$221</definedName>
    <definedName name="h_life">Inputs!$C$222</definedName>
    <definedName name="h_clip_mwh">Inputs!$C$223</definedName>
    <definedName name="h_cc_years">Inputs!$C$224</definedName>
    <definedName name="h_cc_7">Inputs!$C$225</definedName>
    <definedName name="h_cc_8">Inputs!$C$226</definedName>
    <definedName name="h_cc_9">Inputs!$C$227</definedName>
    <definedName name="thr_2026">Inputs!$C$236</definedName>
    <definedName name="thr_2027">Inputs!$C$237</definedName>
    <definedName name="thr_2028">Inputs!$C$238</definedName>
    <definedName name="thr_2029">Inputs!$C$239</definedName>
    <definedName name="thr_2030">Inputs!$C$240</definedName>
    <definedName name="ld_mw_day">Inputs!$C$243</definedName>
    <definedName name="ld_cap">Inputs!$C$244</definedName>
    <definedName name="retention">Inputs!$C$245</definedName>
    <definedName name="perf_guarantee">Inputs!$C$246</definedName>
    <definedName name="days_month">Inputs!$C$247</definedName>
    <definedName name="delay_m1">Inputs!$C$248</definedName>
    <definedName name="delay_m3">Inputs!$C$249</definedName>
    <definedName name="delay_m6">Inputs!$C$250</definedName>
    <definedName name="sens_capex">Inputs!$C$253</definedName>
    <definedName name="sens_ic_30">Inputs!$C$254</definedName>
    <definedName name="sens_ic_45">Inputs!$C$255</definedName>
    <definedName name="sens_mod_hi">Inputs!$C$256</definedName>
    <definedName name="sens_mod_lo">Inputs!$C$257</definedName>
    <definedName name="sens_cent">Inputs!$C$258</definedName>
    <definedName name="sens_hub">Inputs!$C$259</definedName>
    <definedName name="sens_rate">Inputs!$C$260</definedName>
    <definedName name="sens_rent">Inputs!$C$261</definedName>
    <definedName name="sens_energy_pt">Inputs!$C$262</definedName>
    <definedName name="fixed_gain">Inputs!$C$263</definedName>
    <definedName name="fixed_saving">Inputs!$C$264</definedName>
    <definedName name="ppa_step">Inputs!$C$265</definedName>
    <definedName name="be_step">Inputs!$C$266</definedName>
    <definedName name="grid_coarse">Inputs!$C$269</definedName>
    <definedName name="grid_fine">Inputs!$C$270</definedName>
    <definedName name="sw_case">Inputs!$C$273</definedName>
    <definedName name="sw_credit">Inputs!$C$274</definedName>
    <definedName name="sw_bonus">Inputs!$C$275</definedName>
    <definedName name="sw_energy">Inputs!$C$276</definedName>
    <definedName name="sw_energy_free">Inputs!$C$277</definedName>
    <definedName name="sw_capex">Inputs!$C$278</definedName>
    <definedName name="sw_module">Inputs!$C$279</definedName>
    <definedName name="sw_ic">Inputs!$C$280</definedName>
    <definedName name="sw_hub">Inputs!$C$281</definedName>
    <definedName name="sw_rate">Inputs!$C$282</definedName>
    <definedName name="x_scale">Inputs!$C$285</definedName>
    <definedName name="x_module">Inputs!$C$286</definedName>
    <definedName name="x_tracker">Inputs!$C$287</definedName>
    <definedName name="x_inverter">Inputs!$C$288</definedName>
    <definedName name="x_bos">Inputs!$C$289</definedName>
    <definedName name="x_sub">Inputs!$C$290</definedName>
    <definedName name="x_ic">Inputs!$C$291</definedName>
    <definedName name="x_rc">Inputs!$C$292</definedName>
    <definedName name="x_rm">Inputs!$C$293</definedName>
    <definedName name="reimb">Inputs!$C$294</definedName>
    <definedName name="ntp_price">Inputs!$C$295</definedName>
    <definedName name="e_p50">Energy!$C$13</definedName>
    <definedName name="yield_dc">Energy!$C$14</definedName>
    <definedName name="yield_ac">Energy!$C$15</definedName>
    <definedName name="e_2037">Energy!$C$16</definedName>
    <definedName name="e_2062">Energy!$C$17</definedName>
    <definedName name="e_gross">Energy!$C$28</definedName>
    <definedName name="loss_total">Energy!$C$29</definedName>
    <definedName name="sigma_1">Energy!$C$32</definedName>
    <definedName name="sigma_10">Energy!$C$33</definedName>
    <definedName name="p90_1">Energy!$C$34</definedName>
    <definedName name="p90_10">Energy!$C$35</definedName>
    <definedName name="p75_10">Energy!$C$36</definedName>
    <definedName name="p99_1">Energy!$C$37</definedName>
    <definedName name="e_p90_1">Energy!$C$38</definedName>
    <definedName name="e_p90_10">Energy!$C$39</definedName>
    <definedName name="e_p99_1">Energy!$C$40</definedName>
    <definedName name="w_e">Energy!$C$43</definedName>
    <definedName name="w_sigma_1">Energy!$C$44</definedName>
    <definedName name="w_sigma_10">Energy!$C$45</definedName>
    <definedName name="w_p90_1">Energy!$C$46</definedName>
    <definedName name="w_p90_10">Energy!$C$47</definedName>
    <definedName name="w_p99_1">Energy!$C$48</definedName>
    <definedName name="w_vs_s_energy">Energy!$C$49</definedName>
    <definedName name="capex_total">Capex!$C$13</definedName>
    <definedName name="decom_end">Opex!$C$22</definedName>
  </definedNames>
  <calcPr calcId="124519" fullCalcOnLoad="1"/>
</workbook>
</file>

<file path=xl/styles.xml><?xml version="1.0" encoding="utf-8"?>
<styleSheet xmlns="http://schemas.openxmlformats.org/spreadsheetml/2006/main">
  <numFmts count="7">
    <numFmt numFmtId="164" formatCode="0.0%"/>
    <numFmt numFmtId="165" formatCode="0.0000"/>
    <numFmt numFmtId="166" formatCode="0.000"/>
    <numFmt numFmtId="167" formatCode="0.0"/>
    <numFmt numFmtId="168" formatCode="0.000%"/>
    <numFmt numFmtId="169" formatCode="#,##0.00,,"/>
    <numFmt numFmtId="170" formatCode="#,##0.000"/>
  </numFmts>
  <fonts count="6">
    <font>
      <name val="Calibri"/>
      <family val="2"/>
      <color theme="1"/>
      <sz val="11"/>
      <scheme val="minor"/>
    </font>
    <font>
      <name val="Arial"/>
      <b val="1"/>
      <color rgb="001F2933"/>
      <sz val="13"/>
    </font>
    <font>
      <name val="Arial"/>
      <color rgb="005A6670"/>
      <sz val="9"/>
    </font>
    <font>
      <name val="Arial"/>
      <b val="1"/>
      <sz val="10"/>
    </font>
    <font>
      <name val="Arial"/>
      <sz val="10"/>
    </font>
    <font>
      <name val="Arial"/>
      <color rgb="001F4E9E"/>
      <sz val="10"/>
    </font>
  </fonts>
  <fills count="3">
    <fill>
      <patternFill/>
    </fill>
    <fill>
      <patternFill patternType="gray125"/>
    </fill>
    <fill>
      <patternFill patternType="solid">
        <fgColor rgb="00E8ECEF"/>
      </patternFill>
    </fill>
  </fills>
  <borders count="1">
    <border>
      <left/>
      <right/>
      <top/>
      <bottom/>
      <diagonal/>
    </border>
  </borders>
  <cellStyleXfs count="1">
    <xf numFmtId="0" fontId="0" fillId="0" borderId="0"/>
  </cellStyleXfs>
  <cellXfs count="43">
    <xf numFmtId="0" fontId="0" fillId="0" borderId="0" pivotButton="0" quotePrefix="0" xfId="0"/>
    <xf numFmtId="0" fontId="1" fillId="0" borderId="0" applyAlignment="1" pivotButton="0" quotePrefix="0" xfId="0">
      <alignment vertical="top" wrapText="1"/>
    </xf>
    <xf numFmtId="0" fontId="4"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1" fontId="5" fillId="0" borderId="0" pivotButton="0" quotePrefix="0" xfId="0"/>
    <xf numFmtId="3" fontId="5" fillId="0" borderId="0" pivotButton="0" quotePrefix="0" xfId="0"/>
    <xf numFmtId="164" fontId="5" fillId="0" borderId="0" pivotButton="0" quotePrefix="0" xfId="0"/>
    <xf numFmtId="165" fontId="5" fillId="0" borderId="0" pivotButton="0" quotePrefix="0" xfId="0"/>
    <xf numFmtId="4" fontId="5" fillId="0" borderId="0" pivotButton="0" quotePrefix="0" xfId="0"/>
    <xf numFmtId="166" fontId="5" fillId="0" borderId="0" pivotButton="0" quotePrefix="0" xfId="0"/>
    <xf numFmtId="0" fontId="3" fillId="0" borderId="0" pivotButton="0" quotePrefix="0" xfId="0"/>
    <xf numFmtId="167" fontId="5" fillId="0" borderId="0" pivotButton="0" quotePrefix="0" xfId="0"/>
    <xf numFmtId="9" fontId="5" fillId="0" borderId="0" pivotButton="0" quotePrefix="0" xfId="0"/>
    <xf numFmtId="10" fontId="5" fillId="0" borderId="0" pivotButton="0" quotePrefix="0" xfId="0"/>
    <xf numFmtId="2" fontId="5" fillId="0" borderId="0" pivotButton="0" quotePrefix="0" xfId="0"/>
    <xf numFmtId="168" fontId="5" fillId="0" borderId="0" pivotButton="0" quotePrefix="0" xfId="0"/>
    <xf numFmtId="49" fontId="5" fillId="0" borderId="0" pivotButton="0" quotePrefix="0" xfId="0"/>
    <xf numFmtId="164" fontId="4" fillId="0" borderId="0" pivotButton="0" quotePrefix="0" xfId="0"/>
    <xf numFmtId="165" fontId="4" fillId="0" borderId="0" pivotButton="0" quotePrefix="0" xfId="0"/>
    <xf numFmtId="3" fontId="4" fillId="0" borderId="0" pivotButton="0" quotePrefix="0" xfId="0"/>
    <xf numFmtId="10" fontId="4" fillId="0" borderId="0" pivotButton="0" quotePrefix="0" xfId="0"/>
    <xf numFmtId="169" fontId="4" fillId="0" borderId="0" pivotButton="0" quotePrefix="0" xfId="0"/>
    <xf numFmtId="169" fontId="3" fillId="0" borderId="0" pivotButton="0" quotePrefix="0" xfId="0"/>
    <xf numFmtId="2" fontId="4" fillId="0" borderId="0" pivotButton="0" quotePrefix="0" xfId="0"/>
    <xf numFmtId="9" fontId="4" fillId="0" borderId="0" pivotButton="0" quotePrefix="0" xfId="0"/>
    <xf numFmtId="1" fontId="3" fillId="0" borderId="0" pivotButton="0" quotePrefix="0" xfId="0"/>
    <xf numFmtId="1" fontId="4" fillId="0" borderId="0" pivotButton="0" quotePrefix="0" xfId="0"/>
    <xf numFmtId="3" fontId="3" fillId="0" borderId="0" pivotButton="0" quotePrefix="0" xfId="0"/>
    <xf numFmtId="4" fontId="4" fillId="0" borderId="0" pivotButton="0" quotePrefix="0" xfId="0"/>
    <xf numFmtId="4" fontId="3" fillId="0" borderId="0" pivotButton="0" quotePrefix="0" xfId="0"/>
    <xf numFmtId="167" fontId="4" fillId="0" borderId="0" pivotButton="0" quotePrefix="0" xfId="0"/>
    <xf numFmtId="2" fontId="3" fillId="0" borderId="0" pivotButton="0" quotePrefix="0" xfId="0"/>
    <xf numFmtId="166" fontId="4" fillId="0" borderId="0" pivotButton="0" quotePrefix="0" xfId="0"/>
    <xf numFmtId="10" fontId="3" fillId="0" borderId="0" pivotButton="0" quotePrefix="0" xfId="0"/>
    <xf numFmtId="167" fontId="3" fillId="0" borderId="0" pivotButton="0" quotePrefix="0" xfId="0"/>
    <xf numFmtId="164" fontId="3" fillId="0" borderId="0" pivotButton="0" quotePrefix="0" xfId="0"/>
    <xf numFmtId="168" fontId="4" fillId="0" borderId="0" pivotButton="0" quotePrefix="0" xfId="0"/>
    <xf numFmtId="9" fontId="3" fillId="0" borderId="0" pivotButton="0" quotePrefix="0" xfId="0"/>
    <xf numFmtId="17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styles" Target="styles.xml" Id="rId22"/><Relationship Type="http://schemas.openxmlformats.org/officeDocument/2006/relationships/theme" Target="theme/theme1.xml" Id="rId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34"/>
  <sheetViews>
    <sheetView showGridLines="0" workbookViewId="0">
      <selection activeCell="A1" sqref="A1"/>
    </sheetView>
  </sheetViews>
  <sheetFormatPr baseColWidth="8" defaultRowHeight="15"/>
  <cols>
    <col width="2" customWidth="1" min="1" max="1"/>
    <col width="130" customWidth="1" min="2" max="2"/>
  </cols>
  <sheetData>
    <row r="2">
      <c r="B2" s="1" t="inlineStr">
        <is>
          <t>The Renewable Energy Development Handbook: companion workbook</t>
        </is>
      </c>
    </row>
    <row r="3">
      <c r="B3" s="2" t="inlineStr">
        <is>
          <t>Julian R. Sterling. Renewable_Energy_Development_Model.xlsx rebuilds every case figure of the book with live formulas.</t>
        </is>
      </c>
    </row>
    <row r="4">
      <c r="B4" s="2" t="inlineStr"/>
    </row>
    <row r="5">
      <c r="B5" s="3" t="inlineStr">
        <is>
          <t>The case</t>
        </is>
      </c>
    </row>
    <row r="6">
      <c r="B6" s="2" t="inlineStr">
        <is>
          <t>Asset: Cedar Hollow Solar: 150 MWac / 195 MWdc (inverter loading ratio 1.30), single-axis trackers, US-assembled modules, in Marlow County, a fictional county of an organized wholesale market in the central United States with a capacity mechanism; point of interconnection on a 230 kV line six miles away.</t>
        </is>
      </c>
    </row>
    <row r="7">
      <c r="B7" s="2" t="inlineStr">
        <is>
          <t>Parties: developer Calder Plains Renewables (Calder); buyer at notice to proceed Ashgrove Clean Power Fund (Ashgrove); utility offtaker Norland Electric Cooperative (Norland); corporate offtaker Quillon Data Systems (Quillon), a data center operator; EPC contractor Ironbridge Constructors (Ironbridge); module supplier Larkspur Solar Manufacturing (Larkspur); the landowners are the Pruett, Haldane and Ostrowski families; all names are fictional.</t>
        </is>
      </c>
    </row>
    <row r="8">
      <c r="B8" s="2" t="inlineStr">
        <is>
          <t>Timeline: land options signed January 2022; interconnection request filed in a cluster January 2023; cluster study results and permit application January 2024; conditional use permit granted by the Marlow County board and facilities study under way January 2025; interconnection agreement (LGIA) signed January 2026; utility PPA signed and construction begun through physical work in June 2026 (before the 4 July 2026 deadline); notice to proceed and sale to Ashgrove 1 January 2027; construction through 2027; commercial operation 1 January 2028; 35 operating years, 2028 to 2062.</t>
        </is>
      </c>
    </row>
    <row r="9">
      <c r="B9" s="2" t="inlineStr"/>
    </row>
    <row r="10">
      <c r="B10" s="3" t="inlineStr">
        <is>
          <t>Colour code</t>
        </is>
      </c>
    </row>
    <row r="11">
      <c r="B11" s="2" t="inlineStr">
        <is>
          <t>Blue type is an input; every hard-coded number of the workbook sits on the Inputs sheet and carries a range name (cf_p50, u_price, premium ...).</t>
        </is>
      </c>
    </row>
    <row r="12">
      <c r="B12" s="2" t="inlineStr">
        <is>
          <t>Black type is a formula. No macro, no circular reference, no external link, no hidden sheet. Money is in dollars, mostly displayed in $ million.</t>
        </is>
      </c>
    </row>
    <row r="13">
      <c r="B13" s="2" t="inlineStr"/>
    </row>
    <row r="14">
      <c r="B14" s="3" t="inlineStr">
        <is>
          <t>Conventions</t>
        </is>
      </c>
    </row>
    <row r="15">
      <c r="B15" s="2" t="inlineStr">
        <is>
          <t>Valuation date 1 January 2027 (Ashgrove pays the NTP price that day). Capital cost less the reimbursement at the end of 2027; each operating year at its end, 2028 to 2062; ITC cash at the end of 2028; decommissioning at the end of 2062.</t>
        </is>
      </c>
    </row>
    <row r="16">
      <c r="B16" s="2" t="inlineStr">
        <is>
          <t>Contracted revenue, credit cash and all costs at 7.0 percent; merchant revenue at 9.5 percent; development stages at 15 percent. Pre-tax: credits at their transfer price; depreciation only on the Tax equity sheet.</t>
        </is>
      </c>
    </row>
    <row r="17">
      <c r="B17" s="2" t="inlineStr">
        <is>
          <t>PTC rate: ROUND(0.3 x factor / 0.05) x 0.05 x 5 cents per kWh, factor 2.0570 growing 2.5 percent a year after 2026 (a case assumption).</t>
        </is>
      </c>
    </row>
    <row r="18">
      <c r="B18" s="2" t="inlineStr"/>
    </row>
    <row r="19">
      <c r="B19" s="3" t="inlineStr">
        <is>
          <t>How to use it</t>
        </is>
      </c>
    </row>
    <row r="20">
      <c r="B20" s="2" t="inlineStr">
        <is>
          <t>1. Change one input or one switch at the bottom of Inputs (offtake case, credit, bonus, energy level, capital cost, module price, network upgrades, hub price, discount rates).</t>
        </is>
      </c>
    </row>
    <row r="21">
      <c r="B21" s="2" t="inlineStr">
        <is>
          <t>2. Read the development value, the highest premium and the IRR on Cases, the debt on Debt, the tornado on Sensitivities.</t>
        </is>
      </c>
    </row>
    <row r="22">
      <c r="B22" s="2" t="inlineStr">
        <is>
          <t>3. Reset the switch before the next test. The Checks sheet reads ALL OK on the default inputs; after a change it shows which printed figures moved.</t>
        </is>
      </c>
    </row>
    <row r="23">
      <c r="B23" s="2" t="inlineStr">
        <is>
          <t>Example: set the network upgrades override to 30,000,000 and case U falls to $21.6 million on Cases.</t>
        </is>
      </c>
    </row>
    <row r="24">
      <c r="B24" s="2" t="inlineStr"/>
    </row>
    <row r="25">
      <c r="B25" s="3" t="inlineStr">
        <is>
          <t>Sheets</t>
        </is>
      </c>
    </row>
    <row r="26">
      <c r="B26" s="2" t="inlineStr">
        <is>
          <t>Inputs; Capex (ch. 8, 10, 11); Energy (ch. 4); Market (ch. 7); Opex (ch. 3, 15); Credits (ch. 11); Cases (ch. 7, 10, 14); Breakeven (ch. 7); Sensitivities (ch. 3, 4, 6, 8, 10, 11);</t>
        </is>
      </c>
    </row>
    <row r="27">
      <c r="B27" s="2" t="inlineStr">
        <is>
          <t>Screening (ch. 2); Interconnection (ch. 6); Stages (ch. 1, 5, 10, 14); Sale (ch. 14); Debt and Tax equity (ch. 12); FEOC (ch. 11); Wind (ch. 2, 4, 8, 11); Hybrid (ch. 13); EPC (ch. 9, 15); Checks.</t>
        </is>
      </c>
    </row>
    <row r="28">
      <c r="B28" s="2" t="inlineStr">
        <is>
          <t>Cases, Sensitivities, Breakeven, Debt, Tax equity and EPC follow the switches. Screening, Stages, Sale, Wind and Hybrid use the base inputs.</t>
        </is>
      </c>
    </row>
    <row r="29">
      <c r="B29" s="2" t="inlineStr"/>
    </row>
    <row r="30">
      <c r="B30" s="3" t="inlineStr">
        <is>
          <t>What the model leaves out</t>
        </is>
      </c>
    </row>
    <row r="31">
      <c r="B31" s="2" t="inlineStr">
        <is>
          <t>Income tax outside the tax equity sheet; hourly dispatch, curtailment and negative prices; availability guarantees and delay damages owed to Norland; financing fees, interest during construction and reserves in the unlevered flows; PTC inflation beyond the 2.5 percent assumption; the value of Calder's team and origination engine.</t>
        </is>
      </c>
    </row>
    <row r="32">
      <c r="B32" s="2" t="inlineStr"/>
    </row>
    <row r="33">
      <c r="B33" s="2" t="inlineStr">
        <is>
          <t>Cedar Hollow Solar, Hartwell Ridge Wind, Calder Plains Renewables, Ashgrove Clean Power Fund, Norland, Quillon, Ironbridge, Larkspur and Marlow County are fictional. All inputs are illustrative teaching assumptions, not market data.</t>
        </is>
      </c>
    </row>
    <row r="34">
      <c r="B34" s="2" t="inlineStr">
        <is>
          <t>Provided as is, without warranty of any kind. Not investment, legal, tax, accounting or engineering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H303"/>
  <sheetViews>
    <sheetView showGridLines="0" workbookViewId="0">
      <selection activeCell="A1" sqref="A1"/>
    </sheetView>
  </sheetViews>
  <sheetFormatPr baseColWidth="8" defaultRowHeight="15"/>
  <cols>
    <col width="2" customWidth="1" min="1" max="1"/>
    <col width="66" customWidth="1" min="2" max="2"/>
    <col width="16" customWidth="1" min="3" max="3"/>
    <col width="14" customWidth="1" min="4" max="4"/>
    <col width="14" customWidth="1" min="5" max="5"/>
    <col width="14" customWidth="1" min="6" max="6"/>
    <col width="14" customWidth="1" min="7" max="7"/>
    <col width="50" customWidth="1" min="8" max="8"/>
  </cols>
  <sheetData>
    <row r="2">
      <c r="B2" s="4" t="inlineStr">
        <is>
          <t>Inputs: every hard-coded number of the workbook (blue = change me)</t>
        </is>
      </c>
    </row>
    <row r="3">
      <c r="B3" s="5" t="inlineStr">
        <is>
          <t>Each input carries a range name (column H) so the formulas read like the book. Reset the scenario switches after a test.</t>
        </is>
      </c>
    </row>
    <row r="6">
      <c r="B6" s="6" t="inlineStr">
        <is>
          <t>Timing and size</t>
        </is>
      </c>
    </row>
    <row r="7">
      <c r="B7" s="7" t="inlineStr">
        <is>
          <t>Valuation date and notice to proceed: 1 January of</t>
        </is>
      </c>
      <c r="C7" s="8" t="n">
        <v>2027</v>
      </c>
      <c r="H7" s="5" t="inlineStr">
        <is>
          <t>ntp_year</t>
        </is>
      </c>
    </row>
    <row r="8">
      <c r="B8" s="7" t="inlineStr">
        <is>
          <t>Commercial operation: 1 January of</t>
        </is>
      </c>
      <c r="C8" s="8" t="n">
        <v>2028</v>
      </c>
      <c r="H8" s="5" t="inlineStr">
        <is>
          <t>cod_year</t>
        </is>
      </c>
    </row>
    <row r="9">
      <c r="B9" s="7" t="inlineStr">
        <is>
          <t>Operating life (years; the operating sheets have 35 columns)</t>
        </is>
      </c>
      <c r="C9" s="8" t="n">
        <v>35</v>
      </c>
      <c r="H9" s="5" t="inlineStr">
        <is>
          <t>life_years</t>
        </is>
      </c>
    </row>
    <row r="10">
      <c r="B10" s="7" t="inlineStr">
        <is>
          <t>Capacity (MWac)</t>
        </is>
      </c>
      <c r="C10" s="9" t="n">
        <v>150</v>
      </c>
      <c r="H10" s="5" t="inlineStr">
        <is>
          <t>mwac</t>
        </is>
      </c>
    </row>
    <row r="11">
      <c r="B11" s="7" t="inlineStr">
        <is>
          <t>Modules (MWdc)</t>
        </is>
      </c>
      <c r="C11" s="9" t="n">
        <v>195</v>
      </c>
      <c r="H11" s="5" t="inlineStr">
        <is>
          <t>mwdc</t>
        </is>
      </c>
    </row>
    <row r="12">
      <c r="B12" s="7" t="inlineStr">
        <is>
          <t>Hours a year</t>
        </is>
      </c>
      <c r="C12" s="9" t="n">
        <v>8760</v>
      </c>
      <c r="H12" s="5" t="inlineStr">
        <is>
          <t>hours</t>
        </is>
      </c>
    </row>
    <row r="13">
      <c r="B13" s="7" t="inlineStr">
        <is>
          <t>Net AC capacity factor, P50, year one</t>
        </is>
      </c>
      <c r="C13" s="10" t="n">
        <v>0.26</v>
      </c>
      <c r="H13" s="5" t="inlineStr">
        <is>
          <t>cf_p50</t>
        </is>
      </c>
    </row>
    <row r="14">
      <c r="B14" s="7" t="inlineStr">
        <is>
          <t>Module degradation a year</t>
        </is>
      </c>
      <c r="C14" s="10" t="n">
        <v>0.004</v>
      </c>
      <c r="H14" s="5" t="inlineStr">
        <is>
          <t>deg_rate</t>
        </is>
      </c>
    </row>
    <row r="16">
      <c r="B16" s="6" t="inlineStr">
        <is>
          <t>Energy uncertainty (one standard deviation, share of P50) and normal quantiles</t>
        </is>
      </c>
    </row>
    <row r="17">
      <c r="B17" s="7" t="inlineStr">
        <is>
          <t>Interannual variability (one year)</t>
        </is>
      </c>
      <c r="C17" s="10" t="n">
        <v>0.05</v>
      </c>
      <c r="H17" s="5" t="inlineStr">
        <is>
          <t>s_iav</t>
        </is>
      </c>
    </row>
    <row r="18">
      <c r="B18" s="7" t="inlineStr">
        <is>
          <t>Long-term resource estimate</t>
        </is>
      </c>
      <c r="C18" s="10" t="n">
        <v>0.04</v>
      </c>
      <c r="H18" s="5" t="inlineStr">
        <is>
          <t>s_lt</t>
        </is>
      </c>
    </row>
    <row r="19">
      <c r="B19" s="7" t="inlineStr">
        <is>
          <t>Energy model and loss assumptions</t>
        </is>
      </c>
      <c r="C19" s="10" t="n">
        <v>0.035</v>
      </c>
      <c r="H19" s="5" t="inlineStr">
        <is>
          <t>s_mod</t>
        </is>
      </c>
    </row>
    <row r="20">
      <c r="B20" s="7" t="inlineStr">
        <is>
          <t>z value for P75</t>
        </is>
      </c>
      <c r="C20" s="11" t="n">
        <v>0.6745</v>
      </c>
      <c r="H20" s="5" t="inlineStr">
        <is>
          <t>z_p75</t>
        </is>
      </c>
    </row>
    <row r="21">
      <c r="B21" s="7" t="inlineStr">
        <is>
          <t>z value for P90</t>
        </is>
      </c>
      <c r="C21" s="11" t="n">
        <v>1.2816</v>
      </c>
      <c r="H21" s="5" t="inlineStr">
        <is>
          <t>z_p90</t>
        </is>
      </c>
    </row>
    <row r="22">
      <c r="B22" s="7" t="inlineStr">
        <is>
          <t>z value for P99</t>
        </is>
      </c>
      <c r="C22" s="11" t="n">
        <v>2.3263</v>
      </c>
      <c r="H22" s="5" t="inlineStr">
        <is>
          <t>z_p99</t>
        </is>
      </c>
    </row>
    <row r="23">
      <c r="B23" s="7" t="inlineStr">
        <is>
          <t>Averaging period of the multi-year exceedance levels (years)</t>
        </is>
      </c>
      <c r="C23" s="8" t="n">
        <v>10</v>
      </c>
      <c r="H23" s="5" t="inlineStr">
        <is>
          <t>horizon</t>
        </is>
      </c>
    </row>
    <row r="25">
      <c r="B25" s="6" t="inlineStr">
        <is>
          <t>Loss waterfall from gross DC energy to net AC energy at the point of interconnection</t>
        </is>
      </c>
    </row>
    <row r="26">
      <c r="B26" s="7" t="inlineStr">
        <is>
          <t>Soiling and snow</t>
        </is>
      </c>
      <c r="C26" s="10" t="n">
        <v>0.02</v>
      </c>
      <c r="H26" s="5" t="inlineStr">
        <is>
          <t>loss_1</t>
        </is>
      </c>
    </row>
    <row r="27">
      <c r="B27" s="7" t="inlineStr">
        <is>
          <t>Near shading and row-to-row shading</t>
        </is>
      </c>
      <c r="C27" s="10" t="n">
        <v>0.015</v>
      </c>
      <c r="H27" s="5" t="inlineStr">
        <is>
          <t>loss_2</t>
        </is>
      </c>
    </row>
    <row r="28">
      <c r="B28" s="7" t="inlineStr">
        <is>
          <t>Temperature</t>
        </is>
      </c>
      <c r="C28" s="10" t="n">
        <v>0.06</v>
      </c>
      <c r="H28" s="5" t="inlineStr">
        <is>
          <t>loss_3</t>
        </is>
      </c>
    </row>
    <row r="29">
      <c r="B29" s="7" t="inlineStr">
        <is>
          <t>Module quality, mismatch and DC wiring</t>
        </is>
      </c>
      <c r="C29" s="10" t="n">
        <v>0.025</v>
      </c>
      <c r="H29" s="5" t="inlineStr">
        <is>
          <t>loss_4</t>
        </is>
      </c>
    </row>
    <row r="30">
      <c r="B30" s="7" t="inlineStr">
        <is>
          <t>Inverter efficiency</t>
        </is>
      </c>
      <c r="C30" s="10" t="n">
        <v>0.02</v>
      </c>
      <c r="H30" s="5" t="inlineStr">
        <is>
          <t>loss_5</t>
        </is>
      </c>
    </row>
    <row r="31">
      <c r="B31" s="7" t="inlineStr">
        <is>
          <t>Clipping at the 1.30 loading ratio</t>
        </is>
      </c>
      <c r="C31" s="10" t="n">
        <v>0.015</v>
      </c>
      <c r="H31" s="5" t="inlineStr">
        <is>
          <t>loss_6</t>
        </is>
      </c>
    </row>
    <row r="32">
      <c r="B32" s="7" t="inlineStr">
        <is>
          <t>AC wiring, transformers and gen-tie</t>
        </is>
      </c>
      <c r="C32" s="10" t="n">
        <v>0.015</v>
      </c>
      <c r="H32" s="5" t="inlineStr">
        <is>
          <t>loss_7</t>
        </is>
      </c>
    </row>
    <row r="33">
      <c r="B33" s="7" t="inlineStr">
        <is>
          <t>Availability</t>
        </is>
      </c>
      <c r="C33" s="10" t="n">
        <v>0.01</v>
      </c>
      <c r="H33" s="5" t="inlineStr">
        <is>
          <t>loss_8</t>
        </is>
      </c>
    </row>
    <row r="35">
      <c r="B35" s="6" t="inlineStr">
        <is>
          <t>Land</t>
        </is>
      </c>
    </row>
    <row r="36">
      <c r="B36" s="7" t="inlineStr">
        <is>
          <t>Acres optioned in 2022</t>
        </is>
      </c>
      <c r="C36" s="9" t="n">
        <v>1250</v>
      </c>
      <c r="H36" s="5" t="inlineStr">
        <is>
          <t>acres_opt</t>
        </is>
      </c>
    </row>
    <row r="37">
      <c r="B37" s="7" t="inlineStr">
        <is>
          <t>Acres finally leased</t>
        </is>
      </c>
      <c r="C37" s="9" t="n">
        <v>1050</v>
      </c>
      <c r="H37" s="5" t="inlineStr">
        <is>
          <t>acres_lease</t>
        </is>
      </c>
    </row>
    <row r="38">
      <c r="B38" s="7" t="inlineStr">
        <is>
          <t>Option payment during development ($ per acre-year)</t>
        </is>
      </c>
      <c r="C38" s="12" t="n">
        <v>40</v>
      </c>
      <c r="H38" s="5" t="inlineStr">
        <is>
          <t>opt_fee</t>
        </is>
      </c>
    </row>
    <row r="39">
      <c r="B39" s="7" t="inlineStr">
        <is>
          <t>Lease rent from 2028 ($ per acre-year)</t>
        </is>
      </c>
      <c r="C39" s="12" t="n">
        <v>1000</v>
      </c>
      <c r="H39" s="5" t="inlineStr">
        <is>
          <t>rent_acre</t>
        </is>
      </c>
    </row>
    <row r="40">
      <c r="B40" s="7" t="inlineStr">
        <is>
          <t>Rent escalation a year</t>
        </is>
      </c>
      <c r="C40" s="10" t="n">
        <v>0.02</v>
      </c>
      <c r="H40" s="5" t="inlineStr">
        <is>
          <t>rent_esc</t>
        </is>
      </c>
    </row>
    <row r="41">
      <c r="B41" s="7" t="inlineStr">
        <is>
          <t>Operating term of the lease (years)</t>
        </is>
      </c>
      <c r="C41" s="8" t="n">
        <v>35</v>
      </c>
      <c r="H41" s="5" t="inlineStr">
        <is>
          <t>lease_term</t>
        </is>
      </c>
    </row>
    <row r="42">
      <c r="B42" s="7" t="inlineStr">
        <is>
          <t>Number of extensions</t>
        </is>
      </c>
      <c r="C42" s="8" t="n">
        <v>2</v>
      </c>
      <c r="H42" s="5" t="inlineStr">
        <is>
          <t>lease_ext</t>
        </is>
      </c>
    </row>
    <row r="43">
      <c r="B43" s="7" t="inlineStr">
        <is>
          <t>Length of each extension (years)</t>
        </is>
      </c>
      <c r="C43" s="8" t="n">
        <v>5</v>
      </c>
      <c r="H43" s="5" t="inlineStr">
        <is>
          <t>lease_ext_years</t>
        </is>
      </c>
    </row>
    <row r="45">
      <c r="B45" s="6" t="inlineStr">
        <is>
          <t>Capital cost (2027 dollars)</t>
        </is>
      </c>
    </row>
    <row r="46">
      <c r="B46" s="7" t="inlineStr">
        <is>
          <t>Modules ($/Wdc, owner-furnished)</t>
        </is>
      </c>
      <c r="C46" s="13" t="n">
        <v>0.3</v>
      </c>
      <c r="H46" s="5" t="inlineStr">
        <is>
          <t>module_w</t>
        </is>
      </c>
    </row>
    <row r="47">
      <c r="B47" s="7" t="inlineStr">
        <is>
          <t>Trackers and racking ($/Wdc)</t>
        </is>
      </c>
      <c r="C47" s="13" t="n">
        <v>0.14</v>
      </c>
      <c r="H47" s="5" t="inlineStr">
        <is>
          <t>tracker_w</t>
        </is>
      </c>
    </row>
    <row r="48">
      <c r="B48" s="7" t="inlineStr">
        <is>
          <t>Inverters and medium-voltage skids ($/Wac)</t>
        </is>
      </c>
      <c r="C48" s="13" t="n">
        <v>0.06</v>
      </c>
      <c r="H48" s="5" t="inlineStr">
        <is>
          <t>inverter_w</t>
        </is>
      </c>
    </row>
    <row r="49">
      <c r="B49" s="7" t="inlineStr">
        <is>
          <t>Electrical balance of system, civil works, installation ($/Wdc)</t>
        </is>
      </c>
      <c r="C49" s="13" t="n">
        <v>0.4</v>
      </c>
      <c r="H49" s="5" t="inlineStr">
        <is>
          <t>bos_w</t>
        </is>
      </c>
    </row>
    <row r="50">
      <c r="B50" s="7" t="inlineStr">
        <is>
          <t>Project substation and 6-mile 230 kV gen-tie ($)</t>
        </is>
      </c>
      <c r="C50" s="9" t="n">
        <v>12000000</v>
      </c>
      <c r="H50" s="5" t="inlineStr">
        <is>
          <t>substation</t>
        </is>
      </c>
    </row>
    <row r="51">
      <c r="B51" s="7" t="inlineStr">
        <is>
          <t>Contingency on modules plus EPC scope</t>
        </is>
      </c>
      <c r="C51" s="10" t="n">
        <v>0.05</v>
      </c>
      <c r="H51" s="5" t="inlineStr">
        <is>
          <t>contingency</t>
        </is>
      </c>
    </row>
    <row r="52">
      <c r="B52" s="7" t="inlineStr">
        <is>
          <t>Network upgrades assigned in the facilities study ($)</t>
        </is>
      </c>
      <c r="C52" s="9" t="n">
        <v>18000000</v>
      </c>
      <c r="H52" s="5" t="inlineStr">
        <is>
          <t>interconnect</t>
        </is>
      </c>
    </row>
    <row r="53">
      <c r="B53" s="7" t="inlineStr">
        <is>
          <t>Owner's costs during construction ($)</t>
        </is>
      </c>
      <c r="C53" s="9" t="n">
        <v>9000000</v>
      </c>
      <c r="H53" s="5" t="inlineStr">
        <is>
          <t>owner</t>
        </is>
      </c>
    </row>
    <row r="54">
      <c r="B54" s="7" t="inlineStr">
        <is>
          <t>Net decommissioning after salvage ($/Wdc, 2027 dollars)</t>
        </is>
      </c>
      <c r="C54" s="13" t="n">
        <v>0.04</v>
      </c>
      <c r="H54" s="5" t="inlineStr">
        <is>
          <t>decom_w</t>
        </is>
      </c>
    </row>
    <row r="55">
      <c r="B55" s="7" t="inlineStr">
        <is>
          <t>Gen-tie share of the substation line, excluded from the ITC basis</t>
        </is>
      </c>
      <c r="C55" s="10" t="n">
        <v>0.35</v>
      </c>
      <c r="H55" s="5" t="inlineStr">
        <is>
          <t>gentie_share</t>
        </is>
      </c>
    </row>
    <row r="57">
      <c r="B57" s="6" t="inlineStr">
        <is>
          <t>Calder's outlays before NTP (amount in column C, date in column D: 2026.5 = 1 July 2026)</t>
        </is>
      </c>
      <c r="C57" s="14" t="inlineStr">
        <is>
          <t>Amount ($)</t>
        </is>
      </c>
      <c r="D57" s="14" t="inlineStr">
        <is>
          <t>Date</t>
        </is>
      </c>
    </row>
    <row r="58">
      <c r="B58" s="7" t="inlineStr">
        <is>
          <t>Development spend on 1 January 2022</t>
        </is>
      </c>
      <c r="C58" s="9" t="n">
        <v>300000</v>
      </c>
      <c r="D58" s="15" t="n">
        <v>2022</v>
      </c>
      <c r="H58" s="5" t="inlineStr">
        <is>
          <t>dev_2022</t>
        </is>
      </c>
    </row>
    <row r="59">
      <c r="B59" s="7" t="inlineStr">
        <is>
          <t>Development spend on 1 January 2023</t>
        </is>
      </c>
      <c r="C59" s="9" t="n">
        <v>900000</v>
      </c>
      <c r="D59" s="15" t="n">
        <v>2023</v>
      </c>
      <c r="H59" s="5" t="inlineStr">
        <is>
          <t>dev_2023</t>
        </is>
      </c>
    </row>
    <row r="60">
      <c r="B60" s="7" t="inlineStr">
        <is>
          <t>Development spend on 1 January 2024</t>
        </is>
      </c>
      <c r="C60" s="9" t="n">
        <v>1800000</v>
      </c>
      <c r="D60" s="15" t="n">
        <v>2024</v>
      </c>
      <c r="H60" s="5" t="inlineStr">
        <is>
          <t>dev_2024</t>
        </is>
      </c>
    </row>
    <row r="61">
      <c r="B61" s="7" t="inlineStr">
        <is>
          <t>Development spend on 1 January 2025</t>
        </is>
      </c>
      <c r="C61" s="9" t="n">
        <v>2600000</v>
      </c>
      <c r="D61" s="15" t="n">
        <v>2025</v>
      </c>
      <c r="H61" s="5" t="inlineStr">
        <is>
          <t>dev_2025</t>
        </is>
      </c>
    </row>
    <row r="62">
      <c r="B62" s="7" t="inlineStr">
        <is>
          <t>Development spend on 1 January 2026</t>
        </is>
      </c>
      <c r="C62" s="9" t="n">
        <v>3400000</v>
      </c>
      <c r="D62" s="15" t="n">
        <v>2026</v>
      </c>
      <c r="H62" s="5" t="inlineStr">
        <is>
          <t>dev_2026</t>
        </is>
      </c>
    </row>
    <row r="63">
      <c r="B63" s="7" t="inlineStr">
        <is>
          <t>Interconnection security posted at the LGIA (reimbursed at NTP)</t>
        </is>
      </c>
      <c r="C63" s="9" t="n">
        <v>3600000</v>
      </c>
      <c r="D63" s="15" t="n">
        <v>2026</v>
      </c>
      <c r="H63" s="5" t="inlineStr">
        <is>
          <t>ic_security</t>
        </is>
      </c>
    </row>
    <row r="64">
      <c r="B64" s="7" t="inlineStr">
        <is>
          <t>Physical work of June 2026 (reimbursed at NTP)</t>
        </is>
      </c>
      <c r="C64" s="9" t="n">
        <v>4500000</v>
      </c>
      <c r="D64" s="15" t="n">
        <v>2026.5</v>
      </c>
      <c r="H64" s="5" t="inlineStr">
        <is>
          <t>boc_spend</t>
        </is>
      </c>
    </row>
    <row r="66">
      <c r="B66" s="6" t="inlineStr">
        <is>
          <t>Development and sale at NTP</t>
        </is>
      </c>
    </row>
    <row r="67">
      <c r="B67" s="7" t="inlineStr">
        <is>
          <t>Development premium paid at NTP ($)</t>
        </is>
      </c>
      <c r="C67" s="9" t="n">
        <v>27000000</v>
      </c>
      <c r="H67" s="5" t="inlineStr">
        <is>
          <t>premium</t>
        </is>
      </c>
    </row>
    <row r="68">
      <c r="B68" s="7" t="inlineStr">
        <is>
          <t>Discount rate for development-stage cash flows</t>
        </is>
      </c>
      <c r="C68" s="10" t="n">
        <v>0.15</v>
      </c>
      <c r="H68" s="5" t="inlineStr">
        <is>
          <t>r_dev</t>
        </is>
      </c>
    </row>
    <row r="69">
      <c r="B69" s="7" t="inlineStr">
        <is>
          <t>Cluster study deposit ($)</t>
        </is>
      </c>
      <c r="C69" s="9" t="n">
        <v>150000</v>
      </c>
      <c r="H69" s="5" t="inlineStr">
        <is>
          <t>study_deposit</t>
        </is>
      </c>
    </row>
    <row r="70">
      <c r="B70" s="7" t="inlineStr">
        <is>
          <t>Initial readiness deposit, multiple of the study deposit</t>
        </is>
      </c>
      <c r="C70" s="15" t="n">
        <v>2</v>
      </c>
      <c r="H70" s="5" t="inlineStr">
        <is>
          <t>dep_mult</t>
        </is>
      </c>
    </row>
    <row r="71">
      <c r="B71" s="7" t="inlineStr">
        <is>
          <t>Readiness deposit at the restudy (share of network upgrades)</t>
        </is>
      </c>
      <c r="C71" s="10" t="n">
        <v>0.05</v>
      </c>
      <c r="H71" s="5" t="inlineStr">
        <is>
          <t>dep_restudy</t>
        </is>
      </c>
    </row>
    <row r="72">
      <c r="B72" s="7" t="inlineStr">
        <is>
          <t>Readiness deposit at the facilities study (share)</t>
        </is>
      </c>
      <c r="C72" s="10" t="n">
        <v>0.1</v>
      </c>
      <c r="H72" s="5" t="inlineStr">
        <is>
          <t>dep_facilities</t>
        </is>
      </c>
    </row>
    <row r="73">
      <c r="B73" s="7" t="inlineStr">
        <is>
          <t>Security at the LGIA (share)</t>
        </is>
      </c>
      <c r="C73" s="10" t="n">
        <v>0.2</v>
      </c>
      <c r="H73" s="5" t="inlineStr">
        <is>
          <t>dep_lgia</t>
        </is>
      </c>
    </row>
    <row r="75">
      <c r="B75" s="6" t="inlineStr">
        <is>
          <t>Development stages (probability of reaching NTP in column C, stage date in column D)</t>
        </is>
      </c>
      <c r="C75" s="14" t="inlineStr">
        <is>
          <t>Probability</t>
        </is>
      </c>
      <c r="D75" s="14" t="inlineStr">
        <is>
          <t>Date</t>
        </is>
      </c>
    </row>
    <row r="76">
      <c r="B76" s="7" t="inlineStr">
        <is>
          <t>Site control: land options signed, first screening done</t>
        </is>
      </c>
      <c r="C76" s="16" t="n">
        <v>0.2</v>
      </c>
      <c r="D76" s="15" t="n">
        <v>2022</v>
      </c>
      <c r="H76" s="5" t="inlineStr">
        <is>
          <t>stage_p_1</t>
        </is>
      </c>
    </row>
    <row r="77">
      <c r="B77" s="7" t="inlineStr">
        <is>
          <t>Interconnection request filed in a cluster, studies under way</t>
        </is>
      </c>
      <c r="C77" s="16" t="n">
        <v>0.3</v>
      </c>
      <c r="D77" s="15" t="n">
        <v>2023</v>
      </c>
      <c r="H77" s="5" t="inlineStr">
        <is>
          <t>stage_p_2</t>
        </is>
      </c>
    </row>
    <row r="78">
      <c r="B78" s="7" t="inlineStr">
        <is>
          <t>Cluster study results received; environmental studies done; permit application filed</t>
        </is>
      </c>
      <c r="C78" s="16" t="n">
        <v>0.45</v>
      </c>
      <c r="D78" s="15" t="n">
        <v>2024</v>
      </c>
      <c r="H78" s="5" t="inlineStr">
        <is>
          <t>stage_p_3</t>
        </is>
      </c>
    </row>
    <row r="79">
      <c r="B79" s="7" t="inlineStr">
        <is>
          <t>Conditional use permit granted; facilities study under way</t>
        </is>
      </c>
      <c r="C79" s="16" t="n">
        <v>0.65</v>
      </c>
      <c r="D79" s="15" t="n">
        <v>2025</v>
      </c>
      <c r="H79" s="5" t="inlineStr">
        <is>
          <t>stage_p_4</t>
        </is>
      </c>
    </row>
    <row r="80">
      <c r="B80" s="7" t="inlineStr">
        <is>
          <t>Interconnection agreement signed; PPA under negotiation</t>
        </is>
      </c>
      <c r="C80" s="16" t="n">
        <v>0.8</v>
      </c>
      <c r="D80" s="15" t="n">
        <v>2026</v>
      </c>
      <c r="H80" s="5" t="inlineStr">
        <is>
          <t>stage_p_5</t>
        </is>
      </c>
    </row>
    <row r="81">
      <c r="B81" s="7" t="inlineStr">
        <is>
          <t>PPA signed and construction begun (physical work, June 2026)</t>
        </is>
      </c>
      <c r="C81" s="16" t="n">
        <v>0.92</v>
      </c>
      <c r="D81" s="15" t="n">
        <v>2026.5</v>
      </c>
      <c r="H81" s="5" t="inlineStr">
        <is>
          <t>stage_p_6</t>
        </is>
      </c>
    </row>
    <row r="82">
      <c r="B82" s="7" t="inlineStr">
        <is>
          <t>Notice to proceed: permits, interconnection, PPA, EPC and supply contracts in hand</t>
        </is>
      </c>
      <c r="C82" s="16" t="n">
        <v>1</v>
      </c>
      <c r="D82" s="15" t="n">
        <v>2027</v>
      </c>
      <c r="H82" s="5" t="inlineStr">
        <is>
          <t>stage_p_7</t>
        </is>
      </c>
    </row>
    <row r="84">
      <c r="B84" s="6" t="inlineStr">
        <is>
          <t>Calder's platform on 1 January 2027 (MWac in column C, stage date in column D)</t>
        </is>
      </c>
    </row>
    <row r="85">
      <c r="B85" s="7" t="inlineStr">
        <is>
          <t>Pipeline at the 2022 stage (MWac)</t>
        </is>
      </c>
      <c r="C85" s="9" t="n">
        <v>1800</v>
      </c>
      <c r="D85" s="15" t="n">
        <v>2022</v>
      </c>
      <c r="H85" s="5" t="inlineStr">
        <is>
          <t>pipe_2022</t>
        </is>
      </c>
    </row>
    <row r="86">
      <c r="B86" s="7" t="inlineStr">
        <is>
          <t>Pipeline at the 2023 stage (MWac)</t>
        </is>
      </c>
      <c r="C86" s="9" t="n">
        <v>900</v>
      </c>
      <c r="D86" s="15" t="n">
        <v>2023</v>
      </c>
      <c r="H86" s="5" t="inlineStr">
        <is>
          <t>pipe_2023</t>
        </is>
      </c>
    </row>
    <row r="87">
      <c r="B87" s="7" t="inlineStr">
        <is>
          <t>Pipeline at the 2024 stage (MWac)</t>
        </is>
      </c>
      <c r="C87" s="9" t="n">
        <v>600</v>
      </c>
      <c r="D87" s="15" t="n">
        <v>2024</v>
      </c>
      <c r="H87" s="5" t="inlineStr">
        <is>
          <t>pipe_2024</t>
        </is>
      </c>
    </row>
    <row r="88">
      <c r="B88" s="7" t="inlineStr">
        <is>
          <t>Pipeline at the 2025 stage (MWac)</t>
        </is>
      </c>
      <c r="C88" s="9" t="n">
        <v>450</v>
      </c>
      <c r="D88" s="15" t="n">
        <v>2025</v>
      </c>
      <c r="H88" s="5" t="inlineStr">
        <is>
          <t>pipe_2025</t>
        </is>
      </c>
    </row>
    <row r="89">
      <c r="B89" s="7" t="inlineStr">
        <is>
          <t>Pipeline at the 2026 stage (MWac)</t>
        </is>
      </c>
      <c r="C89" s="9" t="n">
        <v>300</v>
      </c>
      <c r="D89" s="15" t="n">
        <v>2026</v>
      </c>
      <c r="H89" s="5" t="inlineStr">
        <is>
          <t>pipe_2026</t>
        </is>
      </c>
    </row>
    <row r="90">
      <c r="B90" s="7" t="inlineStr">
        <is>
          <t>Pipeline at the 2027 stage (MWac)</t>
        </is>
      </c>
      <c r="C90" s="9" t="n">
        <v>150</v>
      </c>
      <c r="D90" s="15" t="n">
        <v>2027</v>
      </c>
      <c r="H90" s="5" t="inlineStr">
        <is>
          <t>pipe_2027</t>
        </is>
      </c>
    </row>
    <row r="92">
      <c r="B92" s="6" t="inlineStr">
        <is>
          <t>Sale structures (chapter 14)</t>
        </is>
      </c>
    </row>
    <row r="93">
      <c r="B93" s="7" t="inlineStr">
        <is>
          <t>Milestone sale on 1 January 2025: cash at signing ($)</t>
        </is>
      </c>
      <c r="C93" s="9" t="n">
        <v>2000000</v>
      </c>
      <c r="H93" s="5" t="inlineStr">
        <is>
          <t>eo_upfront</t>
        </is>
      </c>
    </row>
    <row r="94">
      <c r="B94" s="7" t="inlineStr">
        <is>
          <t>Payment at the LGIA, if reached ($)</t>
        </is>
      </c>
      <c r="C94" s="9" t="n">
        <v>3000000</v>
      </c>
      <c r="H94" s="5" t="inlineStr">
        <is>
          <t>eo_lgia</t>
        </is>
      </c>
    </row>
    <row r="95">
      <c r="B95" s="7" t="inlineStr">
        <is>
          <t>Payment at NTP, if reached ($)</t>
        </is>
      </c>
      <c r="C95" s="9" t="n">
        <v>5000000</v>
      </c>
      <c r="H95" s="5" t="inlineStr">
        <is>
          <t>eo_ntp</t>
        </is>
      </c>
    </row>
    <row r="96">
      <c r="B96" s="7" t="inlineStr">
        <is>
          <t>Date of the milestone sale</t>
        </is>
      </c>
      <c r="C96" s="15" t="n">
        <v>2025</v>
      </c>
      <c r="H96" s="5" t="inlineStr">
        <is>
          <t>eo_date</t>
        </is>
      </c>
    </row>
    <row r="97">
      <c r="B97" s="7" t="inlineStr">
        <is>
          <t>Later sale date for the operating project: 1 January of</t>
        </is>
      </c>
      <c r="C97" s="8" t="n">
        <v>2038</v>
      </c>
      <c r="H97" s="5" t="inlineStr">
        <is>
          <t>sale_year</t>
        </is>
      </c>
    </row>
    <row r="98">
      <c r="B98" s="7" t="inlineStr">
        <is>
          <t>Stage date tested for a one-year slip</t>
        </is>
      </c>
      <c r="C98" s="15" t="n">
        <v>2025</v>
      </c>
      <c r="H98" s="5" t="inlineStr">
        <is>
          <t>delay_stage</t>
        </is>
      </c>
    </row>
    <row r="99">
      <c r="B99" s="7" t="inlineStr">
        <is>
          <t>Length of the slip (years)</t>
        </is>
      </c>
      <c r="C99" s="15" t="n">
        <v>1</v>
      </c>
      <c r="H99" s="5" t="inlineStr">
        <is>
          <t>delay_years</t>
        </is>
      </c>
    </row>
    <row r="101">
      <c r="B101" s="6" t="inlineStr">
        <is>
          <t>Operating cost (2028 dollars)</t>
        </is>
      </c>
    </row>
    <row r="102">
      <c r="B102" s="7" t="inlineStr">
        <is>
          <t>O&amp;M contract ($/kWac-year)</t>
        </is>
      </c>
      <c r="C102" s="12" t="n">
        <v>9</v>
      </c>
      <c r="H102" s="5" t="inlineStr">
        <is>
          <t>om_kw</t>
        </is>
      </c>
    </row>
    <row r="103">
      <c r="B103" s="7" t="inlineStr">
        <is>
          <t>Asset management ($)</t>
        </is>
      </c>
      <c r="C103" s="9" t="n">
        <v>350000</v>
      </c>
      <c r="H103" s="5" t="inlineStr">
        <is>
          <t>am_cost</t>
        </is>
      </c>
    </row>
    <row r="104">
      <c r="B104" s="7" t="inlineStr">
        <is>
          <t>Insurance (share of capital cost)</t>
        </is>
      </c>
      <c r="C104" s="17" t="n">
        <v>0.003</v>
      </c>
      <c r="H104" s="5" t="inlineStr">
        <is>
          <t>ins_rate</t>
        </is>
      </c>
    </row>
    <row r="105">
      <c r="B105" s="7" t="inlineStr">
        <is>
          <t>Payment in lieu of taxes ($)</t>
        </is>
      </c>
      <c r="C105" s="9" t="n">
        <v>1100000</v>
      </c>
      <c r="H105" s="5" t="inlineStr">
        <is>
          <t>prop_tax</t>
        </is>
      </c>
    </row>
    <row r="106">
      <c r="B106" s="7" t="inlineStr">
        <is>
          <t>Station power, telecoms, interconnection operation ($)</t>
        </is>
      </c>
      <c r="C106" s="9" t="n">
        <v>250000</v>
      </c>
      <c r="H106" s="5" t="inlineStr">
        <is>
          <t>misc_cost</t>
        </is>
      </c>
    </row>
    <row r="107">
      <c r="B107" s="7" t="inlineStr">
        <is>
          <t>Operating cost escalation a year</t>
        </is>
      </c>
      <c r="C107" s="10" t="n">
        <v>0.025</v>
      </c>
      <c r="H107" s="5" t="inlineStr">
        <is>
          <t>opex_esc</t>
        </is>
      </c>
    </row>
    <row r="109">
      <c r="B109" s="6" t="inlineStr">
        <is>
          <t>Market (2028 values, nominal)</t>
        </is>
      </c>
    </row>
    <row r="110">
      <c r="B110" s="7" t="inlineStr">
        <is>
          <t>Hub around-the-clock price ($/MWh)</t>
        </is>
      </c>
      <c r="C110" s="12" t="n">
        <v>50</v>
      </c>
      <c r="H110" s="5" t="inlineStr">
        <is>
          <t>hub_2028</t>
        </is>
      </c>
    </row>
    <row r="111">
      <c r="B111" s="7" t="inlineStr">
        <is>
          <t>Hub price escalation a year</t>
        </is>
      </c>
      <c r="C111" s="10" t="n">
        <v>0.025</v>
      </c>
      <c r="H111" s="5" t="inlineStr">
        <is>
          <t>hub_esc</t>
        </is>
      </c>
    </row>
    <row r="112">
      <c r="B112" s="7" t="inlineStr">
        <is>
          <t>Solar capture rate in 2028</t>
        </is>
      </c>
      <c r="C112" s="10" t="n">
        <v>0.9</v>
      </c>
      <c r="H112" s="5" t="inlineStr">
        <is>
          <t>capture_2028</t>
        </is>
      </c>
    </row>
    <row r="113">
      <c r="B113" s="7" t="inlineStr">
        <is>
          <t>Capture rate loss a year (points)</t>
        </is>
      </c>
      <c r="C113" s="10" t="n">
        <v>0.008</v>
      </c>
      <c r="H113" s="5" t="inlineStr">
        <is>
          <t>capture_step</t>
        </is>
      </c>
    </row>
    <row r="114">
      <c r="B114" s="7" t="inlineStr">
        <is>
          <t>Capture rate floor</t>
        </is>
      </c>
      <c r="C114" s="10" t="n">
        <v>0.8</v>
      </c>
      <c r="H114" s="5" t="inlineStr">
        <is>
          <t>capture_floor</t>
        </is>
      </c>
    </row>
    <row r="115">
      <c r="B115" s="7" t="inlineStr">
        <is>
          <t>Node minus hub basis in solar hours ($/MWh, escalates with the hub)</t>
        </is>
      </c>
      <c r="C115" s="12" t="n">
        <v>-2.5</v>
      </c>
      <c r="H115" s="5" t="inlineStr">
        <is>
          <t>basis_2028</t>
        </is>
      </c>
    </row>
    <row r="116">
      <c r="B116" s="7" t="inlineStr">
        <is>
          <t>Merchant RECs ($/MWh, flat)</t>
        </is>
      </c>
      <c r="C116" s="12" t="n">
        <v>3</v>
      </c>
      <c r="H116" s="5" t="inlineStr">
        <is>
          <t>rec_price</t>
        </is>
      </c>
    </row>
    <row r="117">
      <c r="B117" s="7" t="inlineStr">
        <is>
          <t>Capacity price ($/MW-day, flat)</t>
        </is>
      </c>
      <c r="C117" s="12" t="n">
        <v>120</v>
      </c>
      <c r="H117" s="5" t="inlineStr">
        <is>
          <t>cap_mwday</t>
        </is>
      </c>
    </row>
    <row r="118">
      <c r="B118" s="7" t="inlineStr">
        <is>
          <t>Days a year</t>
        </is>
      </c>
      <c r="C118" s="8" t="n">
        <v>365</v>
      </c>
      <c r="H118" s="5" t="inlineStr">
        <is>
          <t>days_year</t>
        </is>
      </c>
    </row>
    <row r="119">
      <c r="B119" s="7" t="inlineStr">
        <is>
          <t>Solar accreditation in 2028 (share of MWac)</t>
        </is>
      </c>
      <c r="C119" s="10" t="n">
        <v>0.3</v>
      </c>
      <c r="H119" s="5" t="inlineStr">
        <is>
          <t>acc_2028</t>
        </is>
      </c>
    </row>
    <row r="120">
      <c r="B120" s="7" t="inlineStr">
        <is>
          <t>Accreditation loss a year (points)</t>
        </is>
      </c>
      <c r="C120" s="10" t="n">
        <v>0.015</v>
      </c>
      <c r="H120" s="5" t="inlineStr">
        <is>
          <t>acc_step</t>
        </is>
      </c>
    </row>
    <row r="121">
      <c r="B121" s="7" t="inlineStr">
        <is>
          <t>Accreditation floor</t>
        </is>
      </c>
      <c r="C121" s="10" t="n">
        <v>0.12</v>
      </c>
      <c r="H121" s="5" t="inlineStr">
        <is>
          <t>acc_floor</t>
        </is>
      </c>
    </row>
    <row r="123">
      <c r="B123" s="6" t="inlineStr">
        <is>
          <t>Offtake</t>
        </is>
      </c>
    </row>
    <row r="124">
      <c r="B124" s="7" t="inlineStr">
        <is>
          <t>Utility PPA price in 2028 ($/MWh, bundled, at the node)</t>
        </is>
      </c>
      <c r="C124" s="12" t="n">
        <v>57</v>
      </c>
      <c r="H124" s="5" t="inlineStr">
        <is>
          <t>u_price</t>
        </is>
      </c>
    </row>
    <row r="125">
      <c r="B125" s="7" t="inlineStr">
        <is>
          <t>Utility PPA escalation a year</t>
        </is>
      </c>
      <c r="C125" s="10" t="n">
        <v>0.02</v>
      </c>
      <c r="H125" s="5" t="inlineStr">
        <is>
          <t>u_esc</t>
        </is>
      </c>
    </row>
    <row r="126">
      <c r="B126" s="7" t="inlineStr">
        <is>
          <t>Utility PPA term (years)</t>
        </is>
      </c>
      <c r="C126" s="8" t="n">
        <v>20</v>
      </c>
      <c r="H126" s="5" t="inlineStr">
        <is>
          <t>u_years</t>
        </is>
      </c>
    </row>
    <row r="127">
      <c r="B127" s="7" t="inlineStr">
        <is>
          <t>Corporate virtual PPA price ($/MWh, flat, settled at the hub)</t>
        </is>
      </c>
      <c r="C127" s="12" t="n">
        <v>63</v>
      </c>
      <c r="H127" s="5" t="inlineStr">
        <is>
          <t>c_price</t>
        </is>
      </c>
    </row>
    <row r="128">
      <c r="B128" s="7" t="inlineStr">
        <is>
          <t>Virtual PPA term (years)</t>
        </is>
      </c>
      <c r="C128" s="8" t="n">
        <v>15</v>
      </c>
      <c r="H128" s="5" t="inlineStr">
        <is>
          <t>c_years</t>
        </is>
      </c>
    </row>
    <row r="130">
      <c r="B130" s="6" t="inlineStr">
        <is>
          <t>Tax credits</t>
        </is>
      </c>
    </row>
    <row r="131">
      <c r="B131" s="7" t="inlineStr">
        <is>
          <t>PTC base rate before inflation (cents/kWh)</t>
        </is>
      </c>
      <c r="C131" s="13" t="n">
        <v>0.3</v>
      </c>
      <c r="H131" s="5" t="inlineStr">
        <is>
          <t>ptc_base</t>
        </is>
      </c>
    </row>
    <row r="132">
      <c r="B132" s="7" t="inlineStr">
        <is>
          <t>Inflation adjustment factor in the reference year</t>
        </is>
      </c>
      <c r="C132" s="11" t="n">
        <v>2.057</v>
      </c>
      <c r="H132" s="5" t="inlineStr">
        <is>
          <t>ptc_factor</t>
        </is>
      </c>
    </row>
    <row r="133">
      <c r="B133" s="7" t="inlineStr">
        <is>
          <t>Reference year of the factor</t>
        </is>
      </c>
      <c r="C133" s="8" t="n">
        <v>2026</v>
      </c>
      <c r="H133" s="5" t="inlineStr">
        <is>
          <t>ptc_factor_year</t>
        </is>
      </c>
    </row>
    <row r="134">
      <c r="B134" s="7" t="inlineStr">
        <is>
          <t>Growth of the factor a year (case assumption)</t>
        </is>
      </c>
      <c r="C134" s="10" t="n">
        <v>0.025</v>
      </c>
      <c r="H134" s="5" t="inlineStr">
        <is>
          <t>ptc_factor_g</t>
        </is>
      </c>
    </row>
    <row r="135">
      <c r="B135" s="7" t="inlineStr">
        <is>
          <t>Rounding step of the base rate (cents)</t>
        </is>
      </c>
      <c r="C135" s="18" t="n">
        <v>0.05</v>
      </c>
      <c r="H135" s="5" t="inlineStr">
        <is>
          <t>ptc_round</t>
        </is>
      </c>
    </row>
    <row r="136">
      <c r="B136" s="7" t="inlineStr">
        <is>
          <t>Multiplier with prevailing wage and apprenticeship</t>
        </is>
      </c>
      <c r="C136" s="15" t="n">
        <v>5</v>
      </c>
      <c r="H136" s="5" t="inlineStr">
        <is>
          <t>ptc_mult</t>
        </is>
      </c>
    </row>
    <row r="137">
      <c r="B137" s="7" t="inlineStr">
        <is>
          <t>PTC period (years)</t>
        </is>
      </c>
      <c r="C137" s="8" t="n">
        <v>10</v>
      </c>
      <c r="H137" s="5" t="inlineStr">
        <is>
          <t>ptc_years</t>
        </is>
      </c>
    </row>
    <row r="138">
      <c r="B138" s="7" t="inlineStr">
        <is>
          <t>ITC rate</t>
        </is>
      </c>
      <c r="C138" s="10" t="n">
        <v>0.3</v>
      </c>
      <c r="H138" s="5" t="inlineStr">
        <is>
          <t>itc_rate</t>
        </is>
      </c>
    </row>
    <row r="139">
      <c r="B139" s="7" t="inlineStr">
        <is>
          <t>Energy community bonus (PTC share or ITC points)</t>
        </is>
      </c>
      <c r="C139" s="10" t="n">
        <v>0.1</v>
      </c>
      <c r="H139" s="5" t="inlineStr">
        <is>
          <t>ec_bonus</t>
        </is>
      </c>
    </row>
    <row r="140">
      <c r="B140" s="7" t="inlineStr">
        <is>
          <t>Domestic content bonus</t>
        </is>
      </c>
      <c r="C140" s="10" t="n">
        <v>0.1</v>
      </c>
      <c r="H140" s="5" t="inlineStr">
        <is>
          <t>dc_bonus</t>
        </is>
      </c>
    </row>
    <row r="141">
      <c r="B141" s="7" t="inlineStr">
        <is>
          <t>Transfer price per dollar of ITC</t>
        </is>
      </c>
      <c r="C141" s="13" t="n">
        <v>0.93</v>
      </c>
      <c r="H141" s="5" t="inlineStr">
        <is>
          <t>transfer_itc</t>
        </is>
      </c>
    </row>
    <row r="142">
      <c r="B142" s="7" t="inlineStr">
        <is>
          <t>Transfer price per dollar of PTC</t>
        </is>
      </c>
      <c r="C142" s="13" t="n">
        <v>0.925</v>
      </c>
      <c r="H142" s="5" t="inlineStr">
        <is>
          <t>transfer_ptc</t>
        </is>
      </c>
    </row>
    <row r="144">
      <c r="B144" s="6" t="inlineStr">
        <is>
          <t>Discount rates (pre-tax)</t>
        </is>
      </c>
    </row>
    <row r="145">
      <c r="B145" s="7" t="inlineStr">
        <is>
          <t>Contracted revenue, credit cash and all costs</t>
        </is>
      </c>
      <c r="C145" s="17" t="n">
        <v>0.07000000000000001</v>
      </c>
      <c r="H145" s="5" t="inlineStr">
        <is>
          <t>r_c</t>
        </is>
      </c>
    </row>
    <row r="146">
      <c r="B146" s="7" t="inlineStr">
        <is>
          <t>Merchant revenue</t>
        </is>
      </c>
      <c r="C146" s="17" t="n">
        <v>0.095</v>
      </c>
      <c r="H146" s="5" t="inlineStr">
        <is>
          <t>r_m</t>
        </is>
      </c>
    </row>
    <row r="148">
      <c r="B148" s="6" t="inlineStr">
        <is>
          <t>Debt</t>
        </is>
      </c>
    </row>
    <row r="149">
      <c r="B149" s="7" t="inlineStr">
        <is>
          <t>Term debt interest rate</t>
        </is>
      </c>
      <c r="C149" s="17" t="n">
        <v>0.0625</v>
      </c>
      <c r="H149" s="5" t="inlineStr">
        <is>
          <t>kd_rate</t>
        </is>
      </c>
    </row>
    <row r="150">
      <c r="B150" s="7" t="inlineStr">
        <is>
          <t>Coverage ratio on CFADS at P50, contracted cases</t>
        </is>
      </c>
      <c r="C150" s="18" t="n">
        <v>1.3</v>
      </c>
      <c r="H150" s="5" t="inlineStr">
        <is>
          <t>dscr_p50</t>
        </is>
      </c>
    </row>
    <row r="151">
      <c r="B151" s="7" t="inlineStr">
        <is>
          <t>Coverage ratio on CFADS at P99 one-year, contracted cases</t>
        </is>
      </c>
      <c r="C151" s="18" t="n">
        <v>1</v>
      </c>
      <c r="H151" s="5" t="inlineStr">
        <is>
          <t>dscr_p99</t>
        </is>
      </c>
    </row>
    <row r="152">
      <c r="B152" s="7" t="inlineStr">
        <is>
          <t>Coverage ratio, merchant case (P50)</t>
        </is>
      </c>
      <c r="C152" s="18" t="n">
        <v>2</v>
      </c>
      <c r="H152" s="5" t="inlineStr">
        <is>
          <t>dscr_m</t>
        </is>
      </c>
    </row>
    <row r="153">
      <c r="B153" s="7" t="inlineStr">
        <is>
          <t>Tenor, case U (years)</t>
        </is>
      </c>
      <c r="C153" s="8" t="n">
        <v>18</v>
      </c>
      <c r="H153" s="5" t="inlineStr">
        <is>
          <t>tenor_u</t>
        </is>
      </c>
    </row>
    <row r="154">
      <c r="B154" s="7" t="inlineStr">
        <is>
          <t>Tenor, case C (years)</t>
        </is>
      </c>
      <c r="C154" s="8" t="n">
        <v>13</v>
      </c>
      <c r="H154" s="5" t="inlineStr">
        <is>
          <t>tenor_c</t>
        </is>
      </c>
    </row>
    <row r="155">
      <c r="B155" s="7" t="inlineStr">
        <is>
          <t>Tenor, case M (years)</t>
        </is>
      </c>
      <c r="C155" s="8" t="n">
        <v>7</v>
      </c>
      <c r="H155" s="5" t="inlineStr">
        <is>
          <t>tenor_m</t>
        </is>
      </c>
    </row>
    <row r="156">
      <c r="B156" s="7" t="inlineStr">
        <is>
          <t>Construction loan rate</t>
        </is>
      </c>
      <c r="C156" s="10" t="n">
        <v>0.07000000000000001</v>
      </c>
      <c r="H156" s="5" t="inlineStr">
        <is>
          <t>constr_rate</t>
        </is>
      </c>
    </row>
    <row r="157">
      <c r="B157" s="7" t="inlineStr">
        <is>
          <t>Average construction loan balance (share of the capital cost)</t>
        </is>
      </c>
      <c r="C157" s="10" t="n">
        <v>0.5</v>
      </c>
      <c r="H157" s="5" t="inlineStr">
        <is>
          <t>constr_avg</t>
        </is>
      </c>
    </row>
    <row r="159">
      <c r="B159" s="6" t="inlineStr">
        <is>
          <t>Tax equity (illustrative partnership flip)</t>
        </is>
      </c>
    </row>
    <row r="160">
      <c r="B160" s="7" t="inlineStr">
        <is>
          <t>Investor's after-tax target yield</t>
        </is>
      </c>
      <c r="C160" s="10" t="n">
        <v>0.075</v>
      </c>
      <c r="H160" s="5" t="inlineStr">
        <is>
          <t>te_yield</t>
        </is>
      </c>
    </row>
    <row r="161">
      <c r="B161" s="7" t="inlineStr">
        <is>
          <t>Allocation of income, loss and PTC before the flip</t>
        </is>
      </c>
      <c r="C161" s="10" t="n">
        <v>0.99</v>
      </c>
      <c r="H161" s="5" t="inlineStr">
        <is>
          <t>te_alloc_pre</t>
        </is>
      </c>
    </row>
    <row r="162">
      <c r="B162" s="7" t="inlineStr">
        <is>
          <t>Share of cash before the flip</t>
        </is>
      </c>
      <c r="C162" s="10" t="n">
        <v>0.1</v>
      </c>
      <c r="H162" s="5" t="inlineStr">
        <is>
          <t>te_cash_pre</t>
        </is>
      </c>
    </row>
    <row r="163">
      <c r="B163" s="7" t="inlineStr">
        <is>
          <t>Share of everything after the flip</t>
        </is>
      </c>
      <c r="C163" s="10" t="n">
        <v>0.05</v>
      </c>
      <c r="H163" s="5" t="inlineStr">
        <is>
          <t>te_cash_post</t>
        </is>
      </c>
    </row>
    <row r="164">
      <c r="B164" s="7" t="inlineStr">
        <is>
          <t>Flip year (years after COD)</t>
        </is>
      </c>
      <c r="C164" s="8" t="n">
        <v>10</v>
      </c>
      <c r="H164" s="5" t="inlineStr">
        <is>
          <t>te_flip</t>
        </is>
      </c>
    </row>
    <row r="165">
      <c r="B165" s="7" t="inlineStr">
        <is>
          <t>Federal income tax rate</t>
        </is>
      </c>
      <c r="C165" s="10" t="n">
        <v>0.21</v>
      </c>
      <c r="H165" s="5" t="inlineStr">
        <is>
          <t>tax_rate</t>
        </is>
      </c>
    </row>
    <row r="166">
      <c r="B166" s="7" t="inlineStr">
        <is>
          <t>5-year MACRS, year 1</t>
        </is>
      </c>
      <c r="C166" s="17" t="n">
        <v>0.2</v>
      </c>
      <c r="H166" s="5" t="inlineStr">
        <is>
          <t>macrs_1</t>
        </is>
      </c>
    </row>
    <row r="167">
      <c r="B167" s="7" t="inlineStr">
        <is>
          <t>5-year MACRS, year 2</t>
        </is>
      </c>
      <c r="C167" s="17" t="n">
        <v>0.32</v>
      </c>
      <c r="H167" s="5" t="inlineStr">
        <is>
          <t>macrs_2</t>
        </is>
      </c>
    </row>
    <row r="168">
      <c r="B168" s="7" t="inlineStr">
        <is>
          <t>5-year MACRS, year 3</t>
        </is>
      </c>
      <c r="C168" s="17" t="n">
        <v>0.192</v>
      </c>
      <c r="H168" s="5" t="inlineStr">
        <is>
          <t>macrs_3</t>
        </is>
      </c>
    </row>
    <row r="169">
      <c r="B169" s="7" t="inlineStr">
        <is>
          <t>5-year MACRS, year 4</t>
        </is>
      </c>
      <c r="C169" s="17" t="n">
        <v>0.1152</v>
      </c>
      <c r="H169" s="5" t="inlineStr">
        <is>
          <t>macrs_4</t>
        </is>
      </c>
    </row>
    <row r="170">
      <c r="B170" s="7" t="inlineStr">
        <is>
          <t>5-year MACRS, year 5</t>
        </is>
      </c>
      <c r="C170" s="17" t="n">
        <v>0.1152</v>
      </c>
      <c r="H170" s="5" t="inlineStr">
        <is>
          <t>macrs_5</t>
        </is>
      </c>
    </row>
    <row r="171">
      <c r="B171" s="7" t="inlineStr">
        <is>
          <t>5-year MACRS, year 6</t>
        </is>
      </c>
      <c r="C171" s="17" t="n">
        <v>0.0576</v>
      </c>
      <c r="H171" s="5" t="inlineStr">
        <is>
          <t>macrs_6</t>
        </is>
      </c>
    </row>
    <row r="173">
      <c r="B173" s="6" t="inlineStr">
        <is>
          <t>Screening sites (chapter 2): capacity factor, gen-tie miles, network upgrades, rent, energy community (1 = yes)</t>
        </is>
      </c>
      <c r="C173" s="14" t="inlineStr">
        <is>
          <t>Capacity factor</t>
        </is>
      </c>
      <c r="D173" s="14" t="inlineStr">
        <is>
          <t>Gen-tie miles</t>
        </is>
      </c>
      <c r="E173" s="14" t="inlineStr">
        <is>
          <t>Network upgrades ($)</t>
        </is>
      </c>
      <c r="F173" s="14" t="inlineStr">
        <is>
          <t>Rent ($/acre)</t>
        </is>
      </c>
      <c r="G173" s="14" t="inlineStr">
        <is>
          <t>Energy community</t>
        </is>
      </c>
    </row>
    <row r="174">
      <c r="B174" s="7" t="inlineStr">
        <is>
          <t>Cedar Hollow</t>
        </is>
      </c>
      <c r="C174" s="10" t="n">
        <v>0.26</v>
      </c>
      <c r="D174" s="15" t="n">
        <v>6</v>
      </c>
      <c r="E174" s="9" t="n">
        <v>18000000</v>
      </c>
      <c r="F174" s="9" t="n">
        <v>1000</v>
      </c>
      <c r="G174" s="8" t="n">
        <v>0</v>
      </c>
      <c r="H174" s="5" t="inlineStr">
        <is>
          <t>site table</t>
        </is>
      </c>
    </row>
    <row r="175">
      <c r="B175" s="7" t="inlineStr">
        <is>
          <t>Bram Creek</t>
        </is>
      </c>
      <c r="C175" s="10" t="n">
        <v>0.268</v>
      </c>
      <c r="D175" s="15" t="n">
        <v>14</v>
      </c>
      <c r="E175" s="9" t="n">
        <v>41000000</v>
      </c>
      <c r="F175" s="9" t="n">
        <v>850</v>
      </c>
      <c r="G175" s="8" t="n">
        <v>1</v>
      </c>
      <c r="H175" s="5" t="inlineStr">
        <is>
          <t>site table</t>
        </is>
      </c>
    </row>
    <row r="176">
      <c r="B176" s="7" t="inlineStr">
        <is>
          <t>Oxley Flats</t>
        </is>
      </c>
      <c r="C176" s="10" t="n">
        <v>0.248</v>
      </c>
      <c r="D176" s="15" t="n">
        <v>2</v>
      </c>
      <c r="E176" s="9" t="n">
        <v>9000000</v>
      </c>
      <c r="F176" s="9" t="n">
        <v>1300</v>
      </c>
      <c r="G176" s="8" t="n">
        <v>0</v>
      </c>
      <c r="H176" s="5" t="inlineStr">
        <is>
          <t>site table</t>
        </is>
      </c>
    </row>
    <row r="177">
      <c r="B177" s="7" t="inlineStr">
        <is>
          <t>Gen-tie cost per mile ($)</t>
        </is>
      </c>
      <c r="C177" s="9" t="n">
        <v>500000</v>
      </c>
      <c r="H177" s="5" t="inlineStr">
        <is>
          <t>gentie_mile</t>
        </is>
      </c>
    </row>
    <row r="178">
      <c r="B178" s="7" t="inlineStr">
        <is>
          <t>Gen-tie miles included in the substation line of Cedar Hollow</t>
        </is>
      </c>
      <c r="C178" s="15" t="n">
        <v>6</v>
      </c>
      <c r="H178" s="5" t="inlineStr">
        <is>
          <t>base_miles</t>
        </is>
      </c>
    </row>
    <row r="180">
      <c r="B180" s="6" t="inlineStr">
        <is>
          <t>Wind alternative: Hartwell Ridge Wind</t>
        </is>
      </c>
    </row>
    <row r="181">
      <c r="B181" s="7" t="inlineStr">
        <is>
          <t>Wind: Capacity (MW)</t>
        </is>
      </c>
      <c r="C181" s="9" t="n">
        <v>150</v>
      </c>
      <c r="H181" s="5" t="inlineStr">
        <is>
          <t>w_mw</t>
        </is>
      </c>
    </row>
    <row r="182">
      <c r="B182" s="7" t="inlineStr">
        <is>
          <t>Wind: Turbines</t>
        </is>
      </c>
      <c r="C182" s="8" t="n">
        <v>25</v>
      </c>
      <c r="H182" s="5" t="inlineStr">
        <is>
          <t>w_turbines</t>
        </is>
      </c>
    </row>
    <row r="183">
      <c r="B183" s="7" t="inlineStr">
        <is>
          <t>Wind: Turbine size (MW)</t>
        </is>
      </c>
      <c r="C183" s="15" t="n">
        <v>6</v>
      </c>
      <c r="H183" s="5" t="inlineStr">
        <is>
          <t>w_unit_mw</t>
        </is>
      </c>
    </row>
    <row r="184">
      <c r="B184" s="7" t="inlineStr">
        <is>
          <t>Wind: Net capacity factor, P50</t>
        </is>
      </c>
      <c r="C184" s="10" t="n">
        <v>0.36</v>
      </c>
      <c r="H184" s="5" t="inlineStr">
        <is>
          <t>w_cf_p50</t>
        </is>
      </c>
    </row>
    <row r="185">
      <c r="B185" s="7" t="inlineStr">
        <is>
          <t>Wind: Life (years)</t>
        </is>
      </c>
      <c r="C185" s="8" t="n">
        <v>30</v>
      </c>
      <c r="H185" s="5" t="inlineStr">
        <is>
          <t>w_life</t>
        </is>
      </c>
    </row>
    <row r="186">
      <c r="B186" s="7" t="inlineStr">
        <is>
          <t>Wind: Interannual variability</t>
        </is>
      </c>
      <c r="C186" s="10" t="n">
        <v>0.06</v>
      </c>
      <c r="H186" s="5" t="inlineStr">
        <is>
          <t>w_s_iav</t>
        </is>
      </c>
    </row>
    <row r="187">
      <c r="B187" s="7" t="inlineStr">
        <is>
          <t>Wind: Long-term resource</t>
        </is>
      </c>
      <c r="C187" s="10" t="n">
        <v>0.05</v>
      </c>
      <c r="H187" s="5" t="inlineStr">
        <is>
          <t>w_s_lt</t>
        </is>
      </c>
    </row>
    <row r="188">
      <c r="B188" s="7" t="inlineStr">
        <is>
          <t>Wind: Model: wakes, power curve, losses</t>
        </is>
      </c>
      <c r="C188" s="10" t="n">
        <v>0.06</v>
      </c>
      <c r="H188" s="5" t="inlineStr">
        <is>
          <t>w_s_mod</t>
        </is>
      </c>
    </row>
    <row r="189">
      <c r="B189" s="7" t="inlineStr">
        <is>
          <t>Wind: Turbines ($/kW)</t>
        </is>
      </c>
      <c r="C189" s="9" t="n">
        <v>1250</v>
      </c>
      <c r="H189" s="5" t="inlineStr">
        <is>
          <t>w_turbine_kw</t>
        </is>
      </c>
    </row>
    <row r="190">
      <c r="B190" s="7" t="inlineStr">
        <is>
          <t>Wind: Balance of plant ($/kW)</t>
        </is>
      </c>
      <c r="C190" s="9" t="n">
        <v>560</v>
      </c>
      <c r="H190" s="5" t="inlineStr">
        <is>
          <t>w_bop_kw</t>
        </is>
      </c>
    </row>
    <row r="191">
      <c r="B191" s="7" t="inlineStr">
        <is>
          <t>Wind: Substation ($)</t>
        </is>
      </c>
      <c r="C191" s="9" t="n">
        <v>11000000</v>
      </c>
      <c r="H191" s="5" t="inlineStr">
        <is>
          <t>w_substation</t>
        </is>
      </c>
    </row>
    <row r="192">
      <c r="B192" s="7" t="inlineStr">
        <is>
          <t>Wind: Contingency</t>
        </is>
      </c>
      <c r="C192" s="10" t="n">
        <v>0.05</v>
      </c>
      <c r="H192" s="5" t="inlineStr">
        <is>
          <t>w_contingency</t>
        </is>
      </c>
    </row>
    <row r="193">
      <c r="B193" s="7" t="inlineStr">
        <is>
          <t>Wind: Network upgrades ($)</t>
        </is>
      </c>
      <c r="C193" s="9" t="n">
        <v>22000000</v>
      </c>
      <c r="H193" s="5" t="inlineStr">
        <is>
          <t>w_interconnect</t>
        </is>
      </c>
    </row>
    <row r="194">
      <c r="B194" s="7" t="inlineStr">
        <is>
          <t>Wind: Owner's costs ($)</t>
        </is>
      </c>
      <c r="C194" s="9" t="n">
        <v>10000000</v>
      </c>
      <c r="H194" s="5" t="inlineStr">
        <is>
          <t>w_owner</t>
        </is>
      </c>
    </row>
    <row r="195">
      <c r="B195" s="7" t="inlineStr">
        <is>
          <t>Wind: Net decommissioning ($/kW, 2027 dollars)</t>
        </is>
      </c>
      <c r="C195" s="12" t="n">
        <v>40</v>
      </c>
      <c r="H195" s="5" t="inlineStr">
        <is>
          <t>w_decom_kw</t>
        </is>
      </c>
    </row>
    <row r="196">
      <c r="B196" s="7" t="inlineStr">
        <is>
          <t>Wind: All-in operating cost ($/kW-year, 2028)</t>
        </is>
      </c>
      <c r="C196" s="12" t="n">
        <v>45</v>
      </c>
      <c r="H196" s="5" t="inlineStr">
        <is>
          <t>w_opex_kw</t>
        </is>
      </c>
    </row>
    <row r="197">
      <c r="B197" s="7" t="inlineStr">
        <is>
          <t>Wind: Capture rate in 2028</t>
        </is>
      </c>
      <c r="C197" s="10" t="n">
        <v>0.93</v>
      </c>
      <c r="H197" s="5" t="inlineStr">
        <is>
          <t>w_capture0</t>
        </is>
      </c>
    </row>
    <row r="198">
      <c r="B198" s="7" t="inlineStr">
        <is>
          <t>Wind: Capture rate loss a year</t>
        </is>
      </c>
      <c r="C198" s="10" t="n">
        <v>0.005</v>
      </c>
      <c r="H198" s="5" t="inlineStr">
        <is>
          <t>w_capture_step</t>
        </is>
      </c>
    </row>
    <row r="199">
      <c r="B199" s="7" t="inlineStr">
        <is>
          <t>Wind: Capture rate floor</t>
        </is>
      </c>
      <c r="C199" s="10" t="n">
        <v>0.85</v>
      </c>
      <c r="H199" s="5" t="inlineStr">
        <is>
          <t>w_capture_floor</t>
        </is>
      </c>
    </row>
    <row r="200">
      <c r="B200" s="7" t="inlineStr">
        <is>
          <t>Wind: Basis ($/MWh, 2028)</t>
        </is>
      </c>
      <c r="C200" s="12" t="n">
        <v>-3</v>
      </c>
      <c r="H200" s="5" t="inlineStr">
        <is>
          <t>w_basis</t>
        </is>
      </c>
    </row>
    <row r="201">
      <c r="B201" s="7" t="inlineStr">
        <is>
          <t>Wind: Accreditation (share of MW)</t>
        </is>
      </c>
      <c r="C201" s="10" t="n">
        <v>0.15</v>
      </c>
      <c r="H201" s="5" t="inlineStr">
        <is>
          <t>w_acc0</t>
        </is>
      </c>
    </row>
    <row r="202">
      <c r="B202" s="7" t="inlineStr">
        <is>
          <t>Wind: Utility PPA price ($/MWh, 2028)</t>
        </is>
      </c>
      <c r="C202" s="12" t="n">
        <v>60</v>
      </c>
      <c r="H202" s="5" t="inlineStr">
        <is>
          <t>w_u_price</t>
        </is>
      </c>
    </row>
    <row r="203">
      <c r="B203" s="7" t="inlineStr">
        <is>
          <t>Wind: Utility PPA escalation</t>
        </is>
      </c>
      <c r="C203" s="10" t="n">
        <v>0.02</v>
      </c>
      <c r="H203" s="5" t="inlineStr">
        <is>
          <t>w_u_esc</t>
        </is>
      </c>
    </row>
    <row r="204">
      <c r="B204" s="7" t="inlineStr">
        <is>
          <t>Wind: Utility PPA term (years)</t>
        </is>
      </c>
      <c r="C204" s="8" t="n">
        <v>20</v>
      </c>
      <c r="H204" s="5" t="inlineStr">
        <is>
          <t>w_u_years</t>
        </is>
      </c>
    </row>
    <row r="206">
      <c r="B206" s="6" t="inlineStr">
        <is>
          <t>Hybrid battery option (chapter 13)</t>
        </is>
      </c>
    </row>
    <row r="207">
      <c r="B207" s="7" t="inlineStr">
        <is>
          <t>Battery: Power (MW)</t>
        </is>
      </c>
      <c r="C207" s="9" t="n">
        <v>75</v>
      </c>
      <c r="H207" s="5" t="inlineStr">
        <is>
          <t>h_mw</t>
        </is>
      </c>
    </row>
    <row r="208">
      <c r="B208" s="7" t="inlineStr">
        <is>
          <t>Battery: Energy (MWh)</t>
        </is>
      </c>
      <c r="C208" s="9" t="n">
        <v>300</v>
      </c>
      <c r="H208" s="5" t="inlineStr">
        <is>
          <t>h_mwh</t>
        </is>
      </c>
    </row>
    <row r="209">
      <c r="B209" s="7" t="inlineStr">
        <is>
          <t>Battery: Capital cost ($/kWh)</t>
        </is>
      </c>
      <c r="C209" s="12" t="n">
        <v>240</v>
      </c>
      <c r="H209" s="5" t="inlineStr">
        <is>
          <t>h_capex_kwh</t>
        </is>
      </c>
    </row>
    <row r="210">
      <c r="B210" s="7" t="inlineStr">
        <is>
          <t>Battery: Storage ITC rate</t>
        </is>
      </c>
      <c r="C210" s="10" t="n">
        <v>0.3</v>
      </c>
      <c r="H210" s="5" t="inlineStr">
        <is>
          <t>h_itc</t>
        </is>
      </c>
    </row>
    <row r="211">
      <c r="B211" s="7" t="inlineStr">
        <is>
          <t>Battery: Transfer price</t>
        </is>
      </c>
      <c r="C211" s="13" t="n">
        <v>0.93</v>
      </c>
      <c r="H211" s="5" t="inlineStr">
        <is>
          <t>h_transfer</t>
        </is>
      </c>
    </row>
    <row r="212">
      <c r="B212" s="7" t="inlineStr">
        <is>
          <t>Battery: Cycles a year</t>
        </is>
      </c>
      <c r="C212" s="9" t="n">
        <v>300</v>
      </c>
      <c r="H212" s="5" t="inlineStr">
        <is>
          <t>h_cycles</t>
        </is>
      </c>
    </row>
    <row r="213">
      <c r="B213" s="7" t="inlineStr">
        <is>
          <t>Battery: Availability</t>
        </is>
      </c>
      <c r="C213" s="10" t="n">
        <v>0.97</v>
      </c>
      <c r="H213" s="5" t="inlineStr">
        <is>
          <t>h_avail</t>
        </is>
      </c>
    </row>
    <row r="214">
      <c r="B214" s="7" t="inlineStr">
        <is>
          <t>Battery: Round-trip efficiency</t>
        </is>
      </c>
      <c r="C214" s="10" t="n">
        <v>0.86</v>
      </c>
      <c r="H214" s="5" t="inlineStr">
        <is>
          <t>h_rte</t>
        </is>
      </c>
    </row>
    <row r="215">
      <c r="B215" s="7" t="inlineStr">
        <is>
          <t>Battery: Evening price, 2028 ($/MWh)</t>
        </is>
      </c>
      <c r="C215" s="12" t="n">
        <v>72</v>
      </c>
      <c r="H215" s="5" t="inlineStr">
        <is>
          <t>h_p_eve</t>
        </is>
      </c>
    </row>
    <row r="216">
      <c r="B216" s="7" t="inlineStr">
        <is>
          <t>Battery: Midday charging price, 2028 ($/MWh)</t>
        </is>
      </c>
      <c r="C216" s="12" t="n">
        <v>26</v>
      </c>
      <c r="H216" s="5" t="inlineStr">
        <is>
          <t>h_p_mid</t>
        </is>
      </c>
    </row>
    <row r="217">
      <c r="B217" s="7" t="inlineStr">
        <is>
          <t>Battery: Price escalation</t>
        </is>
      </c>
      <c r="C217" s="10" t="n">
        <v>0.025</v>
      </c>
      <c r="H217" s="5" t="inlineStr">
        <is>
          <t>h_esc</t>
        </is>
      </c>
    </row>
    <row r="218">
      <c r="B218" s="7" t="inlineStr">
        <is>
          <t>Battery: Real decline of the evening price a year</t>
        </is>
      </c>
      <c r="C218" s="10" t="n">
        <v>0.02</v>
      </c>
      <c r="H218" s="5" t="inlineStr">
        <is>
          <t>h_spread_real_decline</t>
        </is>
      </c>
    </row>
    <row r="219">
      <c r="B219" s="7" t="inlineStr">
        <is>
          <t>Battery: Capacity accreditation</t>
        </is>
      </c>
      <c r="C219" s="10" t="n">
        <v>0.8</v>
      </c>
      <c r="H219" s="5" t="inlineStr">
        <is>
          <t>h_cap_acc</t>
        </is>
      </c>
    </row>
    <row r="220">
      <c r="B220" s="7" t="inlineStr">
        <is>
          <t>Battery: Operating cost ($/kW-year, 2028)</t>
        </is>
      </c>
      <c r="C220" s="12" t="n">
        <v>12</v>
      </c>
      <c r="H220" s="5" t="inlineStr">
        <is>
          <t>h_opex_kw</t>
        </is>
      </c>
    </row>
    <row r="221">
      <c r="B221" s="7" t="inlineStr">
        <is>
          <t>Battery: Usable energy loss a year</t>
        </is>
      </c>
      <c r="C221" s="10" t="n">
        <v>0.02</v>
      </c>
      <c r="H221" s="5" t="inlineStr">
        <is>
          <t>h_deg</t>
        </is>
      </c>
    </row>
    <row r="222">
      <c r="B222" s="7" t="inlineStr">
        <is>
          <t>Battery: Life (years)</t>
        </is>
      </c>
      <c r="C222" s="8" t="n">
        <v>20</v>
      </c>
      <c r="H222" s="5" t="inlineStr">
        <is>
          <t>h_life</t>
        </is>
      </c>
    </row>
    <row r="223">
      <c r="B223" s="7" t="inlineStr">
        <is>
          <t>Battery: Clipped DC energy recovered (MWh a year)</t>
        </is>
      </c>
      <c r="C223" s="9" t="n">
        <v>4000</v>
      </c>
      <c r="H223" s="5" t="inlineStr">
        <is>
          <t>h_clip_mwh</t>
        </is>
      </c>
    </row>
    <row r="224">
      <c r="B224" s="7" t="inlineStr">
        <is>
          <t>Battery: capacity contract term (years)</t>
        </is>
      </c>
      <c r="C224" s="8" t="n">
        <v>10</v>
      </c>
      <c r="H224" s="5" t="inlineStr">
        <is>
          <t>h_cc_years</t>
        </is>
      </c>
    </row>
    <row r="225">
      <c r="B225" s="7" t="inlineStr">
        <is>
          <t>Battery: capacity contract, low ($/kW-month)</t>
        </is>
      </c>
      <c r="C225" s="12" t="n">
        <v>7</v>
      </c>
      <c r="H225" s="5" t="inlineStr">
        <is>
          <t>h_cc_7</t>
        </is>
      </c>
    </row>
    <row r="226">
      <c r="B226" s="7" t="inlineStr">
        <is>
          <t>Battery: capacity contract, central ($/kW-month)</t>
        </is>
      </c>
      <c r="C226" s="12" t="n">
        <v>8</v>
      </c>
      <c r="H226" s="5" t="inlineStr">
        <is>
          <t>h_cc_8</t>
        </is>
      </c>
    </row>
    <row r="227">
      <c r="B227" s="7" t="inlineStr">
        <is>
          <t>Battery: capacity contract, high ($/kW-month)</t>
        </is>
      </c>
      <c r="C227" s="12" t="n">
        <v>9</v>
      </c>
      <c r="H227" s="5" t="inlineStr">
        <is>
          <t>h_cc_9</t>
        </is>
      </c>
    </row>
    <row r="229">
      <c r="B229" s="6" t="inlineStr">
        <is>
          <t>Foreign entity test: illustrative split of direct costs (not the Treasury table); 1 = from a prohibited foreign entity</t>
        </is>
      </c>
      <c r="C229" s="14" t="inlineStr">
        <is>
          <t>Share</t>
        </is>
      </c>
      <c r="D229" s="14" t="inlineStr">
        <is>
          <t>Option 1</t>
        </is>
      </c>
      <c r="E229" s="14" t="inlineStr">
        <is>
          <t>Option 2</t>
        </is>
      </c>
      <c r="F229" s="14" t="inlineStr">
        <is>
          <t>Option 3</t>
        </is>
      </c>
    </row>
    <row r="230">
      <c r="B230" s="7" t="inlineStr">
        <is>
          <t>Solar cells</t>
        </is>
      </c>
      <c r="C230" s="16" t="n">
        <v>0.22</v>
      </c>
      <c r="D230" s="8" t="n">
        <v>1</v>
      </c>
      <c r="E230" s="8" t="n">
        <v>1</v>
      </c>
      <c r="F230" s="8" t="n">
        <v>1</v>
      </c>
      <c r="H230" s="5" t="inlineStr">
        <is>
          <t>macr table</t>
        </is>
      </c>
    </row>
    <row r="231">
      <c r="B231" s="7" t="inlineStr">
        <is>
          <t>Module assembly, glass, frames and backsheet</t>
        </is>
      </c>
      <c r="C231" s="16" t="n">
        <v>0.28</v>
      </c>
      <c r="D231" s="8" t="n">
        <v>0</v>
      </c>
      <c r="E231" s="8" t="n">
        <v>1</v>
      </c>
      <c r="F231" s="8" t="n">
        <v>1</v>
      </c>
      <c r="H231" s="5" t="inlineStr">
        <is>
          <t>macr table</t>
        </is>
      </c>
    </row>
    <row r="232">
      <c r="B232" s="7" t="inlineStr">
        <is>
          <t>Trackers</t>
        </is>
      </c>
      <c r="C232" s="16" t="n">
        <v>0.22</v>
      </c>
      <c r="D232" s="8" t="n">
        <v>0</v>
      </c>
      <c r="E232" s="8" t="n">
        <v>0</v>
      </c>
      <c r="F232" s="8" t="n">
        <v>0</v>
      </c>
      <c r="H232" s="5" t="inlineStr">
        <is>
          <t>macr table</t>
        </is>
      </c>
    </row>
    <row r="233">
      <c r="B233" s="7" t="inlineStr">
        <is>
          <t>Inverters</t>
        </is>
      </c>
      <c r="C233" s="16" t="n">
        <v>0.12</v>
      </c>
      <c r="D233" s="8" t="n">
        <v>0</v>
      </c>
      <c r="E233" s="8" t="n">
        <v>1</v>
      </c>
      <c r="F233" s="8" t="n">
        <v>0</v>
      </c>
      <c r="H233" s="5" t="inlineStr">
        <is>
          <t>macr table</t>
        </is>
      </c>
    </row>
    <row r="234">
      <c r="B234" s="7" t="inlineStr">
        <is>
          <t>Transformers, switchgear and cabling</t>
        </is>
      </c>
      <c r="C234" s="16" t="n">
        <v>0.16</v>
      </c>
      <c r="D234" s="8" t="n">
        <v>0</v>
      </c>
      <c r="E234" s="8" t="n">
        <v>0</v>
      </c>
      <c r="F234" s="8" t="n">
        <v>0</v>
      </c>
      <c r="H234" s="5" t="inlineStr">
        <is>
          <t>macr table</t>
        </is>
      </c>
    </row>
    <row r="235">
      <c r="B235" s="14" t="inlineStr">
        <is>
          <t>Thresholds by year construction begins (year in column D)</t>
        </is>
      </c>
    </row>
    <row r="236">
      <c r="B236" s="7" t="inlineStr">
        <is>
          <t>Qualified facility threshold, construction beginning in 2026</t>
        </is>
      </c>
      <c r="C236" s="16" t="n">
        <v>0.4</v>
      </c>
      <c r="D236" s="8" t="n">
        <v>2026</v>
      </c>
      <c r="H236" s="5" t="inlineStr">
        <is>
          <t>thr_2026</t>
        </is>
      </c>
    </row>
    <row r="237">
      <c r="B237" s="7" t="inlineStr">
        <is>
          <t>Qualified facility threshold, construction beginning in 2027</t>
        </is>
      </c>
      <c r="C237" s="16" t="n">
        <v>0.45</v>
      </c>
      <c r="D237" s="8" t="n">
        <v>2027</v>
      </c>
      <c r="H237" s="5" t="inlineStr">
        <is>
          <t>thr_2027</t>
        </is>
      </c>
    </row>
    <row r="238">
      <c r="B238" s="7" t="inlineStr">
        <is>
          <t>Qualified facility threshold, construction beginning in 2028</t>
        </is>
      </c>
      <c r="C238" s="16" t="n">
        <v>0.5</v>
      </c>
      <c r="D238" s="8" t="n">
        <v>2028</v>
      </c>
      <c r="H238" s="5" t="inlineStr">
        <is>
          <t>thr_2028</t>
        </is>
      </c>
    </row>
    <row r="239">
      <c r="B239" s="7" t="inlineStr">
        <is>
          <t>Qualified facility threshold, construction beginning in 2029</t>
        </is>
      </c>
      <c r="C239" s="16" t="n">
        <v>0.55</v>
      </c>
      <c r="D239" s="8" t="n">
        <v>2029</v>
      </c>
      <c r="H239" s="5" t="inlineStr">
        <is>
          <t>thr_2029</t>
        </is>
      </c>
    </row>
    <row r="240">
      <c r="B240" s="7" t="inlineStr">
        <is>
          <t>Qualified facility threshold, construction beginning in 2030 and after</t>
        </is>
      </c>
      <c r="C240" s="16" t="n">
        <v>0.6</v>
      </c>
      <c r="D240" s="8" t="n">
        <v>2030</v>
      </c>
      <c r="H240" s="5" t="inlineStr">
        <is>
          <t>thr_2030</t>
        </is>
      </c>
    </row>
    <row r="242">
      <c r="B242" s="6" t="inlineStr">
        <is>
          <t>EPC contract (chapter 9)</t>
        </is>
      </c>
    </row>
    <row r="243">
      <c r="B243" s="7" t="inlineStr">
        <is>
          <t>Delay liquidated damages ($ per MWac per day)</t>
        </is>
      </c>
      <c r="C243" s="12" t="n">
        <v>350</v>
      </c>
      <c r="H243" s="5" t="inlineStr">
        <is>
          <t>ld_mw_day</t>
        </is>
      </c>
    </row>
    <row r="244">
      <c r="B244" s="7" t="inlineStr">
        <is>
          <t>Cap on delay damages (share of the EPC price)</t>
        </is>
      </c>
      <c r="C244" s="10" t="n">
        <v>0.15</v>
      </c>
      <c r="H244" s="5" t="inlineStr">
        <is>
          <t>ld_cap</t>
        </is>
      </c>
    </row>
    <row r="245">
      <c r="B245" s="7" t="inlineStr">
        <is>
          <t>Retention on progress payments</t>
        </is>
      </c>
      <c r="C245" s="10" t="n">
        <v>0.05</v>
      </c>
      <c r="H245" s="5" t="inlineStr">
        <is>
          <t>retention</t>
        </is>
      </c>
    </row>
    <row r="246">
      <c r="B246" s="7" t="inlineStr">
        <is>
          <t>Performance guarantee: tested capacity at least</t>
        </is>
      </c>
      <c r="C246" s="10" t="n">
        <v>0.97</v>
      </c>
      <c r="H246" s="5" t="inlineStr">
        <is>
          <t>perf_guarantee</t>
        </is>
      </c>
    </row>
    <row r="247">
      <c r="B247" s="7" t="inlineStr">
        <is>
          <t>Days in a month for the damages</t>
        </is>
      </c>
      <c r="C247" s="15" t="n">
        <v>30.4</v>
      </c>
      <c r="H247" s="5" t="inlineStr">
        <is>
          <t>days_month</t>
        </is>
      </c>
    </row>
    <row r="248">
      <c r="B248" s="7" t="inlineStr">
        <is>
          <t>Delay tested (months), short</t>
        </is>
      </c>
      <c r="C248" s="8" t="n">
        <v>1</v>
      </c>
      <c r="H248" s="5" t="inlineStr">
        <is>
          <t>delay_m1</t>
        </is>
      </c>
    </row>
    <row r="249">
      <c r="B249" s="7" t="inlineStr">
        <is>
          <t>Delay tested (months), medium</t>
        </is>
      </c>
      <c r="C249" s="8" t="n">
        <v>3</v>
      </c>
      <c r="H249" s="5" t="inlineStr">
        <is>
          <t>delay_m3</t>
        </is>
      </c>
    </row>
    <row r="250">
      <c r="B250" s="7" t="inlineStr">
        <is>
          <t>Delay tested (months), long</t>
        </is>
      </c>
      <c r="C250" s="8" t="n">
        <v>6</v>
      </c>
      <c r="H250" s="5" t="inlineStr">
        <is>
          <t>delay_m6</t>
        </is>
      </c>
    </row>
    <row r="252">
      <c r="B252" s="6" t="inlineStr">
        <is>
          <t>Sensitivity settings (Sensitivities, Interconnection, Capex sheets)</t>
        </is>
      </c>
    </row>
    <row r="253">
      <c r="B253" s="7" t="inlineStr">
        <is>
          <t>Capital cost change (modules, trackers, inverters, BOS, substation, network upgrades)</t>
        </is>
      </c>
      <c r="C253" s="10" t="n">
        <v>0.1</v>
      </c>
      <c r="H253" s="5" t="inlineStr">
        <is>
          <t>sens_capex</t>
        </is>
      </c>
    </row>
    <row r="254">
      <c r="B254" s="7" t="inlineStr">
        <is>
          <t>Network upgrades, first shock ($)</t>
        </is>
      </c>
      <c r="C254" s="9" t="n">
        <v>30000000</v>
      </c>
      <c r="H254" s="5" t="inlineStr">
        <is>
          <t>sens_ic_30</t>
        </is>
      </c>
    </row>
    <row r="255">
      <c r="B255" s="7" t="inlineStr">
        <is>
          <t>Network upgrades, second shock ($)</t>
        </is>
      </c>
      <c r="C255" s="9" t="n">
        <v>45000000</v>
      </c>
      <c r="H255" s="5" t="inlineStr">
        <is>
          <t>sens_ic_45</t>
        </is>
      </c>
    </row>
    <row r="256">
      <c r="B256" s="7" t="inlineStr">
        <is>
          <t>Module price, high ($/Wdc)</t>
        </is>
      </c>
      <c r="C256" s="13" t="n">
        <v>0.38</v>
      </c>
      <c r="H256" s="5" t="inlineStr">
        <is>
          <t>sens_mod_hi</t>
        </is>
      </c>
    </row>
    <row r="257">
      <c r="B257" s="7" t="inlineStr">
        <is>
          <t>Module price, low ($/Wdc)</t>
        </is>
      </c>
      <c r="C257" s="13" t="n">
        <v>0.25</v>
      </c>
      <c r="H257" s="5" t="inlineStr">
        <is>
          <t>sens_mod_lo</t>
        </is>
      </c>
    </row>
    <row r="258">
      <c r="B258" s="7" t="inlineStr">
        <is>
          <t>Module price step for the per-cent figure ($/Wdc)</t>
        </is>
      </c>
      <c r="C258" s="13" t="n">
        <v>0.01</v>
      </c>
      <c r="H258" s="5" t="inlineStr">
        <is>
          <t>sens_cent</t>
        </is>
      </c>
    </row>
    <row r="259">
      <c r="B259" s="7" t="inlineStr">
        <is>
          <t>Hub price change</t>
        </is>
      </c>
      <c r="C259" s="10" t="n">
        <v>-0.2</v>
      </c>
      <c r="H259" s="5" t="inlineStr">
        <is>
          <t>sens_hub</t>
        </is>
      </c>
    </row>
    <row r="260">
      <c r="B260" s="7" t="inlineStr">
        <is>
          <t>Discount rate change (both rates)</t>
        </is>
      </c>
      <c r="C260" s="17" t="n">
        <v>0.01</v>
      </c>
      <c r="H260" s="5" t="inlineStr">
        <is>
          <t>sens_rate</t>
        </is>
      </c>
    </row>
    <row r="261">
      <c r="B261" s="7" t="inlineStr">
        <is>
          <t>Rent change</t>
        </is>
      </c>
      <c r="C261" s="10" t="n">
        <v>0.2</v>
      </c>
      <c r="H261" s="5" t="inlineStr">
        <is>
          <t>sens_rent</t>
        </is>
      </c>
    </row>
    <row r="262">
      <c r="B262" s="7" t="inlineStr">
        <is>
          <t>Energy step for the value of one percent</t>
        </is>
      </c>
      <c r="C262" s="10" t="n">
        <v>0.01</v>
      </c>
      <c r="H262" s="5" t="inlineStr">
        <is>
          <t>sens_energy_pt</t>
        </is>
      </c>
    </row>
    <row r="263">
      <c r="B263" s="7" t="inlineStr">
        <is>
          <t>Tracker energy gain over fixed tilt</t>
        </is>
      </c>
      <c r="C263" s="10" t="n">
        <v>0.15</v>
      </c>
      <c r="H263" s="5" t="inlineStr">
        <is>
          <t>fixed_gain</t>
        </is>
      </c>
    </row>
    <row r="264">
      <c r="B264" s="7" t="inlineStr">
        <is>
          <t>Racking saving of fixed tilt ($/Wdc)</t>
        </is>
      </c>
      <c r="C264" s="13" t="n">
        <v>0.08</v>
      </c>
      <c r="H264" s="5" t="inlineStr">
        <is>
          <t>fixed_saving</t>
        </is>
      </c>
    </row>
    <row r="265">
      <c r="B265" s="7" t="inlineStr">
        <is>
          <t>PPA price step for the value of $1.00/MWh</t>
        </is>
      </c>
      <c r="C265" s="12" t="n">
        <v>1</v>
      </c>
      <c r="H265" s="5" t="inlineStr">
        <is>
          <t>ppa_step</t>
        </is>
      </c>
    </row>
    <row r="266">
      <c r="B266" s="7" t="inlineStr">
        <is>
          <t>Price step of the break-even tables ($/MWh)</t>
        </is>
      </c>
      <c r="C266" s="12" t="n">
        <v>0.5</v>
      </c>
      <c r="H266" s="5" t="inlineStr">
        <is>
          <t>be_step</t>
        </is>
      </c>
    </row>
    <row r="268">
      <c r="B268" s="6" t="inlineStr">
        <is>
          <t>Solver grids (Stages sheet: expected return of starting in 2022)</t>
        </is>
      </c>
    </row>
    <row r="269">
      <c r="B269" s="7" t="inlineStr">
        <is>
          <t>Coarse grid step of the discount rate</t>
        </is>
      </c>
      <c r="C269" s="17" t="n">
        <v>0.01</v>
      </c>
      <c r="H269" s="5" t="inlineStr">
        <is>
          <t>grid_coarse</t>
        </is>
      </c>
    </row>
    <row r="270">
      <c r="B270" s="7" t="inlineStr">
        <is>
          <t>Fine grid step</t>
        </is>
      </c>
      <c r="C270" s="19" t="n">
        <v>0.0005</v>
      </c>
      <c r="H270" s="5" t="inlineStr">
        <is>
          <t>grid_fine</t>
        </is>
      </c>
    </row>
    <row r="272">
      <c r="B272" s="6" t="inlineStr">
        <is>
          <t>Scenario switches (reset after use; the Checks sheet is valid with the defaults)</t>
        </is>
      </c>
    </row>
    <row r="273">
      <c r="B273" s="7" t="inlineStr">
        <is>
          <t>Offtake case shown in the summary of Cases and Debt: U, C or M</t>
        </is>
      </c>
      <c r="C273" s="20" t="inlineStr">
        <is>
          <t>U</t>
        </is>
      </c>
      <c r="H273" s="5" t="inlineStr">
        <is>
          <t>sw_case</t>
        </is>
      </c>
    </row>
    <row r="274">
      <c r="B274" s="7" t="inlineStr">
        <is>
          <t>Credit: PTC, ITC or None</t>
        </is>
      </c>
      <c r="C274" s="20" t="inlineStr">
        <is>
          <t>PTC</t>
        </is>
      </c>
      <c r="H274" s="5" t="inlineStr">
        <is>
          <t>sw_credit</t>
        </is>
      </c>
    </row>
    <row r="275">
      <c r="B275" s="7" t="inlineStr">
        <is>
          <t>Bonus credit (0 or 10%: energy community or domestic content)</t>
        </is>
      </c>
      <c r="C275" s="10" t="n">
        <v>0</v>
      </c>
      <c r="H275" s="5" t="inlineStr">
        <is>
          <t>sw_bonus</t>
        </is>
      </c>
    </row>
    <row r="276">
      <c r="B276" s="7" t="inlineStr">
        <is>
          <t>Energy level: P50, P75, P90 (ten-year), P99 (one-year) or Free</t>
        </is>
      </c>
      <c r="C276" s="20" t="inlineStr">
        <is>
          <t>P50</t>
        </is>
      </c>
      <c r="H276" s="5" t="inlineStr">
        <is>
          <t>sw_energy</t>
        </is>
      </c>
    </row>
    <row r="277">
      <c r="B277" s="7" t="inlineStr">
        <is>
          <t>Energy level when Free (share of P50)</t>
        </is>
      </c>
      <c r="C277" s="10" t="n">
        <v>1</v>
      </c>
      <c r="H277" s="5" t="inlineStr">
        <is>
          <t>sw_energy_free</t>
        </is>
      </c>
    </row>
    <row r="278">
      <c r="B278" s="7" t="inlineStr">
        <is>
          <t>Capital cost change (modules, trackers, inverters, BOS, substation, network upgrades)</t>
        </is>
      </c>
      <c r="C278" s="10" t="n">
        <v>0</v>
      </c>
      <c r="H278" s="5" t="inlineStr">
        <is>
          <t>sw_capex</t>
        </is>
      </c>
    </row>
    <row r="279">
      <c r="B279" s="7" t="inlineStr">
        <is>
          <t>Module price override ($/Wdc; 0 = use the input above)</t>
        </is>
      </c>
      <c r="C279" s="13" t="n">
        <v>0</v>
      </c>
      <c r="H279" s="5" t="inlineStr">
        <is>
          <t>sw_module</t>
        </is>
      </c>
    </row>
    <row r="280">
      <c r="B280" s="7" t="inlineStr">
        <is>
          <t>Network upgrades override ($; 0 = use the input above)</t>
        </is>
      </c>
      <c r="C280" s="9" t="n">
        <v>0</v>
      </c>
      <c r="H280" s="5" t="inlineStr">
        <is>
          <t>sw_ic</t>
        </is>
      </c>
    </row>
    <row r="281">
      <c r="B281" s="7" t="inlineStr">
        <is>
          <t>Hub price change</t>
        </is>
      </c>
      <c r="C281" s="10" t="n">
        <v>0</v>
      </c>
      <c r="H281" s="5" t="inlineStr">
        <is>
          <t>sw_hub</t>
        </is>
      </c>
    </row>
    <row r="282">
      <c r="B282" s="7" t="inlineStr">
        <is>
          <t>Discount rate change, added to both rates (points)</t>
        </is>
      </c>
      <c r="C282" s="17" t="n">
        <v>0</v>
      </c>
      <c r="H282" s="5" t="inlineStr">
        <is>
          <t>sw_rate</t>
        </is>
      </c>
    </row>
    <row r="284">
      <c r="B284" s="6" t="inlineStr">
        <is>
          <t>Values in use (formulas: the base inputs with the switches applied)</t>
        </is>
      </c>
    </row>
    <row r="285">
      <c r="B285" s="7" t="inlineStr">
        <is>
          <t>Energy as a share of P50</t>
        </is>
      </c>
      <c r="C285" s="21">
        <f>IF(sw_energy="P50",1,IF(sw_energy="P75",p75_10,IF(sw_energy="P90",p90_10,IF(sw_energy="P99",p99_1,sw_energy_free))))</f>
        <v/>
      </c>
      <c r="H285" s="5" t="inlineStr">
        <is>
          <t>x_scale</t>
        </is>
      </c>
    </row>
    <row r="286">
      <c r="B286" s="7" t="inlineStr">
        <is>
          <t>Modules ($/Wdc)</t>
        </is>
      </c>
      <c r="C286" s="22">
        <f>IF(sw_module&gt;0,sw_module,module_w*(1+sw_capex))</f>
        <v/>
      </c>
      <c r="H286" s="5" t="inlineStr">
        <is>
          <t>x_module</t>
        </is>
      </c>
    </row>
    <row r="287">
      <c r="B287" s="7" t="inlineStr">
        <is>
          <t>Trackers ($/Wdc)</t>
        </is>
      </c>
      <c r="C287" s="22">
        <f>tracker_w*(1+sw_capex)</f>
        <v/>
      </c>
      <c r="H287" s="5" t="inlineStr">
        <is>
          <t>x_tracker</t>
        </is>
      </c>
    </row>
    <row r="288">
      <c r="B288" s="7" t="inlineStr">
        <is>
          <t>Inverters ($/Wac)</t>
        </is>
      </c>
      <c r="C288" s="22">
        <f>inverter_w*(1+sw_capex)</f>
        <v/>
      </c>
      <c r="H288" s="5" t="inlineStr">
        <is>
          <t>x_inverter</t>
        </is>
      </c>
    </row>
    <row r="289">
      <c r="B289" s="7" t="inlineStr">
        <is>
          <t>Balance of system ($/Wdc)</t>
        </is>
      </c>
      <c r="C289" s="22">
        <f>bos_w*(1+sw_capex)</f>
        <v/>
      </c>
      <c r="H289" s="5" t="inlineStr">
        <is>
          <t>x_bos</t>
        </is>
      </c>
    </row>
    <row r="290">
      <c r="B290" s="7" t="inlineStr">
        <is>
          <t>Substation and gen-tie ($)</t>
        </is>
      </c>
      <c r="C290" s="23">
        <f>substation*(1+sw_capex)</f>
        <v/>
      </c>
      <c r="H290" s="5" t="inlineStr">
        <is>
          <t>x_sub</t>
        </is>
      </c>
    </row>
    <row r="291">
      <c r="B291" s="7" t="inlineStr">
        <is>
          <t>Network upgrades ($)</t>
        </is>
      </c>
      <c r="C291" s="23">
        <f>IF(sw_ic&gt;0,sw_ic,interconnect*(1+sw_capex))</f>
        <v/>
      </c>
      <c r="H291" s="5" t="inlineStr">
        <is>
          <t>x_ic</t>
        </is>
      </c>
    </row>
    <row r="292">
      <c r="B292" s="7" t="inlineStr">
        <is>
          <t>Contracted rate</t>
        </is>
      </c>
      <c r="C292" s="24">
        <f>r_c+sw_rate</f>
        <v/>
      </c>
      <c r="H292" s="5" t="inlineStr">
        <is>
          <t>x_rc</t>
        </is>
      </c>
    </row>
    <row r="293">
      <c r="B293" s="7" t="inlineStr">
        <is>
          <t>Merchant rate</t>
        </is>
      </c>
      <c r="C293" s="24">
        <f>r_m+sw_rate</f>
        <v/>
      </c>
      <c r="H293" s="5" t="inlineStr">
        <is>
          <t>x_rm</t>
        </is>
      </c>
    </row>
    <row r="294">
      <c r="B294" s="7" t="inlineStr">
        <is>
          <t>Reimbursement at NTP (physical work plus LGIA security)</t>
        </is>
      </c>
      <c r="C294" s="23">
        <f>boc_spend+ic_security</f>
        <v/>
      </c>
      <c r="H294" s="5" t="inlineStr">
        <is>
          <t>reimb</t>
        </is>
      </c>
    </row>
    <row r="295">
      <c r="B295" s="7" t="inlineStr">
        <is>
          <t>NTP price paid by Ashgrove (premium plus reimbursement)</t>
        </is>
      </c>
      <c r="C295" s="23">
        <f>premium+reimb</f>
        <v/>
      </c>
      <c r="H295" s="5" t="inlineStr">
        <is>
          <t>ntp_price</t>
        </is>
      </c>
    </row>
    <row r="297">
      <c r="B297" s="6" t="inlineStr">
        <is>
          <t>Development budget 2022 to 2026 by category (chapter 5)</t>
        </is>
      </c>
    </row>
    <row r="298">
      <c r="B298" s="7" t="inlineStr">
        <is>
          <t>Land: options, title, surveys</t>
        </is>
      </c>
      <c r="C298" s="9" t="n">
        <v>1200000</v>
      </c>
      <c r="H298" s="5" t="inlineStr">
        <is>
          <t>budget table</t>
        </is>
      </c>
    </row>
    <row r="299">
      <c r="B299" s="7" t="inlineStr">
        <is>
          <t>Environmental studies and permitting</t>
        </is>
      </c>
      <c r="C299" s="9" t="n">
        <v>2400000</v>
      </c>
      <c r="H299" s="5" t="inlineStr">
        <is>
          <t>budget table</t>
        </is>
      </c>
    </row>
    <row r="300">
      <c r="B300" s="7" t="inlineStr">
        <is>
          <t>Interconnection studies and deposits (excluding the LGIA security)</t>
        </is>
      </c>
      <c r="C300" s="9" t="n">
        <v>1400000</v>
      </c>
      <c r="H300" s="5" t="inlineStr">
        <is>
          <t>budget table</t>
        </is>
      </c>
    </row>
    <row r="301">
      <c r="B301" s="7" t="inlineStr">
        <is>
          <t>Resource assessment and engineering</t>
        </is>
      </c>
      <c r="C301" s="9" t="n">
        <v>1500000</v>
      </c>
      <c r="H301" s="5" t="inlineStr">
        <is>
          <t>budget table</t>
        </is>
      </c>
    </row>
    <row r="302">
      <c r="B302" s="7" t="inlineStr">
        <is>
          <t>Legal, offtake and commercial</t>
        </is>
      </c>
      <c r="C302" s="9" t="n">
        <v>1400000</v>
      </c>
      <c r="H302" s="5" t="inlineStr">
        <is>
          <t>budget table</t>
        </is>
      </c>
    </row>
    <row r="303">
      <c r="B303" s="7" t="inlineStr">
        <is>
          <t>Team and overhead allocated</t>
        </is>
      </c>
      <c r="C303" s="9" t="n">
        <v>1100000</v>
      </c>
      <c r="H303" s="5" t="inlineStr">
        <is>
          <t>budget table</t>
        </is>
      </c>
    </row>
  </sheetData>
  <dataValidations count="3">
    <dataValidation sqref="C273" showDropDown="0" showInputMessage="0" showErrorMessage="0" allowBlank="0" type="list">
      <formula1>"U,C,M"</formula1>
    </dataValidation>
    <dataValidation sqref="C274" showDropDown="0" showInputMessage="0" showErrorMessage="0" allowBlank="0" type="list">
      <formula1>"PTC,ITC,None"</formula1>
    </dataValidation>
    <dataValidation sqref="C276" showDropDown="0" showInputMessage="0" showErrorMessage="0" allowBlank="0" type="list">
      <formula1>"P50,P75,P90,P99,Free"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D36"/>
  <sheetViews>
    <sheetView showGridLines="0" workbookViewId="0">
      <selection activeCell="A1" sqref="A1"/>
    </sheetView>
  </sheetViews>
  <sheetFormatPr baseColWidth="8" defaultRowHeight="15"/>
  <cols>
    <col width="2" customWidth="1" min="1" max="1"/>
    <col width="64" customWidth="1" min="2" max="2"/>
    <col width="16" customWidth="1" min="3" max="3"/>
    <col width="14" customWidth="1" min="4" max="4"/>
  </cols>
  <sheetData>
    <row r="2">
      <c r="B2" s="4" t="inlineStr">
        <is>
          <t>Capital cost, ITC basis and module price sensitivity (chapters 8, 10, 11), with the switches in use</t>
        </is>
      </c>
    </row>
    <row r="4">
      <c r="B4" s="14" t="inlineStr">
        <is>
          <t>Cost lines ($; displayed in $ million)</t>
        </is>
      </c>
      <c r="D4" s="14" t="inlineStr">
        <is>
          <t>Share</t>
        </is>
      </c>
    </row>
    <row r="5">
      <c r="B5" s="7" t="inlineStr">
        <is>
          <t>Modules</t>
        </is>
      </c>
      <c r="C5" s="25">
        <f>x_module*mwdc*1000000</f>
        <v/>
      </c>
      <c r="D5" s="21">
        <f>C5/$C$13</f>
        <v/>
      </c>
    </row>
    <row r="6">
      <c r="B6" s="7" t="inlineStr">
        <is>
          <t>Trackers and racking</t>
        </is>
      </c>
      <c r="C6" s="25">
        <f>x_tracker*mwdc*1000000</f>
        <v/>
      </c>
      <c r="D6" s="21">
        <f>C6/$C$13</f>
        <v/>
      </c>
    </row>
    <row r="7">
      <c r="B7" s="7" t="inlineStr">
        <is>
          <t>Inverters</t>
        </is>
      </c>
      <c r="C7" s="25">
        <f>x_inverter*mwac*1000000</f>
        <v/>
      </c>
      <c r="D7" s="21">
        <f>C7/$C$13</f>
        <v/>
      </c>
    </row>
    <row r="8">
      <c r="B8" s="7" t="inlineStr">
        <is>
          <t>Electrical balance of system, civil works and installation</t>
        </is>
      </c>
      <c r="C8" s="25">
        <f>x_bos*mwdc*1000000</f>
        <v/>
      </c>
      <c r="D8" s="21">
        <f>C8/$C$13</f>
        <v/>
      </c>
    </row>
    <row r="9">
      <c r="B9" s="7" t="inlineStr">
        <is>
          <t>Project substation and gen-tie</t>
        </is>
      </c>
      <c r="C9" s="25">
        <f>x_sub</f>
        <v/>
      </c>
      <c r="D9" s="21">
        <f>C9/$C$13</f>
        <v/>
      </c>
    </row>
    <row r="10">
      <c r="B10" s="7" t="inlineStr">
        <is>
          <t>Contingency on modules plus EPC scope</t>
        </is>
      </c>
      <c r="C10" s="25">
        <f>contingency*(C5+C6+C7+C8+C9)</f>
        <v/>
      </c>
      <c r="D10" s="21">
        <f>C10/$C$13</f>
        <v/>
      </c>
    </row>
    <row r="11">
      <c r="B11" s="7" t="inlineStr">
        <is>
          <t>Network upgrades</t>
        </is>
      </c>
      <c r="C11" s="25">
        <f>x_ic</f>
        <v/>
      </c>
      <c r="D11" s="21">
        <f>C11/$C$13</f>
        <v/>
      </c>
    </row>
    <row r="12">
      <c r="B12" s="7" t="inlineStr">
        <is>
          <t>Owner's costs</t>
        </is>
      </c>
      <c r="C12" s="25">
        <f>owner</f>
        <v/>
      </c>
      <c r="D12" s="21">
        <f>C12/$C$13</f>
        <v/>
      </c>
    </row>
    <row r="13">
      <c r="B13" s="14" t="inlineStr">
        <is>
          <t>Total capital cost</t>
        </is>
      </c>
      <c r="C13" s="26">
        <f>SUM(C5:C12)</f>
        <v/>
      </c>
    </row>
    <row r="14">
      <c r="B14" s="7" t="inlineStr">
        <is>
          <t>EPC price (trackers, inverters, BOS and installation, substation and gen-tie)</t>
        </is>
      </c>
      <c r="C14" s="25">
        <f>C6+C7+C8+C9</f>
        <v/>
      </c>
    </row>
    <row r="15">
      <c r="B15" s="7" t="inlineStr">
        <is>
          <t>Per Wac ($)</t>
        </is>
      </c>
      <c r="C15" s="27">
        <f>C13/(mwac*1000000)</f>
        <v/>
      </c>
    </row>
    <row r="16">
      <c r="B16" s="7" t="inlineStr">
        <is>
          <t>Per Wdc ($)</t>
        </is>
      </c>
      <c r="C16" s="27">
        <f>C13/(mwdc*1000000)</f>
        <v/>
      </c>
    </row>
    <row r="17">
      <c r="B17" s="7" t="inlineStr">
        <is>
          <t>Per kWac ($)</t>
        </is>
      </c>
      <c r="C17" s="23">
        <f>C13/(mwac*1000)</f>
        <v/>
      </c>
    </row>
    <row r="18">
      <c r="B18" s="7" t="inlineStr">
        <is>
          <t>Capital cost plus the NTP premium</t>
        </is>
      </c>
      <c r="C18" s="25">
        <f>C13+premium</f>
        <v/>
      </c>
    </row>
    <row r="19">
      <c r="B19" s="7" t="inlineStr">
        <is>
          <t>Per Wac ($)</t>
        </is>
      </c>
      <c r="C19" s="27">
        <f>Capex!$C$18/(mwac*1000000)</f>
        <v/>
      </c>
    </row>
    <row r="20">
      <c r="B20" s="7" t="inlineStr">
        <is>
          <t>Rest of the capital cost Ashgrove pays in 2027 (capital cost less reimbursement)</t>
        </is>
      </c>
      <c r="C20" s="25">
        <f>C13-reimb</f>
        <v/>
      </c>
    </row>
    <row r="21">
      <c r="B21" s="7" t="inlineStr">
        <is>
          <t>Network upgrades plus substation and gen-tie, share of the capital cost</t>
        </is>
      </c>
      <c r="C21" s="28">
        <f>(C11+C9)/C13</f>
        <v/>
      </c>
    </row>
    <row r="23">
      <c r="B23" s="14" t="inlineStr">
        <is>
          <t>ITC alternative (chapter 11)</t>
        </is>
      </c>
    </row>
    <row r="24">
      <c r="B24" s="7" t="inlineStr">
        <is>
          <t>Eligible basis: modules, EPC scope and contingency, less the gen-tie share of the substation line</t>
        </is>
      </c>
      <c r="C24" s="25">
        <f>C5+C6+C7+C8+C9+C10-gentie_share*C9</f>
        <v/>
      </c>
    </row>
    <row r="25">
      <c r="B25" s="7" t="inlineStr">
        <is>
          <t>Credit at the ITC rate</t>
        </is>
      </c>
      <c r="C25" s="25">
        <f>itc_rate*Capex!$C$24</f>
        <v/>
      </c>
    </row>
    <row r="26">
      <c r="B26" s="7" t="inlineStr">
        <is>
          <t>Cash at the transfer price, end of 2028</t>
        </is>
      </c>
      <c r="C26" s="25">
        <f>Capex!$C$25*transfer_itc</f>
        <v/>
      </c>
    </row>
    <row r="27">
      <c r="B27" s="7" t="inlineStr">
        <is>
          <t>Worth on 1 January 2027</t>
        </is>
      </c>
      <c r="C27" s="25">
        <f>Capex!$C$26/(1+x_rc)^2</f>
        <v/>
      </c>
    </row>
    <row r="29">
      <c r="B29" s="14" t="inlineStr">
        <is>
          <t>Module price sensitivity (from the Sensitivities sheet)</t>
        </is>
      </c>
    </row>
    <row r="30">
      <c r="B30" s="7" t="inlineStr">
        <is>
          <t>Modules at the high price: capital cost</t>
        </is>
      </c>
      <c r="C30" s="25">
        <f>Sensitivities!$C$141</f>
        <v/>
      </c>
    </row>
    <row r="31">
      <c r="B31" s="7" t="inlineStr">
        <is>
          <t>Modules at the high price: case U development value</t>
        </is>
      </c>
      <c r="C31" s="25">
        <f>Sensitivities!$C$12</f>
        <v/>
      </c>
      <c r="D31" s="25">
        <f>Sensitivities!$D$12</f>
        <v/>
      </c>
    </row>
    <row r="32">
      <c r="B32" s="7" t="inlineStr">
        <is>
          <t>Modules at the low price: capital cost</t>
        </is>
      </c>
      <c r="C32" s="25">
        <f>Sensitivities!$C$388</f>
        <v/>
      </c>
    </row>
    <row r="33">
      <c r="B33" s="7" t="inlineStr">
        <is>
          <t>Modules at the low price: case U development value</t>
        </is>
      </c>
      <c r="C33" s="25">
        <f>Sensitivities!$C$19</f>
        <v/>
      </c>
      <c r="D33" s="25">
        <f>Sensitivities!$D$19</f>
        <v/>
      </c>
    </row>
    <row r="36">
      <c r="B36" s="7" t="inlineStr">
        <is>
          <t>Each cent per Wdc on modules, contingency included</t>
        </is>
      </c>
      <c r="C36" s="25">
        <f>sens_cent*mwdc*1000000*(1+contingency)</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AL49"/>
  <sheetViews>
    <sheetView showGridLines="0" workbookViewId="0">
      <selection activeCell="A1" sqref="A1"/>
    </sheetView>
  </sheetViews>
  <sheetFormatPr baseColWidth="8" defaultRowHeight="15"/>
  <cols>
    <col width="2" customWidth="1" min="1" max="1"/>
    <col width="58"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Energy: loss waterfall, P50 by year, uncertainty and exceedance levels (chapter 4)</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Degradation factor</t>
        </is>
      </c>
      <c r="D7" s="22">
        <f>(1-deg_rate)^D$5</f>
        <v/>
      </c>
      <c r="E7" s="22">
        <f>(1-deg_rate)^E$5</f>
        <v/>
      </c>
      <c r="F7" s="22">
        <f>(1-deg_rate)^F$5</f>
        <v/>
      </c>
      <c r="G7" s="22">
        <f>(1-deg_rate)^G$5</f>
        <v/>
      </c>
      <c r="H7" s="22">
        <f>(1-deg_rate)^H$5</f>
        <v/>
      </c>
      <c r="I7" s="22">
        <f>(1-deg_rate)^I$5</f>
        <v/>
      </c>
      <c r="J7" s="22">
        <f>(1-deg_rate)^J$5</f>
        <v/>
      </c>
      <c r="K7" s="22">
        <f>(1-deg_rate)^K$5</f>
        <v/>
      </c>
      <c r="L7" s="22">
        <f>(1-deg_rate)^L$5</f>
        <v/>
      </c>
      <c r="M7" s="22">
        <f>(1-deg_rate)^M$5</f>
        <v/>
      </c>
      <c r="N7" s="22">
        <f>(1-deg_rate)^N$5</f>
        <v/>
      </c>
      <c r="O7" s="22">
        <f>(1-deg_rate)^O$5</f>
        <v/>
      </c>
      <c r="P7" s="22">
        <f>(1-deg_rate)^P$5</f>
        <v/>
      </c>
      <c r="Q7" s="22">
        <f>(1-deg_rate)^Q$5</f>
        <v/>
      </c>
      <c r="R7" s="22">
        <f>(1-deg_rate)^R$5</f>
        <v/>
      </c>
      <c r="S7" s="22">
        <f>(1-deg_rate)^S$5</f>
        <v/>
      </c>
      <c r="T7" s="22">
        <f>(1-deg_rate)^T$5</f>
        <v/>
      </c>
      <c r="U7" s="22">
        <f>(1-deg_rate)^U$5</f>
        <v/>
      </c>
      <c r="V7" s="22">
        <f>(1-deg_rate)^V$5</f>
        <v/>
      </c>
      <c r="W7" s="22">
        <f>(1-deg_rate)^W$5</f>
        <v/>
      </c>
      <c r="X7" s="22">
        <f>(1-deg_rate)^X$5</f>
        <v/>
      </c>
      <c r="Y7" s="22">
        <f>(1-deg_rate)^Y$5</f>
        <v/>
      </c>
      <c r="Z7" s="22">
        <f>(1-deg_rate)^Z$5</f>
        <v/>
      </c>
      <c r="AA7" s="22">
        <f>(1-deg_rate)^AA$5</f>
        <v/>
      </c>
      <c r="AB7" s="22">
        <f>(1-deg_rate)^AB$5</f>
        <v/>
      </c>
      <c r="AC7" s="22">
        <f>(1-deg_rate)^AC$5</f>
        <v/>
      </c>
      <c r="AD7" s="22">
        <f>(1-deg_rate)^AD$5</f>
        <v/>
      </c>
      <c r="AE7" s="22">
        <f>(1-deg_rate)^AE$5</f>
        <v/>
      </c>
      <c r="AF7" s="22">
        <f>(1-deg_rate)^AF$5</f>
        <v/>
      </c>
      <c r="AG7" s="22">
        <f>(1-deg_rate)^AG$5</f>
        <v/>
      </c>
      <c r="AH7" s="22">
        <f>(1-deg_rate)^AH$5</f>
        <v/>
      </c>
      <c r="AI7" s="22">
        <f>(1-deg_rate)^AI$5</f>
        <v/>
      </c>
      <c r="AJ7" s="22">
        <f>(1-deg_rate)^AJ$5</f>
        <v/>
      </c>
      <c r="AK7" s="22">
        <f>(1-deg_rate)^AK$5</f>
        <v/>
      </c>
      <c r="AL7" s="22">
        <f>(1-deg_rate)^AL$5</f>
        <v/>
      </c>
    </row>
    <row r="8">
      <c r="B8" s="14" t="inlineStr">
        <is>
          <t>P50 net energy (MWh)</t>
        </is>
      </c>
      <c r="D8" s="31">
        <f>e_p50*D7</f>
        <v/>
      </c>
      <c r="E8" s="31">
        <f>e_p50*E7</f>
        <v/>
      </c>
      <c r="F8" s="31">
        <f>e_p50*F7</f>
        <v/>
      </c>
      <c r="G8" s="31">
        <f>e_p50*G7</f>
        <v/>
      </c>
      <c r="H8" s="31">
        <f>e_p50*H7</f>
        <v/>
      </c>
      <c r="I8" s="31">
        <f>e_p50*I7</f>
        <v/>
      </c>
      <c r="J8" s="31">
        <f>e_p50*J7</f>
        <v/>
      </c>
      <c r="K8" s="31">
        <f>e_p50*K7</f>
        <v/>
      </c>
      <c r="L8" s="31">
        <f>e_p50*L7</f>
        <v/>
      </c>
      <c r="M8" s="31">
        <f>e_p50*M7</f>
        <v/>
      </c>
      <c r="N8" s="31">
        <f>e_p50*N7</f>
        <v/>
      </c>
      <c r="O8" s="31">
        <f>e_p50*O7</f>
        <v/>
      </c>
      <c r="P8" s="31">
        <f>e_p50*P7</f>
        <v/>
      </c>
      <c r="Q8" s="31">
        <f>e_p50*Q7</f>
        <v/>
      </c>
      <c r="R8" s="31">
        <f>e_p50*R7</f>
        <v/>
      </c>
      <c r="S8" s="31">
        <f>e_p50*S7</f>
        <v/>
      </c>
      <c r="T8" s="31">
        <f>e_p50*T7</f>
        <v/>
      </c>
      <c r="U8" s="31">
        <f>e_p50*U7</f>
        <v/>
      </c>
      <c r="V8" s="31">
        <f>e_p50*V7</f>
        <v/>
      </c>
      <c r="W8" s="31">
        <f>e_p50*W7</f>
        <v/>
      </c>
      <c r="X8" s="31">
        <f>e_p50*X7</f>
        <v/>
      </c>
      <c r="Y8" s="31">
        <f>e_p50*Y7</f>
        <v/>
      </c>
      <c r="Z8" s="31">
        <f>e_p50*Z7</f>
        <v/>
      </c>
      <c r="AA8" s="31">
        <f>e_p50*AA7</f>
        <v/>
      </c>
      <c r="AB8" s="31">
        <f>e_p50*AB7</f>
        <v/>
      </c>
      <c r="AC8" s="31">
        <f>e_p50*AC7</f>
        <v/>
      </c>
      <c r="AD8" s="31">
        <f>e_p50*AD7</f>
        <v/>
      </c>
      <c r="AE8" s="31">
        <f>e_p50*AE7</f>
        <v/>
      </c>
      <c r="AF8" s="31">
        <f>e_p50*AF7</f>
        <v/>
      </c>
      <c r="AG8" s="31">
        <f>e_p50*AG7</f>
        <v/>
      </c>
      <c r="AH8" s="31">
        <f>e_p50*AH7</f>
        <v/>
      </c>
      <c r="AI8" s="31">
        <f>e_p50*AI7</f>
        <v/>
      </c>
      <c r="AJ8" s="31">
        <f>e_p50*AJ7</f>
        <v/>
      </c>
      <c r="AK8" s="31">
        <f>e_p50*AK7</f>
        <v/>
      </c>
      <c r="AL8" s="31">
        <f>e_p50*AL7</f>
        <v/>
      </c>
    </row>
    <row r="9">
      <c r="B9" s="7" t="inlineStr">
        <is>
          <t>Energy at the level in use (MWh)</t>
        </is>
      </c>
      <c r="D9" s="23">
        <f>D8*x_scale</f>
        <v/>
      </c>
      <c r="E9" s="23">
        <f>E8*x_scale</f>
        <v/>
      </c>
      <c r="F9" s="23">
        <f>F8*x_scale</f>
        <v/>
      </c>
      <c r="G9" s="23">
        <f>G8*x_scale</f>
        <v/>
      </c>
      <c r="H9" s="23">
        <f>H8*x_scale</f>
        <v/>
      </c>
      <c r="I9" s="23">
        <f>I8*x_scale</f>
        <v/>
      </c>
      <c r="J9" s="23">
        <f>J8*x_scale</f>
        <v/>
      </c>
      <c r="K9" s="23">
        <f>K8*x_scale</f>
        <v/>
      </c>
      <c r="L9" s="23">
        <f>L8*x_scale</f>
        <v/>
      </c>
      <c r="M9" s="23">
        <f>M8*x_scale</f>
        <v/>
      </c>
      <c r="N9" s="23">
        <f>N8*x_scale</f>
        <v/>
      </c>
      <c r="O9" s="23">
        <f>O8*x_scale</f>
        <v/>
      </c>
      <c r="P9" s="23">
        <f>P8*x_scale</f>
        <v/>
      </c>
      <c r="Q9" s="23">
        <f>Q8*x_scale</f>
        <v/>
      </c>
      <c r="R9" s="23">
        <f>R8*x_scale</f>
        <v/>
      </c>
      <c r="S9" s="23">
        <f>S8*x_scale</f>
        <v/>
      </c>
      <c r="T9" s="23">
        <f>T8*x_scale</f>
        <v/>
      </c>
      <c r="U9" s="23">
        <f>U8*x_scale</f>
        <v/>
      </c>
      <c r="V9" s="23">
        <f>V8*x_scale</f>
        <v/>
      </c>
      <c r="W9" s="23">
        <f>W8*x_scale</f>
        <v/>
      </c>
      <c r="X9" s="23">
        <f>X8*x_scale</f>
        <v/>
      </c>
      <c r="Y9" s="23">
        <f>Y8*x_scale</f>
        <v/>
      </c>
      <c r="Z9" s="23">
        <f>Z8*x_scale</f>
        <v/>
      </c>
      <c r="AA9" s="23">
        <f>AA8*x_scale</f>
        <v/>
      </c>
      <c r="AB9" s="23">
        <f>AB8*x_scale</f>
        <v/>
      </c>
      <c r="AC9" s="23">
        <f>AC8*x_scale</f>
        <v/>
      </c>
      <c r="AD9" s="23">
        <f>AD8*x_scale</f>
        <v/>
      </c>
      <c r="AE9" s="23">
        <f>AE8*x_scale</f>
        <v/>
      </c>
      <c r="AF9" s="23">
        <f>AF8*x_scale</f>
        <v/>
      </c>
      <c r="AG9" s="23">
        <f>AG8*x_scale</f>
        <v/>
      </c>
      <c r="AH9" s="23">
        <f>AH8*x_scale</f>
        <v/>
      </c>
      <c r="AI9" s="23">
        <f>AI8*x_scale</f>
        <v/>
      </c>
      <c r="AJ9" s="23">
        <f>AJ8*x_scale</f>
        <v/>
      </c>
      <c r="AK9" s="23">
        <f>AK8*x_scale</f>
        <v/>
      </c>
      <c r="AL9" s="23">
        <f>AL8*x_scale</f>
        <v/>
      </c>
    </row>
    <row r="12">
      <c r="B12" s="14" t="inlineStr">
        <is>
          <t>Year-one figures</t>
        </is>
      </c>
    </row>
    <row r="13">
      <c r="B13" s="7" t="inlineStr">
        <is>
          <t>P50 net energy in 2028 (MWh)</t>
        </is>
      </c>
      <c r="C13" s="31">
        <f>mwac*hours*cf_p50</f>
        <v/>
      </c>
    </row>
    <row r="14">
      <c r="B14" s="7" t="inlineStr">
        <is>
          <t>Specific yield (kWh per kWdc)</t>
        </is>
      </c>
      <c r="C14" s="23">
        <f>e_p50/mwdc</f>
        <v/>
      </c>
    </row>
    <row r="15">
      <c r="B15" s="7" t="inlineStr">
        <is>
          <t>Specific yield (kWh per kWac)</t>
        </is>
      </c>
      <c r="C15" s="23">
        <f>e_p50/mwac</f>
        <v/>
      </c>
    </row>
    <row r="16">
      <c r="B16" s="7" t="inlineStr">
        <is>
          <t>P50 energy in 2037 (MWh)</t>
        </is>
      </c>
      <c r="C16" s="23">
        <f>M8</f>
        <v/>
      </c>
    </row>
    <row r="17">
      <c r="B17" s="7" t="inlineStr">
        <is>
          <t>P50 energy in 2062 (MWh)</t>
        </is>
      </c>
      <c r="C17" s="23">
        <f>AL8</f>
        <v/>
      </c>
    </row>
    <row r="19">
      <c r="B19" s="14" t="inlineStr">
        <is>
          <t>Loss waterfall (each loss applies to the energy left after the previous ones)</t>
        </is>
      </c>
      <c r="C19" s="14" t="inlineStr">
        <is>
          <t>Loss</t>
        </is>
      </c>
      <c r="D19" s="14" t="inlineStr">
        <is>
          <t>Kept</t>
        </is>
      </c>
      <c r="E19" s="14" t="inlineStr">
        <is>
          <t>Cumulative</t>
        </is>
      </c>
    </row>
    <row r="20">
      <c r="B20" s="7" t="inlineStr">
        <is>
          <t>Soiling and snow</t>
        </is>
      </c>
      <c r="C20" s="21">
        <f>loss_1</f>
        <v/>
      </c>
      <c r="D20" s="22">
        <f>1-C20</f>
        <v/>
      </c>
      <c r="E20" s="22">
        <f>D20</f>
        <v/>
      </c>
    </row>
    <row r="21">
      <c r="B21" s="7" t="inlineStr">
        <is>
          <t>Near shading and row-to-row shading</t>
        </is>
      </c>
      <c r="C21" s="21">
        <f>loss_2</f>
        <v/>
      </c>
      <c r="D21" s="22">
        <f>1-C21</f>
        <v/>
      </c>
      <c r="E21" s="22">
        <f>E20*D21</f>
        <v/>
      </c>
    </row>
    <row r="22">
      <c r="B22" s="7" t="inlineStr">
        <is>
          <t>Temperature</t>
        </is>
      </c>
      <c r="C22" s="21">
        <f>loss_3</f>
        <v/>
      </c>
      <c r="D22" s="22">
        <f>1-C22</f>
        <v/>
      </c>
      <c r="E22" s="22">
        <f>E21*D22</f>
        <v/>
      </c>
    </row>
    <row r="23">
      <c r="B23" s="7" t="inlineStr">
        <is>
          <t>Module quality, mismatch and DC wiring</t>
        </is>
      </c>
      <c r="C23" s="21">
        <f>loss_4</f>
        <v/>
      </c>
      <c r="D23" s="22">
        <f>1-C23</f>
        <v/>
      </c>
      <c r="E23" s="22">
        <f>E22*D23</f>
        <v/>
      </c>
    </row>
    <row r="24">
      <c r="B24" s="7" t="inlineStr">
        <is>
          <t>Inverter efficiency</t>
        </is>
      </c>
      <c r="C24" s="21">
        <f>loss_5</f>
        <v/>
      </c>
      <c r="D24" s="22">
        <f>1-C24</f>
        <v/>
      </c>
      <c r="E24" s="22">
        <f>E23*D24</f>
        <v/>
      </c>
    </row>
    <row r="25">
      <c r="B25" s="7" t="inlineStr">
        <is>
          <t>Clipping at the 1.30 loading ratio</t>
        </is>
      </c>
      <c r="C25" s="21">
        <f>loss_6</f>
        <v/>
      </c>
      <c r="D25" s="22">
        <f>1-C25</f>
        <v/>
      </c>
      <c r="E25" s="22">
        <f>E24*D25</f>
        <v/>
      </c>
    </row>
    <row r="26">
      <c r="B26" s="7" t="inlineStr">
        <is>
          <t>AC wiring, transformers and gen-tie</t>
        </is>
      </c>
      <c r="C26" s="21">
        <f>loss_7</f>
        <v/>
      </c>
      <c r="D26" s="22">
        <f>1-C26</f>
        <v/>
      </c>
      <c r="E26" s="22">
        <f>E25*D26</f>
        <v/>
      </c>
    </row>
    <row r="27">
      <c r="B27" s="7" t="inlineStr">
        <is>
          <t>Availability</t>
        </is>
      </c>
      <c r="C27" s="21">
        <f>loss_8</f>
        <v/>
      </c>
      <c r="D27" s="22">
        <f>1-C27</f>
        <v/>
      </c>
      <c r="E27" s="22">
        <f>E26*D27</f>
        <v/>
      </c>
    </row>
    <row r="28">
      <c r="B28" s="7" t="inlineStr">
        <is>
          <t>Gross DC energy before losses (MWh)</t>
        </is>
      </c>
      <c r="C28" s="23">
        <f>e_p50/E27</f>
        <v/>
      </c>
    </row>
    <row r="29">
      <c r="B29" s="7" t="inlineStr">
        <is>
          <t>Total losses</t>
        </is>
      </c>
      <c r="C29" s="21">
        <f>1-e_p50/e_gross</f>
        <v/>
      </c>
    </row>
    <row r="31">
      <c r="B31" s="14" t="inlineStr">
        <is>
          <t>Uncertainty and exceedance levels (share of P50)</t>
        </is>
      </c>
    </row>
    <row r="32">
      <c r="B32" s="7" t="inlineStr">
        <is>
          <t>Combined uncertainty, one year</t>
        </is>
      </c>
      <c r="C32" s="21">
        <f>SQRT(s_lt^2+s_mod^2+s_iav^2)</f>
        <v/>
      </c>
    </row>
    <row r="33">
      <c r="B33" s="7" t="inlineStr">
        <is>
          <t>Combined uncertainty, ten-year average (interannual variability / square root of 10)</t>
        </is>
      </c>
      <c r="C33" s="21">
        <f>SQRT(s_lt^2+s_mod^2+(s_iav/SQRT(horizon))^2)</f>
        <v/>
      </c>
    </row>
    <row r="34">
      <c r="B34" s="7" t="inlineStr">
        <is>
          <t>P90 one-year</t>
        </is>
      </c>
      <c r="C34" s="21">
        <f>1-z_p90*sigma_1</f>
        <v/>
      </c>
    </row>
    <row r="35">
      <c r="B35" s="7" t="inlineStr">
        <is>
          <t>P90 ten-year</t>
        </is>
      </c>
      <c r="C35" s="21">
        <f>1-z_p90*sigma_10</f>
        <v/>
      </c>
    </row>
    <row r="36">
      <c r="B36" s="7" t="inlineStr">
        <is>
          <t>P75 ten-year</t>
        </is>
      </c>
      <c r="C36" s="21">
        <f>1-z_p75*sigma_10</f>
        <v/>
      </c>
    </row>
    <row r="37">
      <c r="B37" s="7" t="inlineStr">
        <is>
          <t>P99 one-year</t>
        </is>
      </c>
      <c r="C37" s="21">
        <f>1-z_p99*sigma_1</f>
        <v/>
      </c>
    </row>
    <row r="38">
      <c r="B38" s="7" t="inlineStr">
        <is>
          <t>P90 one-year energy (MWh)</t>
        </is>
      </c>
      <c r="C38" s="23">
        <f>e_p50*p90_1</f>
        <v/>
      </c>
    </row>
    <row r="39">
      <c r="B39" s="7" t="inlineStr">
        <is>
          <t>P90 ten-year energy (MWh)</t>
        </is>
      </c>
      <c r="C39" s="23">
        <f>e_p50*p90_10</f>
        <v/>
      </c>
    </row>
    <row r="40">
      <c r="B40" s="7" t="inlineStr">
        <is>
          <t>P99 one-year energy (MWh)</t>
        </is>
      </c>
      <c r="C40" s="23">
        <f>e_p50*p99_1</f>
        <v/>
      </c>
    </row>
    <row r="42">
      <c r="B42" s="14" t="inlineStr">
        <is>
          <t>Hartwell Ridge Wind</t>
        </is>
      </c>
    </row>
    <row r="43">
      <c r="B43" s="7" t="inlineStr">
        <is>
          <t>P50 energy a year (MWh)</t>
        </is>
      </c>
      <c r="C43" s="23">
        <f>w_mw*hours*w_cf_p50</f>
        <v/>
      </c>
    </row>
    <row r="44">
      <c r="B44" s="7" t="inlineStr">
        <is>
          <t>Combined uncertainty, one year</t>
        </is>
      </c>
      <c r="C44" s="21">
        <f>SQRT(w_s_lt^2+w_s_mod^2+w_s_iav^2)</f>
        <v/>
      </c>
    </row>
    <row r="45">
      <c r="B45" s="7" t="inlineStr">
        <is>
          <t>Combined uncertainty, ten-year average</t>
        </is>
      </c>
      <c r="C45" s="21">
        <f>SQRT(w_s_lt^2+w_s_mod^2+(w_s_iav/SQRT(horizon))^2)</f>
        <v/>
      </c>
    </row>
    <row r="46">
      <c r="B46" s="7" t="inlineStr">
        <is>
          <t>P90 one-year</t>
        </is>
      </c>
      <c r="C46" s="21">
        <f>1-z_p90*w_sigma_1</f>
        <v/>
      </c>
    </row>
    <row r="47">
      <c r="B47" s="7" t="inlineStr">
        <is>
          <t>P90 ten-year</t>
        </is>
      </c>
      <c r="C47" s="21">
        <f>1-z_p90*w_sigma_10</f>
        <v/>
      </c>
    </row>
    <row r="48">
      <c r="B48" s="7" t="inlineStr">
        <is>
          <t>P99 one-year</t>
        </is>
      </c>
      <c r="C48" s="21">
        <f>1-z_p99*w_sigma_1</f>
        <v/>
      </c>
    </row>
    <row r="49">
      <c r="B49" s="7" t="inlineStr">
        <is>
          <t>Wind energy / Cedar Hollow's P50 energy</t>
        </is>
      </c>
      <c r="C49" s="27">
        <f>w_e/e_p50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B2:AL20"/>
  <sheetViews>
    <sheetView showGridLines="0" workbookViewId="0">
      <selection activeCell="A1" sqref="A1"/>
    </sheetView>
  </sheetViews>
  <sheetFormatPr baseColWidth="8" defaultRowHeight="15"/>
  <cols>
    <col width="2" customWidth="1" min="1" max="1"/>
    <col width="58" customWidth="1" min="2" max="2"/>
    <col width="13"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Market prices and merchant revenue at P50, before the hub switch (chapter 7)</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Hub around-the-clock price ($/MWh)</t>
        </is>
      </c>
      <c r="D7" s="32">
        <f>hub_2028*(1+hub_esc)^D$5</f>
        <v/>
      </c>
      <c r="E7" s="32">
        <f>hub_2028*(1+hub_esc)^E$5</f>
        <v/>
      </c>
      <c r="F7" s="32">
        <f>hub_2028*(1+hub_esc)^F$5</f>
        <v/>
      </c>
      <c r="G7" s="32">
        <f>hub_2028*(1+hub_esc)^G$5</f>
        <v/>
      </c>
      <c r="H7" s="32">
        <f>hub_2028*(1+hub_esc)^H$5</f>
        <v/>
      </c>
      <c r="I7" s="32">
        <f>hub_2028*(1+hub_esc)^I$5</f>
        <v/>
      </c>
      <c r="J7" s="32">
        <f>hub_2028*(1+hub_esc)^J$5</f>
        <v/>
      </c>
      <c r="K7" s="32">
        <f>hub_2028*(1+hub_esc)^K$5</f>
        <v/>
      </c>
      <c r="L7" s="32">
        <f>hub_2028*(1+hub_esc)^L$5</f>
        <v/>
      </c>
      <c r="M7" s="32">
        <f>hub_2028*(1+hub_esc)^M$5</f>
        <v/>
      </c>
      <c r="N7" s="32">
        <f>hub_2028*(1+hub_esc)^N$5</f>
        <v/>
      </c>
      <c r="O7" s="32">
        <f>hub_2028*(1+hub_esc)^O$5</f>
        <v/>
      </c>
      <c r="P7" s="32">
        <f>hub_2028*(1+hub_esc)^P$5</f>
        <v/>
      </c>
      <c r="Q7" s="32">
        <f>hub_2028*(1+hub_esc)^Q$5</f>
        <v/>
      </c>
      <c r="R7" s="32">
        <f>hub_2028*(1+hub_esc)^R$5</f>
        <v/>
      </c>
      <c r="S7" s="32">
        <f>hub_2028*(1+hub_esc)^S$5</f>
        <v/>
      </c>
      <c r="T7" s="32">
        <f>hub_2028*(1+hub_esc)^T$5</f>
        <v/>
      </c>
      <c r="U7" s="32">
        <f>hub_2028*(1+hub_esc)^U$5</f>
        <v/>
      </c>
      <c r="V7" s="32">
        <f>hub_2028*(1+hub_esc)^V$5</f>
        <v/>
      </c>
      <c r="W7" s="32">
        <f>hub_2028*(1+hub_esc)^W$5</f>
        <v/>
      </c>
      <c r="X7" s="32">
        <f>hub_2028*(1+hub_esc)^X$5</f>
        <v/>
      </c>
      <c r="Y7" s="32">
        <f>hub_2028*(1+hub_esc)^Y$5</f>
        <v/>
      </c>
      <c r="Z7" s="32">
        <f>hub_2028*(1+hub_esc)^Z$5</f>
        <v/>
      </c>
      <c r="AA7" s="32">
        <f>hub_2028*(1+hub_esc)^AA$5</f>
        <v/>
      </c>
      <c r="AB7" s="32">
        <f>hub_2028*(1+hub_esc)^AB$5</f>
        <v/>
      </c>
      <c r="AC7" s="32">
        <f>hub_2028*(1+hub_esc)^AC$5</f>
        <v/>
      </c>
      <c r="AD7" s="32">
        <f>hub_2028*(1+hub_esc)^AD$5</f>
        <v/>
      </c>
      <c r="AE7" s="32">
        <f>hub_2028*(1+hub_esc)^AE$5</f>
        <v/>
      </c>
      <c r="AF7" s="32">
        <f>hub_2028*(1+hub_esc)^AF$5</f>
        <v/>
      </c>
      <c r="AG7" s="32">
        <f>hub_2028*(1+hub_esc)^AG$5</f>
        <v/>
      </c>
      <c r="AH7" s="32">
        <f>hub_2028*(1+hub_esc)^AH$5</f>
        <v/>
      </c>
      <c r="AI7" s="32">
        <f>hub_2028*(1+hub_esc)^AI$5</f>
        <v/>
      </c>
      <c r="AJ7" s="32">
        <f>hub_2028*(1+hub_esc)^AJ$5</f>
        <v/>
      </c>
      <c r="AK7" s="32">
        <f>hub_2028*(1+hub_esc)^AK$5</f>
        <v/>
      </c>
      <c r="AL7" s="32">
        <f>hub_2028*(1+hub_esc)^AL$5</f>
        <v/>
      </c>
    </row>
    <row r="8">
      <c r="B8" s="7" t="inlineStr">
        <is>
          <t>Solar capture rate</t>
        </is>
      </c>
      <c r="D8" s="21">
        <f>MAX(capture_floor,capture_2028-capture_step*D$5)</f>
        <v/>
      </c>
      <c r="E8" s="21">
        <f>MAX(capture_floor,capture_2028-capture_step*E$5)</f>
        <v/>
      </c>
      <c r="F8" s="21">
        <f>MAX(capture_floor,capture_2028-capture_step*F$5)</f>
        <v/>
      </c>
      <c r="G8" s="21">
        <f>MAX(capture_floor,capture_2028-capture_step*G$5)</f>
        <v/>
      </c>
      <c r="H8" s="21">
        <f>MAX(capture_floor,capture_2028-capture_step*H$5)</f>
        <v/>
      </c>
      <c r="I8" s="21">
        <f>MAX(capture_floor,capture_2028-capture_step*I$5)</f>
        <v/>
      </c>
      <c r="J8" s="21">
        <f>MAX(capture_floor,capture_2028-capture_step*J$5)</f>
        <v/>
      </c>
      <c r="K8" s="21">
        <f>MAX(capture_floor,capture_2028-capture_step*K$5)</f>
        <v/>
      </c>
      <c r="L8" s="21">
        <f>MAX(capture_floor,capture_2028-capture_step*L$5)</f>
        <v/>
      </c>
      <c r="M8" s="21">
        <f>MAX(capture_floor,capture_2028-capture_step*M$5)</f>
        <v/>
      </c>
      <c r="N8" s="21">
        <f>MAX(capture_floor,capture_2028-capture_step*N$5)</f>
        <v/>
      </c>
      <c r="O8" s="21">
        <f>MAX(capture_floor,capture_2028-capture_step*O$5)</f>
        <v/>
      </c>
      <c r="P8" s="21">
        <f>MAX(capture_floor,capture_2028-capture_step*P$5)</f>
        <v/>
      </c>
      <c r="Q8" s="21">
        <f>MAX(capture_floor,capture_2028-capture_step*Q$5)</f>
        <v/>
      </c>
      <c r="R8" s="21">
        <f>MAX(capture_floor,capture_2028-capture_step*R$5)</f>
        <v/>
      </c>
      <c r="S8" s="21">
        <f>MAX(capture_floor,capture_2028-capture_step*S$5)</f>
        <v/>
      </c>
      <c r="T8" s="21">
        <f>MAX(capture_floor,capture_2028-capture_step*T$5)</f>
        <v/>
      </c>
      <c r="U8" s="21">
        <f>MAX(capture_floor,capture_2028-capture_step*U$5)</f>
        <v/>
      </c>
      <c r="V8" s="21">
        <f>MAX(capture_floor,capture_2028-capture_step*V$5)</f>
        <v/>
      </c>
      <c r="W8" s="21">
        <f>MAX(capture_floor,capture_2028-capture_step*W$5)</f>
        <v/>
      </c>
      <c r="X8" s="21">
        <f>MAX(capture_floor,capture_2028-capture_step*X$5)</f>
        <v/>
      </c>
      <c r="Y8" s="21">
        <f>MAX(capture_floor,capture_2028-capture_step*Y$5)</f>
        <v/>
      </c>
      <c r="Z8" s="21">
        <f>MAX(capture_floor,capture_2028-capture_step*Z$5)</f>
        <v/>
      </c>
      <c r="AA8" s="21">
        <f>MAX(capture_floor,capture_2028-capture_step*AA$5)</f>
        <v/>
      </c>
      <c r="AB8" s="21">
        <f>MAX(capture_floor,capture_2028-capture_step*AB$5)</f>
        <v/>
      </c>
      <c r="AC8" s="21">
        <f>MAX(capture_floor,capture_2028-capture_step*AC$5)</f>
        <v/>
      </c>
      <c r="AD8" s="21">
        <f>MAX(capture_floor,capture_2028-capture_step*AD$5)</f>
        <v/>
      </c>
      <c r="AE8" s="21">
        <f>MAX(capture_floor,capture_2028-capture_step*AE$5)</f>
        <v/>
      </c>
      <c r="AF8" s="21">
        <f>MAX(capture_floor,capture_2028-capture_step*AF$5)</f>
        <v/>
      </c>
      <c r="AG8" s="21">
        <f>MAX(capture_floor,capture_2028-capture_step*AG$5)</f>
        <v/>
      </c>
      <c r="AH8" s="21">
        <f>MAX(capture_floor,capture_2028-capture_step*AH$5)</f>
        <v/>
      </c>
      <c r="AI8" s="21">
        <f>MAX(capture_floor,capture_2028-capture_step*AI$5)</f>
        <v/>
      </c>
      <c r="AJ8" s="21">
        <f>MAX(capture_floor,capture_2028-capture_step*AJ$5)</f>
        <v/>
      </c>
      <c r="AK8" s="21">
        <f>MAX(capture_floor,capture_2028-capture_step*AK$5)</f>
        <v/>
      </c>
      <c r="AL8" s="21">
        <f>MAX(capture_floor,capture_2028-capture_step*AL$5)</f>
        <v/>
      </c>
    </row>
    <row r="9">
      <c r="B9" s="7" t="inlineStr">
        <is>
          <t>Solar-weighted hub price ($/MWh)</t>
        </is>
      </c>
      <c r="D9" s="32">
        <f>D7*D8</f>
        <v/>
      </c>
      <c r="E9" s="32">
        <f>E7*E8</f>
        <v/>
      </c>
      <c r="F9" s="32">
        <f>F7*F8</f>
        <v/>
      </c>
      <c r="G9" s="32">
        <f>G7*G8</f>
        <v/>
      </c>
      <c r="H9" s="32">
        <f>H7*H8</f>
        <v/>
      </c>
      <c r="I9" s="32">
        <f>I7*I8</f>
        <v/>
      </c>
      <c r="J9" s="32">
        <f>J7*J8</f>
        <v/>
      </c>
      <c r="K9" s="32">
        <f>K7*K8</f>
        <v/>
      </c>
      <c r="L9" s="32">
        <f>L7*L8</f>
        <v/>
      </c>
      <c r="M9" s="32">
        <f>M7*M8</f>
        <v/>
      </c>
      <c r="N9" s="32">
        <f>N7*N8</f>
        <v/>
      </c>
      <c r="O9" s="32">
        <f>O7*O8</f>
        <v/>
      </c>
      <c r="P9" s="32">
        <f>P7*P8</f>
        <v/>
      </c>
      <c r="Q9" s="32">
        <f>Q7*Q8</f>
        <v/>
      </c>
      <c r="R9" s="32">
        <f>R7*R8</f>
        <v/>
      </c>
      <c r="S9" s="32">
        <f>S7*S8</f>
        <v/>
      </c>
      <c r="T9" s="32">
        <f>T7*T8</f>
        <v/>
      </c>
      <c r="U9" s="32">
        <f>U7*U8</f>
        <v/>
      </c>
      <c r="V9" s="32">
        <f>V7*V8</f>
        <v/>
      </c>
      <c r="W9" s="32">
        <f>W7*W8</f>
        <v/>
      </c>
      <c r="X9" s="32">
        <f>X7*X8</f>
        <v/>
      </c>
      <c r="Y9" s="32">
        <f>Y7*Y8</f>
        <v/>
      </c>
      <c r="Z9" s="32">
        <f>Z7*Z8</f>
        <v/>
      </c>
      <c r="AA9" s="32">
        <f>AA7*AA8</f>
        <v/>
      </c>
      <c r="AB9" s="32">
        <f>AB7*AB8</f>
        <v/>
      </c>
      <c r="AC9" s="32">
        <f>AC7*AC8</f>
        <v/>
      </c>
      <c r="AD9" s="32">
        <f>AD7*AD8</f>
        <v/>
      </c>
      <c r="AE9" s="32">
        <f>AE7*AE8</f>
        <v/>
      </c>
      <c r="AF9" s="32">
        <f>AF7*AF8</f>
        <v/>
      </c>
      <c r="AG9" s="32">
        <f>AG7*AG8</f>
        <v/>
      </c>
      <c r="AH9" s="32">
        <f>AH7*AH8</f>
        <v/>
      </c>
      <c r="AI9" s="32">
        <f>AI7*AI8</f>
        <v/>
      </c>
      <c r="AJ9" s="32">
        <f>AJ7*AJ8</f>
        <v/>
      </c>
      <c r="AK9" s="32">
        <f>AK7*AK8</f>
        <v/>
      </c>
      <c r="AL9" s="32">
        <f>AL7*AL8</f>
        <v/>
      </c>
    </row>
    <row r="10">
      <c r="B10" s="7" t="inlineStr">
        <is>
          <t>Basis, node minus hub ($/MWh)</t>
        </is>
      </c>
      <c r="D10" s="32">
        <f>basis_2028*(1+hub_esc)^D$5</f>
        <v/>
      </c>
      <c r="E10" s="32">
        <f>basis_2028*(1+hub_esc)^E$5</f>
        <v/>
      </c>
      <c r="F10" s="32">
        <f>basis_2028*(1+hub_esc)^F$5</f>
        <v/>
      </c>
      <c r="G10" s="32">
        <f>basis_2028*(1+hub_esc)^G$5</f>
        <v/>
      </c>
      <c r="H10" s="32">
        <f>basis_2028*(1+hub_esc)^H$5</f>
        <v/>
      </c>
      <c r="I10" s="32">
        <f>basis_2028*(1+hub_esc)^I$5</f>
        <v/>
      </c>
      <c r="J10" s="32">
        <f>basis_2028*(1+hub_esc)^J$5</f>
        <v/>
      </c>
      <c r="K10" s="32">
        <f>basis_2028*(1+hub_esc)^K$5</f>
        <v/>
      </c>
      <c r="L10" s="32">
        <f>basis_2028*(1+hub_esc)^L$5</f>
        <v/>
      </c>
      <c r="M10" s="32">
        <f>basis_2028*(1+hub_esc)^M$5</f>
        <v/>
      </c>
      <c r="N10" s="32">
        <f>basis_2028*(1+hub_esc)^N$5</f>
        <v/>
      </c>
      <c r="O10" s="32">
        <f>basis_2028*(1+hub_esc)^O$5</f>
        <v/>
      </c>
      <c r="P10" s="32">
        <f>basis_2028*(1+hub_esc)^P$5</f>
        <v/>
      </c>
      <c r="Q10" s="32">
        <f>basis_2028*(1+hub_esc)^Q$5</f>
        <v/>
      </c>
      <c r="R10" s="32">
        <f>basis_2028*(1+hub_esc)^R$5</f>
        <v/>
      </c>
      <c r="S10" s="32">
        <f>basis_2028*(1+hub_esc)^S$5</f>
        <v/>
      </c>
      <c r="T10" s="32">
        <f>basis_2028*(1+hub_esc)^T$5</f>
        <v/>
      </c>
      <c r="U10" s="32">
        <f>basis_2028*(1+hub_esc)^U$5</f>
        <v/>
      </c>
      <c r="V10" s="32">
        <f>basis_2028*(1+hub_esc)^V$5</f>
        <v/>
      </c>
      <c r="W10" s="32">
        <f>basis_2028*(1+hub_esc)^W$5</f>
        <v/>
      </c>
      <c r="X10" s="32">
        <f>basis_2028*(1+hub_esc)^X$5</f>
        <v/>
      </c>
      <c r="Y10" s="32">
        <f>basis_2028*(1+hub_esc)^Y$5</f>
        <v/>
      </c>
      <c r="Z10" s="32">
        <f>basis_2028*(1+hub_esc)^Z$5</f>
        <v/>
      </c>
      <c r="AA10" s="32">
        <f>basis_2028*(1+hub_esc)^AA$5</f>
        <v/>
      </c>
      <c r="AB10" s="32">
        <f>basis_2028*(1+hub_esc)^AB$5</f>
        <v/>
      </c>
      <c r="AC10" s="32">
        <f>basis_2028*(1+hub_esc)^AC$5</f>
        <v/>
      </c>
      <c r="AD10" s="32">
        <f>basis_2028*(1+hub_esc)^AD$5</f>
        <v/>
      </c>
      <c r="AE10" s="32">
        <f>basis_2028*(1+hub_esc)^AE$5</f>
        <v/>
      </c>
      <c r="AF10" s="32">
        <f>basis_2028*(1+hub_esc)^AF$5</f>
        <v/>
      </c>
      <c r="AG10" s="32">
        <f>basis_2028*(1+hub_esc)^AG$5</f>
        <v/>
      </c>
      <c r="AH10" s="32">
        <f>basis_2028*(1+hub_esc)^AH$5</f>
        <v/>
      </c>
      <c r="AI10" s="32">
        <f>basis_2028*(1+hub_esc)^AI$5</f>
        <v/>
      </c>
      <c r="AJ10" s="32">
        <f>basis_2028*(1+hub_esc)^AJ$5</f>
        <v/>
      </c>
      <c r="AK10" s="32">
        <f>basis_2028*(1+hub_esc)^AK$5</f>
        <v/>
      </c>
      <c r="AL10" s="32">
        <f>basis_2028*(1+hub_esc)^AL$5</f>
        <v/>
      </c>
    </row>
    <row r="11">
      <c r="B11" s="14" t="inlineStr">
        <is>
          <t>Node price realized by the project ($/MWh)</t>
        </is>
      </c>
      <c r="D11" s="33">
        <f>D9+D10</f>
        <v/>
      </c>
      <c r="E11" s="33">
        <f>E9+E10</f>
        <v/>
      </c>
      <c r="F11" s="33">
        <f>F9+F10</f>
        <v/>
      </c>
      <c r="G11" s="33">
        <f>G9+G10</f>
        <v/>
      </c>
      <c r="H11" s="33">
        <f>H9+H10</f>
        <v/>
      </c>
      <c r="I11" s="33">
        <f>I9+I10</f>
        <v/>
      </c>
      <c r="J11" s="33">
        <f>J9+J10</f>
        <v/>
      </c>
      <c r="K11" s="33">
        <f>K9+K10</f>
        <v/>
      </c>
      <c r="L11" s="33">
        <f>L9+L10</f>
        <v/>
      </c>
      <c r="M11" s="33">
        <f>M9+M10</f>
        <v/>
      </c>
      <c r="N11" s="33">
        <f>N9+N10</f>
        <v/>
      </c>
      <c r="O11" s="33">
        <f>O9+O10</f>
        <v/>
      </c>
      <c r="P11" s="33">
        <f>P9+P10</f>
        <v/>
      </c>
      <c r="Q11" s="33">
        <f>Q9+Q10</f>
        <v/>
      </c>
      <c r="R11" s="33">
        <f>R9+R10</f>
        <v/>
      </c>
      <c r="S11" s="33">
        <f>S9+S10</f>
        <v/>
      </c>
      <c r="T11" s="33">
        <f>T9+T10</f>
        <v/>
      </c>
      <c r="U11" s="33">
        <f>U9+U10</f>
        <v/>
      </c>
      <c r="V11" s="33">
        <f>V9+V10</f>
        <v/>
      </c>
      <c r="W11" s="33">
        <f>W9+W10</f>
        <v/>
      </c>
      <c r="X11" s="33">
        <f>X9+X10</f>
        <v/>
      </c>
      <c r="Y11" s="33">
        <f>Y9+Y10</f>
        <v/>
      </c>
      <c r="Z11" s="33">
        <f>Z9+Z10</f>
        <v/>
      </c>
      <c r="AA11" s="33">
        <f>AA9+AA10</f>
        <v/>
      </c>
      <c r="AB11" s="33">
        <f>AB9+AB10</f>
        <v/>
      </c>
      <c r="AC11" s="33">
        <f>AC9+AC10</f>
        <v/>
      </c>
      <c r="AD11" s="33">
        <f>AD9+AD10</f>
        <v/>
      </c>
      <c r="AE11" s="33">
        <f>AE9+AE10</f>
        <v/>
      </c>
      <c r="AF11" s="33">
        <f>AF9+AF10</f>
        <v/>
      </c>
      <c r="AG11" s="33">
        <f>AG9+AG10</f>
        <v/>
      </c>
      <c r="AH11" s="33">
        <f>AH9+AH10</f>
        <v/>
      </c>
      <c r="AI11" s="33">
        <f>AI9+AI10</f>
        <v/>
      </c>
      <c r="AJ11" s="33">
        <f>AJ9+AJ10</f>
        <v/>
      </c>
      <c r="AK11" s="33">
        <f>AK9+AK10</f>
        <v/>
      </c>
      <c r="AL11" s="33">
        <f>AL9+AL10</f>
        <v/>
      </c>
    </row>
    <row r="12">
      <c r="B12" s="7" t="inlineStr">
        <is>
          <t>Solar accreditation (share of MWac)</t>
        </is>
      </c>
      <c r="D12" s="21">
        <f>MAX(acc_floor,acc_2028-acc_step*D$5)</f>
        <v/>
      </c>
      <c r="E12" s="21">
        <f>MAX(acc_floor,acc_2028-acc_step*E$5)</f>
        <v/>
      </c>
      <c r="F12" s="21">
        <f>MAX(acc_floor,acc_2028-acc_step*F$5)</f>
        <v/>
      </c>
      <c r="G12" s="21">
        <f>MAX(acc_floor,acc_2028-acc_step*G$5)</f>
        <v/>
      </c>
      <c r="H12" s="21">
        <f>MAX(acc_floor,acc_2028-acc_step*H$5)</f>
        <v/>
      </c>
      <c r="I12" s="21">
        <f>MAX(acc_floor,acc_2028-acc_step*I$5)</f>
        <v/>
      </c>
      <c r="J12" s="21">
        <f>MAX(acc_floor,acc_2028-acc_step*J$5)</f>
        <v/>
      </c>
      <c r="K12" s="21">
        <f>MAX(acc_floor,acc_2028-acc_step*K$5)</f>
        <v/>
      </c>
      <c r="L12" s="21">
        <f>MAX(acc_floor,acc_2028-acc_step*L$5)</f>
        <v/>
      </c>
      <c r="M12" s="21">
        <f>MAX(acc_floor,acc_2028-acc_step*M$5)</f>
        <v/>
      </c>
      <c r="N12" s="21">
        <f>MAX(acc_floor,acc_2028-acc_step*N$5)</f>
        <v/>
      </c>
      <c r="O12" s="21">
        <f>MAX(acc_floor,acc_2028-acc_step*O$5)</f>
        <v/>
      </c>
      <c r="P12" s="21">
        <f>MAX(acc_floor,acc_2028-acc_step*P$5)</f>
        <v/>
      </c>
      <c r="Q12" s="21">
        <f>MAX(acc_floor,acc_2028-acc_step*Q$5)</f>
        <v/>
      </c>
      <c r="R12" s="21">
        <f>MAX(acc_floor,acc_2028-acc_step*R$5)</f>
        <v/>
      </c>
      <c r="S12" s="21">
        <f>MAX(acc_floor,acc_2028-acc_step*S$5)</f>
        <v/>
      </c>
      <c r="T12" s="21">
        <f>MAX(acc_floor,acc_2028-acc_step*T$5)</f>
        <v/>
      </c>
      <c r="U12" s="21">
        <f>MAX(acc_floor,acc_2028-acc_step*U$5)</f>
        <v/>
      </c>
      <c r="V12" s="21">
        <f>MAX(acc_floor,acc_2028-acc_step*V$5)</f>
        <v/>
      </c>
      <c r="W12" s="21">
        <f>MAX(acc_floor,acc_2028-acc_step*W$5)</f>
        <v/>
      </c>
      <c r="X12" s="21">
        <f>MAX(acc_floor,acc_2028-acc_step*X$5)</f>
        <v/>
      </c>
      <c r="Y12" s="21">
        <f>MAX(acc_floor,acc_2028-acc_step*Y$5)</f>
        <v/>
      </c>
      <c r="Z12" s="21">
        <f>MAX(acc_floor,acc_2028-acc_step*Z$5)</f>
        <v/>
      </c>
      <c r="AA12" s="21">
        <f>MAX(acc_floor,acc_2028-acc_step*AA$5)</f>
        <v/>
      </c>
      <c r="AB12" s="21">
        <f>MAX(acc_floor,acc_2028-acc_step*AB$5)</f>
        <v/>
      </c>
      <c r="AC12" s="21">
        <f>MAX(acc_floor,acc_2028-acc_step*AC$5)</f>
        <v/>
      </c>
      <c r="AD12" s="21">
        <f>MAX(acc_floor,acc_2028-acc_step*AD$5)</f>
        <v/>
      </c>
      <c r="AE12" s="21">
        <f>MAX(acc_floor,acc_2028-acc_step*AE$5)</f>
        <v/>
      </c>
      <c r="AF12" s="21">
        <f>MAX(acc_floor,acc_2028-acc_step*AF$5)</f>
        <v/>
      </c>
      <c r="AG12" s="21">
        <f>MAX(acc_floor,acc_2028-acc_step*AG$5)</f>
        <v/>
      </c>
      <c r="AH12" s="21">
        <f>MAX(acc_floor,acc_2028-acc_step*AH$5)</f>
        <v/>
      </c>
      <c r="AI12" s="21">
        <f>MAX(acc_floor,acc_2028-acc_step*AI$5)</f>
        <v/>
      </c>
      <c r="AJ12" s="21">
        <f>MAX(acc_floor,acc_2028-acc_step*AJ$5)</f>
        <v/>
      </c>
      <c r="AK12" s="21">
        <f>MAX(acc_floor,acc_2028-acc_step*AK$5)</f>
        <v/>
      </c>
      <c r="AL12" s="21">
        <f>MAX(acc_floor,acc_2028-acc_step*AL$5)</f>
        <v/>
      </c>
    </row>
    <row r="13">
      <c r="B13" s="7" t="inlineStr">
        <is>
          <t>Capacity revenue ($)</t>
        </is>
      </c>
      <c r="D13" s="25">
        <f>mwac*D12*cap_mwday*days_year</f>
        <v/>
      </c>
      <c r="E13" s="25">
        <f>mwac*E12*cap_mwday*days_year</f>
        <v/>
      </c>
      <c r="F13" s="25">
        <f>mwac*F12*cap_mwday*days_year</f>
        <v/>
      </c>
      <c r="G13" s="25">
        <f>mwac*G12*cap_mwday*days_year</f>
        <v/>
      </c>
      <c r="H13" s="25">
        <f>mwac*H12*cap_mwday*days_year</f>
        <v/>
      </c>
      <c r="I13" s="25">
        <f>mwac*I12*cap_mwday*days_year</f>
        <v/>
      </c>
      <c r="J13" s="25">
        <f>mwac*J12*cap_mwday*days_year</f>
        <v/>
      </c>
      <c r="K13" s="25">
        <f>mwac*K12*cap_mwday*days_year</f>
        <v/>
      </c>
      <c r="L13" s="25">
        <f>mwac*L12*cap_mwday*days_year</f>
        <v/>
      </c>
      <c r="M13" s="25">
        <f>mwac*M12*cap_mwday*days_year</f>
        <v/>
      </c>
      <c r="N13" s="25">
        <f>mwac*N12*cap_mwday*days_year</f>
        <v/>
      </c>
      <c r="O13" s="25">
        <f>mwac*O12*cap_mwday*days_year</f>
        <v/>
      </c>
      <c r="P13" s="25">
        <f>mwac*P12*cap_mwday*days_year</f>
        <v/>
      </c>
      <c r="Q13" s="25">
        <f>mwac*Q12*cap_mwday*days_year</f>
        <v/>
      </c>
      <c r="R13" s="25">
        <f>mwac*R12*cap_mwday*days_year</f>
        <v/>
      </c>
      <c r="S13" s="25">
        <f>mwac*S12*cap_mwday*days_year</f>
        <v/>
      </c>
      <c r="T13" s="25">
        <f>mwac*T12*cap_mwday*days_year</f>
        <v/>
      </c>
      <c r="U13" s="25">
        <f>mwac*U12*cap_mwday*days_year</f>
        <v/>
      </c>
      <c r="V13" s="25">
        <f>mwac*V12*cap_mwday*days_year</f>
        <v/>
      </c>
      <c r="W13" s="25">
        <f>mwac*W12*cap_mwday*days_year</f>
        <v/>
      </c>
      <c r="X13" s="25">
        <f>mwac*X12*cap_mwday*days_year</f>
        <v/>
      </c>
      <c r="Y13" s="25">
        <f>mwac*Y12*cap_mwday*days_year</f>
        <v/>
      </c>
      <c r="Z13" s="25">
        <f>mwac*Z12*cap_mwday*days_year</f>
        <v/>
      </c>
      <c r="AA13" s="25">
        <f>mwac*AA12*cap_mwday*days_year</f>
        <v/>
      </c>
      <c r="AB13" s="25">
        <f>mwac*AB12*cap_mwday*days_year</f>
        <v/>
      </c>
      <c r="AC13" s="25">
        <f>mwac*AC12*cap_mwday*days_year</f>
        <v/>
      </c>
      <c r="AD13" s="25">
        <f>mwac*AD12*cap_mwday*days_year</f>
        <v/>
      </c>
      <c r="AE13" s="25">
        <f>mwac*AE12*cap_mwday*days_year</f>
        <v/>
      </c>
      <c r="AF13" s="25">
        <f>mwac*AF12*cap_mwday*days_year</f>
        <v/>
      </c>
      <c r="AG13" s="25">
        <f>mwac*AG12*cap_mwday*days_year</f>
        <v/>
      </c>
      <c r="AH13" s="25">
        <f>mwac*AH12*cap_mwday*days_year</f>
        <v/>
      </c>
      <c r="AI13" s="25">
        <f>mwac*AI12*cap_mwday*days_year</f>
        <v/>
      </c>
      <c r="AJ13" s="25">
        <f>mwac*AJ12*cap_mwday*days_year</f>
        <v/>
      </c>
      <c r="AK13" s="25">
        <f>mwac*AK12*cap_mwday*days_year</f>
        <v/>
      </c>
      <c r="AL13" s="25">
        <f>mwac*AL12*cap_mwday*days_year</f>
        <v/>
      </c>
    </row>
    <row r="14">
      <c r="B14" s="7" t="inlineStr">
        <is>
          <t>P50 energy (MWh)</t>
        </is>
      </c>
      <c r="D14" s="23">
        <f>Energy!D$8</f>
        <v/>
      </c>
      <c r="E14" s="23">
        <f>Energy!E$8</f>
        <v/>
      </c>
      <c r="F14" s="23">
        <f>Energy!F$8</f>
        <v/>
      </c>
      <c r="G14" s="23">
        <f>Energy!G$8</f>
        <v/>
      </c>
      <c r="H14" s="23">
        <f>Energy!H$8</f>
        <v/>
      </c>
      <c r="I14" s="23">
        <f>Energy!I$8</f>
        <v/>
      </c>
      <c r="J14" s="23">
        <f>Energy!J$8</f>
        <v/>
      </c>
      <c r="K14" s="23">
        <f>Energy!K$8</f>
        <v/>
      </c>
      <c r="L14" s="23">
        <f>Energy!L$8</f>
        <v/>
      </c>
      <c r="M14" s="23">
        <f>Energy!M$8</f>
        <v/>
      </c>
      <c r="N14" s="23">
        <f>Energy!N$8</f>
        <v/>
      </c>
      <c r="O14" s="23">
        <f>Energy!O$8</f>
        <v/>
      </c>
      <c r="P14" s="23">
        <f>Energy!P$8</f>
        <v/>
      </c>
      <c r="Q14" s="23">
        <f>Energy!Q$8</f>
        <v/>
      </c>
      <c r="R14" s="23">
        <f>Energy!R$8</f>
        <v/>
      </c>
      <c r="S14" s="23">
        <f>Energy!S$8</f>
        <v/>
      </c>
      <c r="T14" s="23">
        <f>Energy!T$8</f>
        <v/>
      </c>
      <c r="U14" s="23">
        <f>Energy!U$8</f>
        <v/>
      </c>
      <c r="V14" s="23">
        <f>Energy!V$8</f>
        <v/>
      </c>
      <c r="W14" s="23">
        <f>Energy!W$8</f>
        <v/>
      </c>
      <c r="X14" s="23">
        <f>Energy!X$8</f>
        <v/>
      </c>
      <c r="Y14" s="23">
        <f>Energy!Y$8</f>
        <v/>
      </c>
      <c r="Z14" s="23">
        <f>Energy!Z$8</f>
        <v/>
      </c>
      <c r="AA14" s="23">
        <f>Energy!AA$8</f>
        <v/>
      </c>
      <c r="AB14" s="23">
        <f>Energy!AB$8</f>
        <v/>
      </c>
      <c r="AC14" s="23">
        <f>Energy!AC$8</f>
        <v/>
      </c>
      <c r="AD14" s="23">
        <f>Energy!AD$8</f>
        <v/>
      </c>
      <c r="AE14" s="23">
        <f>Energy!AE$8</f>
        <v/>
      </c>
      <c r="AF14" s="23">
        <f>Energy!AF$8</f>
        <v/>
      </c>
      <c r="AG14" s="23">
        <f>Energy!AG$8</f>
        <v/>
      </c>
      <c r="AH14" s="23">
        <f>Energy!AH$8</f>
        <v/>
      </c>
      <c r="AI14" s="23">
        <f>Energy!AI$8</f>
        <v/>
      </c>
      <c r="AJ14" s="23">
        <f>Energy!AJ$8</f>
        <v/>
      </c>
      <c r="AK14" s="23">
        <f>Energy!AK$8</f>
        <v/>
      </c>
      <c r="AL14" s="23">
        <f>Energy!AL$8</f>
        <v/>
      </c>
    </row>
    <row r="15">
      <c r="B15" s="14" t="inlineStr">
        <is>
          <t>Merchant revenue: energy at the node, RECs, capacity ($)</t>
        </is>
      </c>
      <c r="D15" s="26">
        <f>D14*(D11+rec_price)+D13</f>
        <v/>
      </c>
      <c r="E15" s="26">
        <f>E14*(E11+rec_price)+E13</f>
        <v/>
      </c>
      <c r="F15" s="26">
        <f>F14*(F11+rec_price)+F13</f>
        <v/>
      </c>
      <c r="G15" s="26">
        <f>G14*(G11+rec_price)+G13</f>
        <v/>
      </c>
      <c r="H15" s="26">
        <f>H14*(H11+rec_price)+H13</f>
        <v/>
      </c>
      <c r="I15" s="26">
        <f>I14*(I11+rec_price)+I13</f>
        <v/>
      </c>
      <c r="J15" s="26">
        <f>J14*(J11+rec_price)+J13</f>
        <v/>
      </c>
      <c r="K15" s="26">
        <f>K14*(K11+rec_price)+K13</f>
        <v/>
      </c>
      <c r="L15" s="26">
        <f>L14*(L11+rec_price)+L13</f>
        <v/>
      </c>
      <c r="M15" s="26">
        <f>M14*(M11+rec_price)+M13</f>
        <v/>
      </c>
      <c r="N15" s="26">
        <f>N14*(N11+rec_price)+N13</f>
        <v/>
      </c>
      <c r="O15" s="26">
        <f>O14*(O11+rec_price)+O13</f>
        <v/>
      </c>
      <c r="P15" s="26">
        <f>P14*(P11+rec_price)+P13</f>
        <v/>
      </c>
      <c r="Q15" s="26">
        <f>Q14*(Q11+rec_price)+Q13</f>
        <v/>
      </c>
      <c r="R15" s="26">
        <f>R14*(R11+rec_price)+R13</f>
        <v/>
      </c>
      <c r="S15" s="26">
        <f>S14*(S11+rec_price)+S13</f>
        <v/>
      </c>
      <c r="T15" s="26">
        <f>T14*(T11+rec_price)+T13</f>
        <v/>
      </c>
      <c r="U15" s="26">
        <f>U14*(U11+rec_price)+U13</f>
        <v/>
      </c>
      <c r="V15" s="26">
        <f>V14*(V11+rec_price)+V13</f>
        <v/>
      </c>
      <c r="W15" s="26">
        <f>W14*(W11+rec_price)+W13</f>
        <v/>
      </c>
      <c r="X15" s="26">
        <f>X14*(X11+rec_price)+X13</f>
        <v/>
      </c>
      <c r="Y15" s="26">
        <f>Y14*(Y11+rec_price)+Y13</f>
        <v/>
      </c>
      <c r="Z15" s="26">
        <f>Z14*(Z11+rec_price)+Z13</f>
        <v/>
      </c>
      <c r="AA15" s="26">
        <f>AA14*(AA11+rec_price)+AA13</f>
        <v/>
      </c>
      <c r="AB15" s="26">
        <f>AB14*(AB11+rec_price)+AB13</f>
        <v/>
      </c>
      <c r="AC15" s="26">
        <f>AC14*(AC11+rec_price)+AC13</f>
        <v/>
      </c>
      <c r="AD15" s="26">
        <f>AD14*(AD11+rec_price)+AD13</f>
        <v/>
      </c>
      <c r="AE15" s="26">
        <f>AE14*(AE11+rec_price)+AE13</f>
        <v/>
      </c>
      <c r="AF15" s="26">
        <f>AF14*(AF11+rec_price)+AF13</f>
        <v/>
      </c>
      <c r="AG15" s="26">
        <f>AG14*(AG11+rec_price)+AG13</f>
        <v/>
      </c>
      <c r="AH15" s="26">
        <f>AH14*(AH11+rec_price)+AH13</f>
        <v/>
      </c>
      <c r="AI15" s="26">
        <f>AI14*(AI11+rec_price)+AI13</f>
        <v/>
      </c>
      <c r="AJ15" s="26">
        <f>AJ14*(AJ11+rec_price)+AJ13</f>
        <v/>
      </c>
      <c r="AK15" s="26">
        <f>AK14*(AK11+rec_price)+AK13</f>
        <v/>
      </c>
      <c r="AL15" s="26">
        <f>AL14*(AL11+rec_price)+AL13</f>
        <v/>
      </c>
    </row>
    <row r="16">
      <c r="B16" s="7" t="inlineStr">
        <is>
          <t>Year if the capture rate is at its floor</t>
        </is>
      </c>
      <c r="D16" s="30">
        <f>IF(ROUND(D8-capture_floor,9)&lt;=0,D$4,"")</f>
        <v/>
      </c>
      <c r="E16" s="30">
        <f>IF(ROUND(E8-capture_floor,9)&lt;=0,E$4,"")</f>
        <v/>
      </c>
      <c r="F16" s="30">
        <f>IF(ROUND(F8-capture_floor,9)&lt;=0,F$4,"")</f>
        <v/>
      </c>
      <c r="G16" s="30">
        <f>IF(ROUND(G8-capture_floor,9)&lt;=0,G$4,"")</f>
        <v/>
      </c>
      <c r="H16" s="30">
        <f>IF(ROUND(H8-capture_floor,9)&lt;=0,H$4,"")</f>
        <v/>
      </c>
      <c r="I16" s="30">
        <f>IF(ROUND(I8-capture_floor,9)&lt;=0,I$4,"")</f>
        <v/>
      </c>
      <c r="J16" s="30">
        <f>IF(ROUND(J8-capture_floor,9)&lt;=0,J$4,"")</f>
        <v/>
      </c>
      <c r="K16" s="30">
        <f>IF(ROUND(K8-capture_floor,9)&lt;=0,K$4,"")</f>
        <v/>
      </c>
      <c r="L16" s="30">
        <f>IF(ROUND(L8-capture_floor,9)&lt;=0,L$4,"")</f>
        <v/>
      </c>
      <c r="M16" s="30">
        <f>IF(ROUND(M8-capture_floor,9)&lt;=0,M$4,"")</f>
        <v/>
      </c>
      <c r="N16" s="30">
        <f>IF(ROUND(N8-capture_floor,9)&lt;=0,N$4,"")</f>
        <v/>
      </c>
      <c r="O16" s="30">
        <f>IF(ROUND(O8-capture_floor,9)&lt;=0,O$4,"")</f>
        <v/>
      </c>
      <c r="P16" s="30">
        <f>IF(ROUND(P8-capture_floor,9)&lt;=0,P$4,"")</f>
        <v/>
      </c>
      <c r="Q16" s="30">
        <f>IF(ROUND(Q8-capture_floor,9)&lt;=0,Q$4,"")</f>
        <v/>
      </c>
      <c r="R16" s="30">
        <f>IF(ROUND(R8-capture_floor,9)&lt;=0,R$4,"")</f>
        <v/>
      </c>
      <c r="S16" s="30">
        <f>IF(ROUND(S8-capture_floor,9)&lt;=0,S$4,"")</f>
        <v/>
      </c>
      <c r="T16" s="30">
        <f>IF(ROUND(T8-capture_floor,9)&lt;=0,T$4,"")</f>
        <v/>
      </c>
      <c r="U16" s="30">
        <f>IF(ROUND(U8-capture_floor,9)&lt;=0,U$4,"")</f>
        <v/>
      </c>
      <c r="V16" s="30">
        <f>IF(ROUND(V8-capture_floor,9)&lt;=0,V$4,"")</f>
        <v/>
      </c>
      <c r="W16" s="30">
        <f>IF(ROUND(W8-capture_floor,9)&lt;=0,W$4,"")</f>
        <v/>
      </c>
      <c r="X16" s="30">
        <f>IF(ROUND(X8-capture_floor,9)&lt;=0,X$4,"")</f>
        <v/>
      </c>
      <c r="Y16" s="30">
        <f>IF(ROUND(Y8-capture_floor,9)&lt;=0,Y$4,"")</f>
        <v/>
      </c>
      <c r="Z16" s="30">
        <f>IF(ROUND(Z8-capture_floor,9)&lt;=0,Z$4,"")</f>
        <v/>
      </c>
      <c r="AA16" s="30">
        <f>IF(ROUND(AA8-capture_floor,9)&lt;=0,AA$4,"")</f>
        <v/>
      </c>
      <c r="AB16" s="30">
        <f>IF(ROUND(AB8-capture_floor,9)&lt;=0,AB$4,"")</f>
        <v/>
      </c>
      <c r="AC16" s="30">
        <f>IF(ROUND(AC8-capture_floor,9)&lt;=0,AC$4,"")</f>
        <v/>
      </c>
      <c r="AD16" s="30">
        <f>IF(ROUND(AD8-capture_floor,9)&lt;=0,AD$4,"")</f>
        <v/>
      </c>
      <c r="AE16" s="30">
        <f>IF(ROUND(AE8-capture_floor,9)&lt;=0,AE$4,"")</f>
        <v/>
      </c>
      <c r="AF16" s="30">
        <f>IF(ROUND(AF8-capture_floor,9)&lt;=0,AF$4,"")</f>
        <v/>
      </c>
      <c r="AG16" s="30">
        <f>IF(ROUND(AG8-capture_floor,9)&lt;=0,AG$4,"")</f>
        <v/>
      </c>
      <c r="AH16" s="30">
        <f>IF(ROUND(AH8-capture_floor,9)&lt;=0,AH$4,"")</f>
        <v/>
      </c>
      <c r="AI16" s="30">
        <f>IF(ROUND(AI8-capture_floor,9)&lt;=0,AI$4,"")</f>
        <v/>
      </c>
      <c r="AJ16" s="30">
        <f>IF(ROUND(AJ8-capture_floor,9)&lt;=0,AJ$4,"")</f>
        <v/>
      </c>
      <c r="AK16" s="30">
        <f>IF(ROUND(AK8-capture_floor,9)&lt;=0,AK$4,"")</f>
        <v/>
      </c>
      <c r="AL16" s="30">
        <f>IF(ROUND(AL8-capture_floor,9)&lt;=0,AL$4,"")</f>
        <v/>
      </c>
    </row>
    <row r="17">
      <c r="B17" s="7" t="inlineStr">
        <is>
          <t>Year if accreditation is at its floor</t>
        </is>
      </c>
      <c r="D17" s="30">
        <f>IF(ROUND(D12-acc_floor,9)&lt;=0,D$4,"")</f>
        <v/>
      </c>
      <c r="E17" s="30">
        <f>IF(ROUND(E12-acc_floor,9)&lt;=0,E$4,"")</f>
        <v/>
      </c>
      <c r="F17" s="30">
        <f>IF(ROUND(F12-acc_floor,9)&lt;=0,F$4,"")</f>
        <v/>
      </c>
      <c r="G17" s="30">
        <f>IF(ROUND(G12-acc_floor,9)&lt;=0,G$4,"")</f>
        <v/>
      </c>
      <c r="H17" s="30">
        <f>IF(ROUND(H12-acc_floor,9)&lt;=0,H$4,"")</f>
        <v/>
      </c>
      <c r="I17" s="30">
        <f>IF(ROUND(I12-acc_floor,9)&lt;=0,I$4,"")</f>
        <v/>
      </c>
      <c r="J17" s="30">
        <f>IF(ROUND(J12-acc_floor,9)&lt;=0,J$4,"")</f>
        <v/>
      </c>
      <c r="K17" s="30">
        <f>IF(ROUND(K12-acc_floor,9)&lt;=0,K$4,"")</f>
        <v/>
      </c>
      <c r="L17" s="30">
        <f>IF(ROUND(L12-acc_floor,9)&lt;=0,L$4,"")</f>
        <v/>
      </c>
      <c r="M17" s="30">
        <f>IF(ROUND(M12-acc_floor,9)&lt;=0,M$4,"")</f>
        <v/>
      </c>
      <c r="N17" s="30">
        <f>IF(ROUND(N12-acc_floor,9)&lt;=0,N$4,"")</f>
        <v/>
      </c>
      <c r="O17" s="30">
        <f>IF(ROUND(O12-acc_floor,9)&lt;=0,O$4,"")</f>
        <v/>
      </c>
      <c r="P17" s="30">
        <f>IF(ROUND(P12-acc_floor,9)&lt;=0,P$4,"")</f>
        <v/>
      </c>
      <c r="Q17" s="30">
        <f>IF(ROUND(Q12-acc_floor,9)&lt;=0,Q$4,"")</f>
        <v/>
      </c>
      <c r="R17" s="30">
        <f>IF(ROUND(R12-acc_floor,9)&lt;=0,R$4,"")</f>
        <v/>
      </c>
      <c r="S17" s="30">
        <f>IF(ROUND(S12-acc_floor,9)&lt;=0,S$4,"")</f>
        <v/>
      </c>
      <c r="T17" s="30">
        <f>IF(ROUND(T12-acc_floor,9)&lt;=0,T$4,"")</f>
        <v/>
      </c>
      <c r="U17" s="30">
        <f>IF(ROUND(U12-acc_floor,9)&lt;=0,U$4,"")</f>
        <v/>
      </c>
      <c r="V17" s="30">
        <f>IF(ROUND(V12-acc_floor,9)&lt;=0,V$4,"")</f>
        <v/>
      </c>
      <c r="W17" s="30">
        <f>IF(ROUND(W12-acc_floor,9)&lt;=0,W$4,"")</f>
        <v/>
      </c>
      <c r="X17" s="30">
        <f>IF(ROUND(X12-acc_floor,9)&lt;=0,X$4,"")</f>
        <v/>
      </c>
      <c r="Y17" s="30">
        <f>IF(ROUND(Y12-acc_floor,9)&lt;=0,Y$4,"")</f>
        <v/>
      </c>
      <c r="Z17" s="30">
        <f>IF(ROUND(Z12-acc_floor,9)&lt;=0,Z$4,"")</f>
        <v/>
      </c>
      <c r="AA17" s="30">
        <f>IF(ROUND(AA12-acc_floor,9)&lt;=0,AA$4,"")</f>
        <v/>
      </c>
      <c r="AB17" s="30">
        <f>IF(ROUND(AB12-acc_floor,9)&lt;=0,AB$4,"")</f>
        <v/>
      </c>
      <c r="AC17" s="30">
        <f>IF(ROUND(AC12-acc_floor,9)&lt;=0,AC$4,"")</f>
        <v/>
      </c>
      <c r="AD17" s="30">
        <f>IF(ROUND(AD12-acc_floor,9)&lt;=0,AD$4,"")</f>
        <v/>
      </c>
      <c r="AE17" s="30">
        <f>IF(ROUND(AE12-acc_floor,9)&lt;=0,AE$4,"")</f>
        <v/>
      </c>
      <c r="AF17" s="30">
        <f>IF(ROUND(AF12-acc_floor,9)&lt;=0,AF$4,"")</f>
        <v/>
      </c>
      <c r="AG17" s="30">
        <f>IF(ROUND(AG12-acc_floor,9)&lt;=0,AG$4,"")</f>
        <v/>
      </c>
      <c r="AH17" s="30">
        <f>IF(ROUND(AH12-acc_floor,9)&lt;=0,AH$4,"")</f>
        <v/>
      </c>
      <c r="AI17" s="30">
        <f>IF(ROUND(AI12-acc_floor,9)&lt;=0,AI$4,"")</f>
        <v/>
      </c>
      <c r="AJ17" s="30">
        <f>IF(ROUND(AJ12-acc_floor,9)&lt;=0,AJ$4,"")</f>
        <v/>
      </c>
      <c r="AK17" s="30">
        <f>IF(ROUND(AK12-acc_floor,9)&lt;=0,AK$4,"")</f>
        <v/>
      </c>
      <c r="AL17" s="30">
        <f>IF(ROUND(AL12-acc_floor,9)&lt;=0,AL$4,"")</f>
        <v/>
      </c>
    </row>
    <row r="19">
      <c r="B19" s="7" t="inlineStr">
        <is>
          <t>First year at the capture floor</t>
        </is>
      </c>
      <c r="C19" s="29">
        <f>MIN($D$16:$AL$16)</f>
        <v/>
      </c>
    </row>
    <row r="20">
      <c r="B20" s="7" t="inlineStr">
        <is>
          <t>First year at the accreditation floor</t>
        </is>
      </c>
      <c r="C20" s="29">
        <f>MIN($D$17:$AL$17)</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B2:AL22"/>
  <sheetViews>
    <sheetView showGridLines="0" workbookViewId="0">
      <selection activeCell="A1" sqref="A1"/>
    </sheetView>
  </sheetViews>
  <sheetFormatPr baseColWidth="8" defaultRowHeight="15"/>
  <cols>
    <col width="2" customWidth="1" min="1" max="1"/>
    <col width="58" customWidth="1" min="2" max="2"/>
    <col width="14"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Operating cost and decommissioning (chapters 3 and 15), with the capital cost in use</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Escalation factor</t>
        </is>
      </c>
      <c r="D7" s="22">
        <f>(1+opex_esc)^D$5</f>
        <v/>
      </c>
      <c r="E7" s="22">
        <f>(1+opex_esc)^E$5</f>
        <v/>
      </c>
      <c r="F7" s="22">
        <f>(1+opex_esc)^F$5</f>
        <v/>
      </c>
      <c r="G7" s="22">
        <f>(1+opex_esc)^G$5</f>
        <v/>
      </c>
      <c r="H7" s="22">
        <f>(1+opex_esc)^H$5</f>
        <v/>
      </c>
      <c r="I7" s="22">
        <f>(1+opex_esc)^I$5</f>
        <v/>
      </c>
      <c r="J7" s="22">
        <f>(1+opex_esc)^J$5</f>
        <v/>
      </c>
      <c r="K7" s="22">
        <f>(1+opex_esc)^K$5</f>
        <v/>
      </c>
      <c r="L7" s="22">
        <f>(1+opex_esc)^L$5</f>
        <v/>
      </c>
      <c r="M7" s="22">
        <f>(1+opex_esc)^M$5</f>
        <v/>
      </c>
      <c r="N7" s="22">
        <f>(1+opex_esc)^N$5</f>
        <v/>
      </c>
      <c r="O7" s="22">
        <f>(1+opex_esc)^O$5</f>
        <v/>
      </c>
      <c r="P7" s="22">
        <f>(1+opex_esc)^P$5</f>
        <v/>
      </c>
      <c r="Q7" s="22">
        <f>(1+opex_esc)^Q$5</f>
        <v/>
      </c>
      <c r="R7" s="22">
        <f>(1+opex_esc)^R$5</f>
        <v/>
      </c>
      <c r="S7" s="22">
        <f>(1+opex_esc)^S$5</f>
        <v/>
      </c>
      <c r="T7" s="22">
        <f>(1+opex_esc)^T$5</f>
        <v/>
      </c>
      <c r="U7" s="22">
        <f>(1+opex_esc)^U$5</f>
        <v/>
      </c>
      <c r="V7" s="22">
        <f>(1+opex_esc)^V$5</f>
        <v/>
      </c>
      <c r="W7" s="22">
        <f>(1+opex_esc)^W$5</f>
        <v/>
      </c>
      <c r="X7" s="22">
        <f>(1+opex_esc)^X$5</f>
        <v/>
      </c>
      <c r="Y7" s="22">
        <f>(1+opex_esc)^Y$5</f>
        <v/>
      </c>
      <c r="Z7" s="22">
        <f>(1+opex_esc)^Z$5</f>
        <v/>
      </c>
      <c r="AA7" s="22">
        <f>(1+opex_esc)^AA$5</f>
        <v/>
      </c>
      <c r="AB7" s="22">
        <f>(1+opex_esc)^AB$5</f>
        <v/>
      </c>
      <c r="AC7" s="22">
        <f>(1+opex_esc)^AC$5</f>
        <v/>
      </c>
      <c r="AD7" s="22">
        <f>(1+opex_esc)^AD$5</f>
        <v/>
      </c>
      <c r="AE7" s="22">
        <f>(1+opex_esc)^AE$5</f>
        <v/>
      </c>
      <c r="AF7" s="22">
        <f>(1+opex_esc)^AF$5</f>
        <v/>
      </c>
      <c r="AG7" s="22">
        <f>(1+opex_esc)^AG$5</f>
        <v/>
      </c>
      <c r="AH7" s="22">
        <f>(1+opex_esc)^AH$5</f>
        <v/>
      </c>
      <c r="AI7" s="22">
        <f>(1+opex_esc)^AI$5</f>
        <v/>
      </c>
      <c r="AJ7" s="22">
        <f>(1+opex_esc)^AJ$5</f>
        <v/>
      </c>
      <c r="AK7" s="22">
        <f>(1+opex_esc)^AK$5</f>
        <v/>
      </c>
      <c r="AL7" s="22">
        <f>(1+opex_esc)^AL$5</f>
        <v/>
      </c>
    </row>
    <row r="8">
      <c r="B8" s="7" t="inlineStr">
        <is>
          <t>Rent escalation factor</t>
        </is>
      </c>
      <c r="D8" s="22">
        <f>(1+rent_esc)^D$5</f>
        <v/>
      </c>
      <c r="E8" s="22">
        <f>(1+rent_esc)^E$5</f>
        <v/>
      </c>
      <c r="F8" s="22">
        <f>(1+rent_esc)^F$5</f>
        <v/>
      </c>
      <c r="G8" s="22">
        <f>(1+rent_esc)^G$5</f>
        <v/>
      </c>
      <c r="H8" s="22">
        <f>(1+rent_esc)^H$5</f>
        <v/>
      </c>
      <c r="I8" s="22">
        <f>(1+rent_esc)^I$5</f>
        <v/>
      </c>
      <c r="J8" s="22">
        <f>(1+rent_esc)^J$5</f>
        <v/>
      </c>
      <c r="K8" s="22">
        <f>(1+rent_esc)^K$5</f>
        <v/>
      </c>
      <c r="L8" s="22">
        <f>(1+rent_esc)^L$5</f>
        <v/>
      </c>
      <c r="M8" s="22">
        <f>(1+rent_esc)^M$5</f>
        <v/>
      </c>
      <c r="N8" s="22">
        <f>(1+rent_esc)^N$5</f>
        <v/>
      </c>
      <c r="O8" s="22">
        <f>(1+rent_esc)^O$5</f>
        <v/>
      </c>
      <c r="P8" s="22">
        <f>(1+rent_esc)^P$5</f>
        <v/>
      </c>
      <c r="Q8" s="22">
        <f>(1+rent_esc)^Q$5</f>
        <v/>
      </c>
      <c r="R8" s="22">
        <f>(1+rent_esc)^R$5</f>
        <v/>
      </c>
      <c r="S8" s="22">
        <f>(1+rent_esc)^S$5</f>
        <v/>
      </c>
      <c r="T8" s="22">
        <f>(1+rent_esc)^T$5</f>
        <v/>
      </c>
      <c r="U8" s="22">
        <f>(1+rent_esc)^U$5</f>
        <v/>
      </c>
      <c r="V8" s="22">
        <f>(1+rent_esc)^V$5</f>
        <v/>
      </c>
      <c r="W8" s="22">
        <f>(1+rent_esc)^W$5</f>
        <v/>
      </c>
      <c r="X8" s="22">
        <f>(1+rent_esc)^X$5</f>
        <v/>
      </c>
      <c r="Y8" s="22">
        <f>(1+rent_esc)^Y$5</f>
        <v/>
      </c>
      <c r="Z8" s="22">
        <f>(1+rent_esc)^Z$5</f>
        <v/>
      </c>
      <c r="AA8" s="22">
        <f>(1+rent_esc)^AA$5</f>
        <v/>
      </c>
      <c r="AB8" s="22">
        <f>(1+rent_esc)^AB$5</f>
        <v/>
      </c>
      <c r="AC8" s="22">
        <f>(1+rent_esc)^AC$5</f>
        <v/>
      </c>
      <c r="AD8" s="22">
        <f>(1+rent_esc)^AD$5</f>
        <v/>
      </c>
      <c r="AE8" s="22">
        <f>(1+rent_esc)^AE$5</f>
        <v/>
      </c>
      <c r="AF8" s="22">
        <f>(1+rent_esc)^AF$5</f>
        <v/>
      </c>
      <c r="AG8" s="22">
        <f>(1+rent_esc)^AG$5</f>
        <v/>
      </c>
      <c r="AH8" s="22">
        <f>(1+rent_esc)^AH$5</f>
        <v/>
      </c>
      <c r="AI8" s="22">
        <f>(1+rent_esc)^AI$5</f>
        <v/>
      </c>
      <c r="AJ8" s="22">
        <f>(1+rent_esc)^AJ$5</f>
        <v/>
      </c>
      <c r="AK8" s="22">
        <f>(1+rent_esc)^AK$5</f>
        <v/>
      </c>
      <c r="AL8" s="22">
        <f>(1+rent_esc)^AL$5</f>
        <v/>
      </c>
    </row>
    <row r="9">
      <c r="B9" s="7" t="inlineStr">
        <is>
          <t>O&amp;M contract ($)</t>
        </is>
      </c>
      <c r="D9" s="25">
        <f>om_kw*mwac*1000*D7</f>
        <v/>
      </c>
      <c r="E9" s="25">
        <f>om_kw*mwac*1000*E7</f>
        <v/>
      </c>
      <c r="F9" s="25">
        <f>om_kw*mwac*1000*F7</f>
        <v/>
      </c>
      <c r="G9" s="25">
        <f>om_kw*mwac*1000*G7</f>
        <v/>
      </c>
      <c r="H9" s="25">
        <f>om_kw*mwac*1000*H7</f>
        <v/>
      </c>
      <c r="I9" s="25">
        <f>om_kw*mwac*1000*I7</f>
        <v/>
      </c>
      <c r="J9" s="25">
        <f>om_kw*mwac*1000*J7</f>
        <v/>
      </c>
      <c r="K9" s="25">
        <f>om_kw*mwac*1000*K7</f>
        <v/>
      </c>
      <c r="L9" s="25">
        <f>om_kw*mwac*1000*L7</f>
        <v/>
      </c>
      <c r="M9" s="25">
        <f>om_kw*mwac*1000*M7</f>
        <v/>
      </c>
      <c r="N9" s="25">
        <f>om_kw*mwac*1000*N7</f>
        <v/>
      </c>
      <c r="O9" s="25">
        <f>om_kw*mwac*1000*O7</f>
        <v/>
      </c>
      <c r="P9" s="25">
        <f>om_kw*mwac*1000*P7</f>
        <v/>
      </c>
      <c r="Q9" s="25">
        <f>om_kw*mwac*1000*Q7</f>
        <v/>
      </c>
      <c r="R9" s="25">
        <f>om_kw*mwac*1000*R7</f>
        <v/>
      </c>
      <c r="S9" s="25">
        <f>om_kw*mwac*1000*S7</f>
        <v/>
      </c>
      <c r="T9" s="25">
        <f>om_kw*mwac*1000*T7</f>
        <v/>
      </c>
      <c r="U9" s="25">
        <f>om_kw*mwac*1000*U7</f>
        <v/>
      </c>
      <c r="V9" s="25">
        <f>om_kw*mwac*1000*V7</f>
        <v/>
      </c>
      <c r="W9" s="25">
        <f>om_kw*mwac*1000*W7</f>
        <v/>
      </c>
      <c r="X9" s="25">
        <f>om_kw*mwac*1000*X7</f>
        <v/>
      </c>
      <c r="Y9" s="25">
        <f>om_kw*mwac*1000*Y7</f>
        <v/>
      </c>
      <c r="Z9" s="25">
        <f>om_kw*mwac*1000*Z7</f>
        <v/>
      </c>
      <c r="AA9" s="25">
        <f>om_kw*mwac*1000*AA7</f>
        <v/>
      </c>
      <c r="AB9" s="25">
        <f>om_kw*mwac*1000*AB7</f>
        <v/>
      </c>
      <c r="AC9" s="25">
        <f>om_kw*mwac*1000*AC7</f>
        <v/>
      </c>
      <c r="AD9" s="25">
        <f>om_kw*mwac*1000*AD7</f>
        <v/>
      </c>
      <c r="AE9" s="25">
        <f>om_kw*mwac*1000*AE7</f>
        <v/>
      </c>
      <c r="AF9" s="25">
        <f>om_kw*mwac*1000*AF7</f>
        <v/>
      </c>
      <c r="AG9" s="25">
        <f>om_kw*mwac*1000*AG7</f>
        <v/>
      </c>
      <c r="AH9" s="25">
        <f>om_kw*mwac*1000*AH7</f>
        <v/>
      </c>
      <c r="AI9" s="25">
        <f>om_kw*mwac*1000*AI7</f>
        <v/>
      </c>
      <c r="AJ9" s="25">
        <f>om_kw*mwac*1000*AJ7</f>
        <v/>
      </c>
      <c r="AK9" s="25">
        <f>om_kw*mwac*1000*AK7</f>
        <v/>
      </c>
      <c r="AL9" s="25">
        <f>om_kw*mwac*1000*AL7</f>
        <v/>
      </c>
    </row>
    <row r="10">
      <c r="B10" s="7" t="inlineStr">
        <is>
          <t>Insurance ($)</t>
        </is>
      </c>
      <c r="D10" s="25">
        <f>ins_rate*capex_total*D7</f>
        <v/>
      </c>
      <c r="E10" s="25">
        <f>ins_rate*capex_total*E7</f>
        <v/>
      </c>
      <c r="F10" s="25">
        <f>ins_rate*capex_total*F7</f>
        <v/>
      </c>
      <c r="G10" s="25">
        <f>ins_rate*capex_total*G7</f>
        <v/>
      </c>
      <c r="H10" s="25">
        <f>ins_rate*capex_total*H7</f>
        <v/>
      </c>
      <c r="I10" s="25">
        <f>ins_rate*capex_total*I7</f>
        <v/>
      </c>
      <c r="J10" s="25">
        <f>ins_rate*capex_total*J7</f>
        <v/>
      </c>
      <c r="K10" s="25">
        <f>ins_rate*capex_total*K7</f>
        <v/>
      </c>
      <c r="L10" s="25">
        <f>ins_rate*capex_total*L7</f>
        <v/>
      </c>
      <c r="M10" s="25">
        <f>ins_rate*capex_total*M7</f>
        <v/>
      </c>
      <c r="N10" s="25">
        <f>ins_rate*capex_total*N7</f>
        <v/>
      </c>
      <c r="O10" s="25">
        <f>ins_rate*capex_total*O7</f>
        <v/>
      </c>
      <c r="P10" s="25">
        <f>ins_rate*capex_total*P7</f>
        <v/>
      </c>
      <c r="Q10" s="25">
        <f>ins_rate*capex_total*Q7</f>
        <v/>
      </c>
      <c r="R10" s="25">
        <f>ins_rate*capex_total*R7</f>
        <v/>
      </c>
      <c r="S10" s="25">
        <f>ins_rate*capex_total*S7</f>
        <v/>
      </c>
      <c r="T10" s="25">
        <f>ins_rate*capex_total*T7</f>
        <v/>
      </c>
      <c r="U10" s="25">
        <f>ins_rate*capex_total*U7</f>
        <v/>
      </c>
      <c r="V10" s="25">
        <f>ins_rate*capex_total*V7</f>
        <v/>
      </c>
      <c r="W10" s="25">
        <f>ins_rate*capex_total*W7</f>
        <v/>
      </c>
      <c r="X10" s="25">
        <f>ins_rate*capex_total*X7</f>
        <v/>
      </c>
      <c r="Y10" s="25">
        <f>ins_rate*capex_total*Y7</f>
        <v/>
      </c>
      <c r="Z10" s="25">
        <f>ins_rate*capex_total*Z7</f>
        <v/>
      </c>
      <c r="AA10" s="25">
        <f>ins_rate*capex_total*AA7</f>
        <v/>
      </c>
      <c r="AB10" s="25">
        <f>ins_rate*capex_total*AB7</f>
        <v/>
      </c>
      <c r="AC10" s="25">
        <f>ins_rate*capex_total*AC7</f>
        <v/>
      </c>
      <c r="AD10" s="25">
        <f>ins_rate*capex_total*AD7</f>
        <v/>
      </c>
      <c r="AE10" s="25">
        <f>ins_rate*capex_total*AE7</f>
        <v/>
      </c>
      <c r="AF10" s="25">
        <f>ins_rate*capex_total*AF7</f>
        <v/>
      </c>
      <c r="AG10" s="25">
        <f>ins_rate*capex_total*AG7</f>
        <v/>
      </c>
      <c r="AH10" s="25">
        <f>ins_rate*capex_total*AH7</f>
        <v/>
      </c>
      <c r="AI10" s="25">
        <f>ins_rate*capex_total*AI7</f>
        <v/>
      </c>
      <c r="AJ10" s="25">
        <f>ins_rate*capex_total*AJ7</f>
        <v/>
      </c>
      <c r="AK10" s="25">
        <f>ins_rate*capex_total*AK7</f>
        <v/>
      </c>
      <c r="AL10" s="25">
        <f>ins_rate*capex_total*AL7</f>
        <v/>
      </c>
    </row>
    <row r="11">
      <c r="B11" s="7" t="inlineStr">
        <is>
          <t>Land rent ($)</t>
        </is>
      </c>
      <c r="D11" s="25">
        <f>rent_acre*acres_lease*D8</f>
        <v/>
      </c>
      <c r="E11" s="25">
        <f>rent_acre*acres_lease*E8</f>
        <v/>
      </c>
      <c r="F11" s="25">
        <f>rent_acre*acres_lease*F8</f>
        <v/>
      </c>
      <c r="G11" s="25">
        <f>rent_acre*acres_lease*G8</f>
        <v/>
      </c>
      <c r="H11" s="25">
        <f>rent_acre*acres_lease*H8</f>
        <v/>
      </c>
      <c r="I11" s="25">
        <f>rent_acre*acres_lease*I8</f>
        <v/>
      </c>
      <c r="J11" s="25">
        <f>rent_acre*acres_lease*J8</f>
        <v/>
      </c>
      <c r="K11" s="25">
        <f>rent_acre*acres_lease*K8</f>
        <v/>
      </c>
      <c r="L11" s="25">
        <f>rent_acre*acres_lease*L8</f>
        <v/>
      </c>
      <c r="M11" s="25">
        <f>rent_acre*acres_lease*M8</f>
        <v/>
      </c>
      <c r="N11" s="25">
        <f>rent_acre*acres_lease*N8</f>
        <v/>
      </c>
      <c r="O11" s="25">
        <f>rent_acre*acres_lease*O8</f>
        <v/>
      </c>
      <c r="P11" s="25">
        <f>rent_acre*acres_lease*P8</f>
        <v/>
      </c>
      <c r="Q11" s="25">
        <f>rent_acre*acres_lease*Q8</f>
        <v/>
      </c>
      <c r="R11" s="25">
        <f>rent_acre*acres_lease*R8</f>
        <v/>
      </c>
      <c r="S11" s="25">
        <f>rent_acre*acres_lease*S8</f>
        <v/>
      </c>
      <c r="T11" s="25">
        <f>rent_acre*acres_lease*T8</f>
        <v/>
      </c>
      <c r="U11" s="25">
        <f>rent_acre*acres_lease*U8</f>
        <v/>
      </c>
      <c r="V11" s="25">
        <f>rent_acre*acres_lease*V8</f>
        <v/>
      </c>
      <c r="W11" s="25">
        <f>rent_acre*acres_lease*W8</f>
        <v/>
      </c>
      <c r="X11" s="25">
        <f>rent_acre*acres_lease*X8</f>
        <v/>
      </c>
      <c r="Y11" s="25">
        <f>rent_acre*acres_lease*Y8</f>
        <v/>
      </c>
      <c r="Z11" s="25">
        <f>rent_acre*acres_lease*Z8</f>
        <v/>
      </c>
      <c r="AA11" s="25">
        <f>rent_acre*acres_lease*AA8</f>
        <v/>
      </c>
      <c r="AB11" s="25">
        <f>rent_acre*acres_lease*AB8</f>
        <v/>
      </c>
      <c r="AC11" s="25">
        <f>rent_acre*acres_lease*AC8</f>
        <v/>
      </c>
      <c r="AD11" s="25">
        <f>rent_acre*acres_lease*AD8</f>
        <v/>
      </c>
      <c r="AE11" s="25">
        <f>rent_acre*acres_lease*AE8</f>
        <v/>
      </c>
      <c r="AF11" s="25">
        <f>rent_acre*acres_lease*AF8</f>
        <v/>
      </c>
      <c r="AG11" s="25">
        <f>rent_acre*acres_lease*AG8</f>
        <v/>
      </c>
      <c r="AH11" s="25">
        <f>rent_acre*acres_lease*AH8</f>
        <v/>
      </c>
      <c r="AI11" s="25">
        <f>rent_acre*acres_lease*AI8</f>
        <v/>
      </c>
      <c r="AJ11" s="25">
        <f>rent_acre*acres_lease*AJ8</f>
        <v/>
      </c>
      <c r="AK11" s="25">
        <f>rent_acre*acres_lease*AK8</f>
        <v/>
      </c>
      <c r="AL11" s="25">
        <f>rent_acre*acres_lease*AL8</f>
        <v/>
      </c>
    </row>
    <row r="12">
      <c r="B12" s="7" t="inlineStr">
        <is>
          <t>Asset management, payment in lieu of taxes and other ($)</t>
        </is>
      </c>
      <c r="D12" s="25">
        <f>(am_cost+prop_tax+misc_cost)*D7</f>
        <v/>
      </c>
      <c r="E12" s="25">
        <f>(am_cost+prop_tax+misc_cost)*E7</f>
        <v/>
      </c>
      <c r="F12" s="25">
        <f>(am_cost+prop_tax+misc_cost)*F7</f>
        <v/>
      </c>
      <c r="G12" s="25">
        <f>(am_cost+prop_tax+misc_cost)*G7</f>
        <v/>
      </c>
      <c r="H12" s="25">
        <f>(am_cost+prop_tax+misc_cost)*H7</f>
        <v/>
      </c>
      <c r="I12" s="25">
        <f>(am_cost+prop_tax+misc_cost)*I7</f>
        <v/>
      </c>
      <c r="J12" s="25">
        <f>(am_cost+prop_tax+misc_cost)*J7</f>
        <v/>
      </c>
      <c r="K12" s="25">
        <f>(am_cost+prop_tax+misc_cost)*K7</f>
        <v/>
      </c>
      <c r="L12" s="25">
        <f>(am_cost+prop_tax+misc_cost)*L7</f>
        <v/>
      </c>
      <c r="M12" s="25">
        <f>(am_cost+prop_tax+misc_cost)*M7</f>
        <v/>
      </c>
      <c r="N12" s="25">
        <f>(am_cost+prop_tax+misc_cost)*N7</f>
        <v/>
      </c>
      <c r="O12" s="25">
        <f>(am_cost+prop_tax+misc_cost)*O7</f>
        <v/>
      </c>
      <c r="P12" s="25">
        <f>(am_cost+prop_tax+misc_cost)*P7</f>
        <v/>
      </c>
      <c r="Q12" s="25">
        <f>(am_cost+prop_tax+misc_cost)*Q7</f>
        <v/>
      </c>
      <c r="R12" s="25">
        <f>(am_cost+prop_tax+misc_cost)*R7</f>
        <v/>
      </c>
      <c r="S12" s="25">
        <f>(am_cost+prop_tax+misc_cost)*S7</f>
        <v/>
      </c>
      <c r="T12" s="25">
        <f>(am_cost+prop_tax+misc_cost)*T7</f>
        <v/>
      </c>
      <c r="U12" s="25">
        <f>(am_cost+prop_tax+misc_cost)*U7</f>
        <v/>
      </c>
      <c r="V12" s="25">
        <f>(am_cost+prop_tax+misc_cost)*V7</f>
        <v/>
      </c>
      <c r="W12" s="25">
        <f>(am_cost+prop_tax+misc_cost)*W7</f>
        <v/>
      </c>
      <c r="X12" s="25">
        <f>(am_cost+prop_tax+misc_cost)*X7</f>
        <v/>
      </c>
      <c r="Y12" s="25">
        <f>(am_cost+prop_tax+misc_cost)*Y7</f>
        <v/>
      </c>
      <c r="Z12" s="25">
        <f>(am_cost+prop_tax+misc_cost)*Z7</f>
        <v/>
      </c>
      <c r="AA12" s="25">
        <f>(am_cost+prop_tax+misc_cost)*AA7</f>
        <v/>
      </c>
      <c r="AB12" s="25">
        <f>(am_cost+prop_tax+misc_cost)*AB7</f>
        <v/>
      </c>
      <c r="AC12" s="25">
        <f>(am_cost+prop_tax+misc_cost)*AC7</f>
        <v/>
      </c>
      <c r="AD12" s="25">
        <f>(am_cost+prop_tax+misc_cost)*AD7</f>
        <v/>
      </c>
      <c r="AE12" s="25">
        <f>(am_cost+prop_tax+misc_cost)*AE7</f>
        <v/>
      </c>
      <c r="AF12" s="25">
        <f>(am_cost+prop_tax+misc_cost)*AF7</f>
        <v/>
      </c>
      <c r="AG12" s="25">
        <f>(am_cost+prop_tax+misc_cost)*AG7</f>
        <v/>
      </c>
      <c r="AH12" s="25">
        <f>(am_cost+prop_tax+misc_cost)*AH7</f>
        <v/>
      </c>
      <c r="AI12" s="25">
        <f>(am_cost+prop_tax+misc_cost)*AI7</f>
        <v/>
      </c>
      <c r="AJ12" s="25">
        <f>(am_cost+prop_tax+misc_cost)*AJ7</f>
        <v/>
      </c>
      <c r="AK12" s="25">
        <f>(am_cost+prop_tax+misc_cost)*AK7</f>
        <v/>
      </c>
      <c r="AL12" s="25">
        <f>(am_cost+prop_tax+misc_cost)*AL7</f>
        <v/>
      </c>
    </row>
    <row r="13">
      <c r="B13" s="14" t="inlineStr">
        <is>
          <t>Operating cost ($)</t>
        </is>
      </c>
      <c r="D13" s="26">
        <f>SUM(D9:D12)</f>
        <v/>
      </c>
      <c r="E13" s="26">
        <f>SUM(E9:E12)</f>
        <v/>
      </c>
      <c r="F13" s="26">
        <f>SUM(F9:F12)</f>
        <v/>
      </c>
      <c r="G13" s="26">
        <f>SUM(G9:G12)</f>
        <v/>
      </c>
      <c r="H13" s="26">
        <f>SUM(H9:H12)</f>
        <v/>
      </c>
      <c r="I13" s="26">
        <f>SUM(I9:I12)</f>
        <v/>
      </c>
      <c r="J13" s="26">
        <f>SUM(J9:J12)</f>
        <v/>
      </c>
      <c r="K13" s="26">
        <f>SUM(K9:K12)</f>
        <v/>
      </c>
      <c r="L13" s="26">
        <f>SUM(L9:L12)</f>
        <v/>
      </c>
      <c r="M13" s="26">
        <f>SUM(M9:M12)</f>
        <v/>
      </c>
      <c r="N13" s="26">
        <f>SUM(N9:N12)</f>
        <v/>
      </c>
      <c r="O13" s="26">
        <f>SUM(O9:O12)</f>
        <v/>
      </c>
      <c r="P13" s="26">
        <f>SUM(P9:P12)</f>
        <v/>
      </c>
      <c r="Q13" s="26">
        <f>SUM(Q9:Q12)</f>
        <v/>
      </c>
      <c r="R13" s="26">
        <f>SUM(R9:R12)</f>
        <v/>
      </c>
      <c r="S13" s="26">
        <f>SUM(S9:S12)</f>
        <v/>
      </c>
      <c r="T13" s="26">
        <f>SUM(T9:T12)</f>
        <v/>
      </c>
      <c r="U13" s="26">
        <f>SUM(U9:U12)</f>
        <v/>
      </c>
      <c r="V13" s="26">
        <f>SUM(V9:V12)</f>
        <v/>
      </c>
      <c r="W13" s="26">
        <f>SUM(W9:W12)</f>
        <v/>
      </c>
      <c r="X13" s="26">
        <f>SUM(X9:X12)</f>
        <v/>
      </c>
      <c r="Y13" s="26">
        <f>SUM(Y9:Y12)</f>
        <v/>
      </c>
      <c r="Z13" s="26">
        <f>SUM(Z9:Z12)</f>
        <v/>
      </c>
      <c r="AA13" s="26">
        <f>SUM(AA9:AA12)</f>
        <v/>
      </c>
      <c r="AB13" s="26">
        <f>SUM(AB9:AB12)</f>
        <v/>
      </c>
      <c r="AC13" s="26">
        <f>SUM(AC9:AC12)</f>
        <v/>
      </c>
      <c r="AD13" s="26">
        <f>SUM(AD9:AD12)</f>
        <v/>
      </c>
      <c r="AE13" s="26">
        <f>SUM(AE9:AE12)</f>
        <v/>
      </c>
      <c r="AF13" s="26">
        <f>SUM(AF9:AF12)</f>
        <v/>
      </c>
      <c r="AG13" s="26">
        <f>SUM(AG9:AG12)</f>
        <v/>
      </c>
      <c r="AH13" s="26">
        <f>SUM(AH9:AH12)</f>
        <v/>
      </c>
      <c r="AI13" s="26">
        <f>SUM(AI9:AI12)</f>
        <v/>
      </c>
      <c r="AJ13" s="26">
        <f>SUM(AJ9:AJ12)</f>
        <v/>
      </c>
      <c r="AK13" s="26">
        <f>SUM(AK9:AK12)</f>
        <v/>
      </c>
      <c r="AL13" s="26">
        <f>SUM(AL9:AL12)</f>
        <v/>
      </c>
    </row>
    <row r="15">
      <c r="B15" s="7" t="inlineStr">
        <is>
          <t>2028 operating cost per kWac-year ($)</t>
        </is>
      </c>
      <c r="C15" s="32">
        <f>D13/(mwac*1000)</f>
        <v/>
      </c>
    </row>
    <row r="16">
      <c r="B16" s="7" t="inlineStr">
        <is>
          <t>Total rent over the life, nominal</t>
        </is>
      </c>
      <c r="C16" s="25">
        <f>SUM($D$11:$AL$11)</f>
        <v/>
      </c>
    </row>
    <row r="17">
      <c r="B17" s="7" t="inlineStr">
        <is>
          <t>Rent share of 2028 operating cost</t>
        </is>
      </c>
      <c r="C17" s="28">
        <f>D11/D13</f>
        <v/>
      </c>
    </row>
    <row r="18">
      <c r="B18" s="7" t="inlineStr">
        <is>
          <t>Leased acres per MWac</t>
        </is>
      </c>
      <c r="C18" s="34">
        <f>acres_lease/mwac</f>
        <v/>
      </c>
    </row>
    <row r="19">
      <c r="B19" s="7" t="inlineStr">
        <is>
          <t>Option payments a year during development</t>
        </is>
      </c>
      <c r="C19" s="25">
        <f>opt_fee*acres_opt</f>
        <v/>
      </c>
    </row>
    <row r="20">
      <c r="B20" s="7" t="inlineStr">
        <is>
          <t>Lease rent in 2028</t>
        </is>
      </c>
      <c r="C20" s="25">
        <f>rent_acre*acres_lease</f>
        <v/>
      </c>
    </row>
    <row r="21">
      <c r="B21" s="7" t="inlineStr">
        <is>
          <t>Net decommissioning in 2027 dollars</t>
        </is>
      </c>
      <c r="C21" s="25">
        <f>decom_w*mwdc*1000000</f>
        <v/>
      </c>
    </row>
    <row r="22">
      <c r="B22" s="7" t="inlineStr">
        <is>
          <t>Net decommissioning at the end of the life, escalated</t>
        </is>
      </c>
      <c r="C22" s="26">
        <f>decom_w*mwdc*1000000*(1+opex_esc)^(cod_year+life_years-ntp_year)</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B2:AL42"/>
  <sheetViews>
    <sheetView showGridLines="0" workbookViewId="0">
      <selection activeCell="A1" sqref="A1"/>
    </sheetView>
  </sheetViews>
  <sheetFormatPr baseColWidth="8" defaultRowHeight="15"/>
  <cols>
    <col width="2" customWidth="1" min="1" max="1"/>
    <col width="60"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Production tax credit, ITC alternative, bonuses and transfer (chapter 11)</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Inflation adjustment factor</t>
        </is>
      </c>
      <c r="D7" s="22">
        <f>ptc_factor*(1+ptc_factor_g)^(D$4-ptc_factor_year)</f>
        <v/>
      </c>
      <c r="E7" s="22">
        <f>ptc_factor*(1+ptc_factor_g)^(E$4-ptc_factor_year)</f>
        <v/>
      </c>
      <c r="F7" s="22">
        <f>ptc_factor*(1+ptc_factor_g)^(F$4-ptc_factor_year)</f>
        <v/>
      </c>
      <c r="G7" s="22">
        <f>ptc_factor*(1+ptc_factor_g)^(G$4-ptc_factor_year)</f>
        <v/>
      </c>
      <c r="H7" s="22">
        <f>ptc_factor*(1+ptc_factor_g)^(H$4-ptc_factor_year)</f>
        <v/>
      </c>
      <c r="I7" s="22">
        <f>ptc_factor*(1+ptc_factor_g)^(I$4-ptc_factor_year)</f>
        <v/>
      </c>
      <c r="J7" s="22">
        <f>ptc_factor*(1+ptc_factor_g)^(J$4-ptc_factor_year)</f>
        <v/>
      </c>
      <c r="K7" s="22">
        <f>ptc_factor*(1+ptc_factor_g)^(K$4-ptc_factor_year)</f>
        <v/>
      </c>
      <c r="L7" s="22">
        <f>ptc_factor*(1+ptc_factor_g)^(L$4-ptc_factor_year)</f>
        <v/>
      </c>
      <c r="M7" s="22">
        <f>ptc_factor*(1+ptc_factor_g)^(M$4-ptc_factor_year)</f>
        <v/>
      </c>
      <c r="N7" s="22">
        <f>ptc_factor*(1+ptc_factor_g)^(N$4-ptc_factor_year)</f>
        <v/>
      </c>
      <c r="O7" s="22">
        <f>ptc_factor*(1+ptc_factor_g)^(O$4-ptc_factor_year)</f>
        <v/>
      </c>
      <c r="P7" s="22">
        <f>ptc_factor*(1+ptc_factor_g)^(P$4-ptc_factor_year)</f>
        <v/>
      </c>
      <c r="Q7" s="22">
        <f>ptc_factor*(1+ptc_factor_g)^(Q$4-ptc_factor_year)</f>
        <v/>
      </c>
      <c r="R7" s="22">
        <f>ptc_factor*(1+ptc_factor_g)^(R$4-ptc_factor_year)</f>
        <v/>
      </c>
      <c r="S7" s="22">
        <f>ptc_factor*(1+ptc_factor_g)^(S$4-ptc_factor_year)</f>
        <v/>
      </c>
      <c r="T7" s="22">
        <f>ptc_factor*(1+ptc_factor_g)^(T$4-ptc_factor_year)</f>
        <v/>
      </c>
      <c r="U7" s="22">
        <f>ptc_factor*(1+ptc_factor_g)^(U$4-ptc_factor_year)</f>
        <v/>
      </c>
      <c r="V7" s="22">
        <f>ptc_factor*(1+ptc_factor_g)^(V$4-ptc_factor_year)</f>
        <v/>
      </c>
      <c r="W7" s="22">
        <f>ptc_factor*(1+ptc_factor_g)^(W$4-ptc_factor_year)</f>
        <v/>
      </c>
      <c r="X7" s="22">
        <f>ptc_factor*(1+ptc_factor_g)^(X$4-ptc_factor_year)</f>
        <v/>
      </c>
      <c r="Y7" s="22">
        <f>ptc_factor*(1+ptc_factor_g)^(Y$4-ptc_factor_year)</f>
        <v/>
      </c>
      <c r="Z7" s="22">
        <f>ptc_factor*(1+ptc_factor_g)^(Z$4-ptc_factor_year)</f>
        <v/>
      </c>
      <c r="AA7" s="22">
        <f>ptc_factor*(1+ptc_factor_g)^(AA$4-ptc_factor_year)</f>
        <v/>
      </c>
      <c r="AB7" s="22">
        <f>ptc_factor*(1+ptc_factor_g)^(AB$4-ptc_factor_year)</f>
        <v/>
      </c>
      <c r="AC7" s="22">
        <f>ptc_factor*(1+ptc_factor_g)^(AC$4-ptc_factor_year)</f>
        <v/>
      </c>
      <c r="AD7" s="22">
        <f>ptc_factor*(1+ptc_factor_g)^(AD$4-ptc_factor_year)</f>
        <v/>
      </c>
      <c r="AE7" s="22">
        <f>ptc_factor*(1+ptc_factor_g)^(AE$4-ptc_factor_year)</f>
        <v/>
      </c>
      <c r="AF7" s="22">
        <f>ptc_factor*(1+ptc_factor_g)^(AF$4-ptc_factor_year)</f>
        <v/>
      </c>
      <c r="AG7" s="22">
        <f>ptc_factor*(1+ptc_factor_g)^(AG$4-ptc_factor_year)</f>
        <v/>
      </c>
      <c r="AH7" s="22">
        <f>ptc_factor*(1+ptc_factor_g)^(AH$4-ptc_factor_year)</f>
        <v/>
      </c>
      <c r="AI7" s="22">
        <f>ptc_factor*(1+ptc_factor_g)^(AI$4-ptc_factor_year)</f>
        <v/>
      </c>
      <c r="AJ7" s="22">
        <f>ptc_factor*(1+ptc_factor_g)^(AJ$4-ptc_factor_year)</f>
        <v/>
      </c>
      <c r="AK7" s="22">
        <f>ptc_factor*(1+ptc_factor_g)^(AK$4-ptc_factor_year)</f>
        <v/>
      </c>
      <c r="AL7" s="22">
        <f>ptc_factor*(1+ptc_factor_g)^(AL$4-ptc_factor_year)</f>
        <v/>
      </c>
    </row>
    <row r="8">
      <c r="B8" s="14" t="inlineStr">
        <is>
          <t>PTC rate ($/MWh): ROUND(base x factor / 0.05) x 0.05 x 5, in cents, x 10</t>
        </is>
      </c>
      <c r="D8" s="33">
        <f>ROUND(ptc_base*D7/ptc_round,0)*ptc_round*ptc_mult*10</f>
        <v/>
      </c>
      <c r="E8" s="33">
        <f>ROUND(ptc_base*E7/ptc_round,0)*ptc_round*ptc_mult*10</f>
        <v/>
      </c>
      <c r="F8" s="33">
        <f>ROUND(ptc_base*F7/ptc_round,0)*ptc_round*ptc_mult*10</f>
        <v/>
      </c>
      <c r="G8" s="33">
        <f>ROUND(ptc_base*G7/ptc_round,0)*ptc_round*ptc_mult*10</f>
        <v/>
      </c>
      <c r="H8" s="33">
        <f>ROUND(ptc_base*H7/ptc_round,0)*ptc_round*ptc_mult*10</f>
        <v/>
      </c>
      <c r="I8" s="33">
        <f>ROUND(ptc_base*I7/ptc_round,0)*ptc_round*ptc_mult*10</f>
        <v/>
      </c>
      <c r="J8" s="33">
        <f>ROUND(ptc_base*J7/ptc_round,0)*ptc_round*ptc_mult*10</f>
        <v/>
      </c>
      <c r="K8" s="33">
        <f>ROUND(ptc_base*K7/ptc_round,0)*ptc_round*ptc_mult*10</f>
        <v/>
      </c>
      <c r="L8" s="33">
        <f>ROUND(ptc_base*L7/ptc_round,0)*ptc_round*ptc_mult*10</f>
        <v/>
      </c>
      <c r="M8" s="33">
        <f>ROUND(ptc_base*M7/ptc_round,0)*ptc_round*ptc_mult*10</f>
        <v/>
      </c>
      <c r="N8" s="33">
        <f>ROUND(ptc_base*N7/ptc_round,0)*ptc_round*ptc_mult*10</f>
        <v/>
      </c>
      <c r="O8" s="33">
        <f>ROUND(ptc_base*O7/ptc_round,0)*ptc_round*ptc_mult*10</f>
        <v/>
      </c>
      <c r="P8" s="33">
        <f>ROUND(ptc_base*P7/ptc_round,0)*ptc_round*ptc_mult*10</f>
        <v/>
      </c>
      <c r="Q8" s="33">
        <f>ROUND(ptc_base*Q7/ptc_round,0)*ptc_round*ptc_mult*10</f>
        <v/>
      </c>
      <c r="R8" s="33">
        <f>ROUND(ptc_base*R7/ptc_round,0)*ptc_round*ptc_mult*10</f>
        <v/>
      </c>
      <c r="S8" s="33">
        <f>ROUND(ptc_base*S7/ptc_round,0)*ptc_round*ptc_mult*10</f>
        <v/>
      </c>
      <c r="T8" s="33">
        <f>ROUND(ptc_base*T7/ptc_round,0)*ptc_round*ptc_mult*10</f>
        <v/>
      </c>
      <c r="U8" s="33">
        <f>ROUND(ptc_base*U7/ptc_round,0)*ptc_round*ptc_mult*10</f>
        <v/>
      </c>
      <c r="V8" s="33">
        <f>ROUND(ptc_base*V7/ptc_round,0)*ptc_round*ptc_mult*10</f>
        <v/>
      </c>
      <c r="W8" s="33">
        <f>ROUND(ptc_base*W7/ptc_round,0)*ptc_round*ptc_mult*10</f>
        <v/>
      </c>
      <c r="X8" s="33">
        <f>ROUND(ptc_base*X7/ptc_round,0)*ptc_round*ptc_mult*10</f>
        <v/>
      </c>
      <c r="Y8" s="33">
        <f>ROUND(ptc_base*Y7/ptc_round,0)*ptc_round*ptc_mult*10</f>
        <v/>
      </c>
      <c r="Z8" s="33">
        <f>ROUND(ptc_base*Z7/ptc_round,0)*ptc_round*ptc_mult*10</f>
        <v/>
      </c>
      <c r="AA8" s="33">
        <f>ROUND(ptc_base*AA7/ptc_round,0)*ptc_round*ptc_mult*10</f>
        <v/>
      </c>
      <c r="AB8" s="33">
        <f>ROUND(ptc_base*AB7/ptc_round,0)*ptc_round*ptc_mult*10</f>
        <v/>
      </c>
      <c r="AC8" s="33">
        <f>ROUND(ptc_base*AC7/ptc_round,0)*ptc_round*ptc_mult*10</f>
        <v/>
      </c>
      <c r="AD8" s="33">
        <f>ROUND(ptc_base*AD7/ptc_round,0)*ptc_round*ptc_mult*10</f>
        <v/>
      </c>
      <c r="AE8" s="33">
        <f>ROUND(ptc_base*AE7/ptc_round,0)*ptc_round*ptc_mult*10</f>
        <v/>
      </c>
      <c r="AF8" s="33">
        <f>ROUND(ptc_base*AF7/ptc_round,0)*ptc_round*ptc_mult*10</f>
        <v/>
      </c>
      <c r="AG8" s="33">
        <f>ROUND(ptc_base*AG7/ptc_round,0)*ptc_round*ptc_mult*10</f>
        <v/>
      </c>
      <c r="AH8" s="33">
        <f>ROUND(ptc_base*AH7/ptc_round,0)*ptc_round*ptc_mult*10</f>
        <v/>
      </c>
      <c r="AI8" s="33">
        <f>ROUND(ptc_base*AI7/ptc_round,0)*ptc_round*ptc_mult*10</f>
        <v/>
      </c>
      <c r="AJ8" s="33">
        <f>ROUND(ptc_base*AJ7/ptc_round,0)*ptc_round*ptc_mult*10</f>
        <v/>
      </c>
      <c r="AK8" s="33">
        <f>ROUND(ptc_base*AK7/ptc_round,0)*ptc_round*ptc_mult*10</f>
        <v/>
      </c>
      <c r="AL8" s="33">
        <f>ROUND(ptc_base*AL7/ptc_round,0)*ptc_round*ptc_mult*10</f>
        <v/>
      </c>
    </row>
    <row r="9">
      <c r="B9" s="7" t="inlineStr">
        <is>
          <t>Within the PTC period (1 = yes)</t>
        </is>
      </c>
      <c r="D9" s="30">
        <f>IF(D$5&lt;ptc_years,1,0)</f>
        <v/>
      </c>
      <c r="E9" s="30">
        <f>IF(E$5&lt;ptc_years,1,0)</f>
        <v/>
      </c>
      <c r="F9" s="30">
        <f>IF(F$5&lt;ptc_years,1,0)</f>
        <v/>
      </c>
      <c r="G9" s="30">
        <f>IF(G$5&lt;ptc_years,1,0)</f>
        <v/>
      </c>
      <c r="H9" s="30">
        <f>IF(H$5&lt;ptc_years,1,0)</f>
        <v/>
      </c>
      <c r="I9" s="30">
        <f>IF(I$5&lt;ptc_years,1,0)</f>
        <v/>
      </c>
      <c r="J9" s="30">
        <f>IF(J$5&lt;ptc_years,1,0)</f>
        <v/>
      </c>
      <c r="K9" s="30">
        <f>IF(K$5&lt;ptc_years,1,0)</f>
        <v/>
      </c>
      <c r="L9" s="30">
        <f>IF(L$5&lt;ptc_years,1,0)</f>
        <v/>
      </c>
      <c r="M9" s="30">
        <f>IF(M$5&lt;ptc_years,1,0)</f>
        <v/>
      </c>
      <c r="N9" s="30">
        <f>IF(N$5&lt;ptc_years,1,0)</f>
        <v/>
      </c>
      <c r="O9" s="30">
        <f>IF(O$5&lt;ptc_years,1,0)</f>
        <v/>
      </c>
      <c r="P9" s="30">
        <f>IF(P$5&lt;ptc_years,1,0)</f>
        <v/>
      </c>
      <c r="Q9" s="30">
        <f>IF(Q$5&lt;ptc_years,1,0)</f>
        <v/>
      </c>
      <c r="R9" s="30">
        <f>IF(R$5&lt;ptc_years,1,0)</f>
        <v/>
      </c>
      <c r="S9" s="30">
        <f>IF(S$5&lt;ptc_years,1,0)</f>
        <v/>
      </c>
      <c r="T9" s="30">
        <f>IF(T$5&lt;ptc_years,1,0)</f>
        <v/>
      </c>
      <c r="U9" s="30">
        <f>IF(U$5&lt;ptc_years,1,0)</f>
        <v/>
      </c>
      <c r="V9" s="30">
        <f>IF(V$5&lt;ptc_years,1,0)</f>
        <v/>
      </c>
      <c r="W9" s="30">
        <f>IF(W$5&lt;ptc_years,1,0)</f>
        <v/>
      </c>
      <c r="X9" s="30">
        <f>IF(X$5&lt;ptc_years,1,0)</f>
        <v/>
      </c>
      <c r="Y9" s="30">
        <f>IF(Y$5&lt;ptc_years,1,0)</f>
        <v/>
      </c>
      <c r="Z9" s="30">
        <f>IF(Z$5&lt;ptc_years,1,0)</f>
        <v/>
      </c>
      <c r="AA9" s="30">
        <f>IF(AA$5&lt;ptc_years,1,0)</f>
        <v/>
      </c>
      <c r="AB9" s="30">
        <f>IF(AB$5&lt;ptc_years,1,0)</f>
        <v/>
      </c>
      <c r="AC9" s="30">
        <f>IF(AC$5&lt;ptc_years,1,0)</f>
        <v/>
      </c>
      <c r="AD9" s="30">
        <f>IF(AD$5&lt;ptc_years,1,0)</f>
        <v/>
      </c>
      <c r="AE9" s="30">
        <f>IF(AE$5&lt;ptc_years,1,0)</f>
        <v/>
      </c>
      <c r="AF9" s="30">
        <f>IF(AF$5&lt;ptc_years,1,0)</f>
        <v/>
      </c>
      <c r="AG9" s="30">
        <f>IF(AG$5&lt;ptc_years,1,0)</f>
        <v/>
      </c>
      <c r="AH9" s="30">
        <f>IF(AH$5&lt;ptc_years,1,0)</f>
        <v/>
      </c>
      <c r="AI9" s="30">
        <f>IF(AI$5&lt;ptc_years,1,0)</f>
        <v/>
      </c>
      <c r="AJ9" s="30">
        <f>IF(AJ$5&lt;ptc_years,1,0)</f>
        <v/>
      </c>
      <c r="AK9" s="30">
        <f>IF(AK$5&lt;ptc_years,1,0)</f>
        <v/>
      </c>
      <c r="AL9" s="30">
        <f>IF(AL$5&lt;ptc_years,1,0)</f>
        <v/>
      </c>
    </row>
    <row r="10">
      <c r="B10" s="7" t="inlineStr">
        <is>
          <t>PTC at P50 energy, no bonus ($)</t>
        </is>
      </c>
      <c r="D10" s="25">
        <f>Energy!D$8*D8*D9</f>
        <v/>
      </c>
      <c r="E10" s="25">
        <f>Energy!E$8*E8*E9</f>
        <v/>
      </c>
      <c r="F10" s="25">
        <f>Energy!F$8*F8*F9</f>
        <v/>
      </c>
      <c r="G10" s="25">
        <f>Energy!G$8*G8*G9</f>
        <v/>
      </c>
      <c r="H10" s="25">
        <f>Energy!H$8*H8*H9</f>
        <v/>
      </c>
      <c r="I10" s="25">
        <f>Energy!I$8*I8*I9</f>
        <v/>
      </c>
      <c r="J10" s="25">
        <f>Energy!J$8*J8*J9</f>
        <v/>
      </c>
      <c r="K10" s="25">
        <f>Energy!K$8*K8*K9</f>
        <v/>
      </c>
      <c r="L10" s="25">
        <f>Energy!L$8*L8*L9</f>
        <v/>
      </c>
      <c r="M10" s="25">
        <f>Energy!M$8*M8*M9</f>
        <v/>
      </c>
      <c r="N10" s="25">
        <f>Energy!N$8*N8*N9</f>
        <v/>
      </c>
      <c r="O10" s="25">
        <f>Energy!O$8*O8*O9</f>
        <v/>
      </c>
      <c r="P10" s="25">
        <f>Energy!P$8*P8*P9</f>
        <v/>
      </c>
      <c r="Q10" s="25">
        <f>Energy!Q$8*Q8*Q9</f>
        <v/>
      </c>
      <c r="R10" s="25">
        <f>Energy!R$8*R8*R9</f>
        <v/>
      </c>
      <c r="S10" s="25">
        <f>Energy!S$8*S8*S9</f>
        <v/>
      </c>
      <c r="T10" s="25">
        <f>Energy!T$8*T8*T9</f>
        <v/>
      </c>
      <c r="U10" s="25">
        <f>Energy!U$8*U8*U9</f>
        <v/>
      </c>
      <c r="V10" s="25">
        <f>Energy!V$8*V8*V9</f>
        <v/>
      </c>
      <c r="W10" s="25">
        <f>Energy!W$8*W8*W9</f>
        <v/>
      </c>
      <c r="X10" s="25">
        <f>Energy!X$8*X8*X9</f>
        <v/>
      </c>
      <c r="Y10" s="25">
        <f>Energy!Y$8*Y8*Y9</f>
        <v/>
      </c>
      <c r="Z10" s="25">
        <f>Energy!Z$8*Z8*Z9</f>
        <v/>
      </c>
      <c r="AA10" s="25">
        <f>Energy!AA$8*AA8*AA9</f>
        <v/>
      </c>
      <c r="AB10" s="25">
        <f>Energy!AB$8*AB8*AB9</f>
        <v/>
      </c>
      <c r="AC10" s="25">
        <f>Energy!AC$8*AC8*AC9</f>
        <v/>
      </c>
      <c r="AD10" s="25">
        <f>Energy!AD$8*AD8*AD9</f>
        <v/>
      </c>
      <c r="AE10" s="25">
        <f>Energy!AE$8*AE8*AE9</f>
        <v/>
      </c>
      <c r="AF10" s="25">
        <f>Energy!AF$8*AF8*AF9</f>
        <v/>
      </c>
      <c r="AG10" s="25">
        <f>Energy!AG$8*AG8*AG9</f>
        <v/>
      </c>
      <c r="AH10" s="25">
        <f>Energy!AH$8*AH8*AH9</f>
        <v/>
      </c>
      <c r="AI10" s="25">
        <f>Energy!AI$8*AI8*AI9</f>
        <v/>
      </c>
      <c r="AJ10" s="25">
        <f>Energy!AJ$8*AJ8*AJ9</f>
        <v/>
      </c>
      <c r="AK10" s="25">
        <f>Energy!AK$8*AK8*AK9</f>
        <v/>
      </c>
      <c r="AL10" s="25">
        <f>Energy!AL$8*AL8*AL9</f>
        <v/>
      </c>
    </row>
    <row r="11">
      <c r="B11" s="14" t="inlineStr">
        <is>
          <t>Cash at the transfer price ($)</t>
        </is>
      </c>
      <c r="D11" s="26">
        <f>D10*transfer_ptc</f>
        <v/>
      </c>
      <c r="E11" s="26">
        <f>E10*transfer_ptc</f>
        <v/>
      </c>
      <c r="F11" s="26">
        <f>F10*transfer_ptc</f>
        <v/>
      </c>
      <c r="G11" s="26">
        <f>G10*transfer_ptc</f>
        <v/>
      </c>
      <c r="H11" s="26">
        <f>H10*transfer_ptc</f>
        <v/>
      </c>
      <c r="I11" s="26">
        <f>I10*transfer_ptc</f>
        <v/>
      </c>
      <c r="J11" s="26">
        <f>J10*transfer_ptc</f>
        <v/>
      </c>
      <c r="K11" s="26">
        <f>K10*transfer_ptc</f>
        <v/>
      </c>
      <c r="L11" s="26">
        <f>L10*transfer_ptc</f>
        <v/>
      </c>
      <c r="M11" s="26">
        <f>M10*transfer_ptc</f>
        <v/>
      </c>
      <c r="N11" s="26">
        <f>N10*transfer_ptc</f>
        <v/>
      </c>
      <c r="O11" s="26">
        <f>O10*transfer_ptc</f>
        <v/>
      </c>
      <c r="P11" s="26">
        <f>P10*transfer_ptc</f>
        <v/>
      </c>
      <c r="Q11" s="26">
        <f>Q10*transfer_ptc</f>
        <v/>
      </c>
      <c r="R11" s="26">
        <f>R10*transfer_ptc</f>
        <v/>
      </c>
      <c r="S11" s="26">
        <f>S10*transfer_ptc</f>
        <v/>
      </c>
      <c r="T11" s="26">
        <f>T10*transfer_ptc</f>
        <v/>
      </c>
      <c r="U11" s="26">
        <f>U10*transfer_ptc</f>
        <v/>
      </c>
      <c r="V11" s="26">
        <f>V10*transfer_ptc</f>
        <v/>
      </c>
      <c r="W11" s="26">
        <f>W10*transfer_ptc</f>
        <v/>
      </c>
      <c r="X11" s="26">
        <f>X10*transfer_ptc</f>
        <v/>
      </c>
      <c r="Y11" s="26">
        <f>Y10*transfer_ptc</f>
        <v/>
      </c>
      <c r="Z11" s="26">
        <f>Z10*transfer_ptc</f>
        <v/>
      </c>
      <c r="AA11" s="26">
        <f>AA10*transfer_ptc</f>
        <v/>
      </c>
      <c r="AB11" s="26">
        <f>AB10*transfer_ptc</f>
        <v/>
      </c>
      <c r="AC11" s="26">
        <f>AC10*transfer_ptc</f>
        <v/>
      </c>
      <c r="AD11" s="26">
        <f>AD10*transfer_ptc</f>
        <v/>
      </c>
      <c r="AE11" s="26">
        <f>AE10*transfer_ptc</f>
        <v/>
      </c>
      <c r="AF11" s="26">
        <f>AF10*transfer_ptc</f>
        <v/>
      </c>
      <c r="AG11" s="26">
        <f>AG10*transfer_ptc</f>
        <v/>
      </c>
      <c r="AH11" s="26">
        <f>AH10*transfer_ptc</f>
        <v/>
      </c>
      <c r="AI11" s="26">
        <f>AI10*transfer_ptc</f>
        <v/>
      </c>
      <c r="AJ11" s="26">
        <f>AJ10*transfer_ptc</f>
        <v/>
      </c>
      <c r="AK11" s="26">
        <f>AK10*transfer_ptc</f>
        <v/>
      </c>
      <c r="AL11" s="26">
        <f>AL10*transfer_ptc</f>
        <v/>
      </c>
    </row>
    <row r="12">
      <c r="B12" s="7" t="inlineStr">
        <is>
          <t>Discount factor to 1 January 2027 (contracted rate in use)</t>
        </is>
      </c>
      <c r="D12" s="22">
        <f>1/(1+x_rc)^(D$5+2)</f>
        <v/>
      </c>
      <c r="E12" s="22">
        <f>1/(1+x_rc)^(E$5+2)</f>
        <v/>
      </c>
      <c r="F12" s="22">
        <f>1/(1+x_rc)^(F$5+2)</f>
        <v/>
      </c>
      <c r="G12" s="22">
        <f>1/(1+x_rc)^(G$5+2)</f>
        <v/>
      </c>
      <c r="H12" s="22">
        <f>1/(1+x_rc)^(H$5+2)</f>
        <v/>
      </c>
      <c r="I12" s="22">
        <f>1/(1+x_rc)^(I$5+2)</f>
        <v/>
      </c>
      <c r="J12" s="22">
        <f>1/(1+x_rc)^(J$5+2)</f>
        <v/>
      </c>
      <c r="K12" s="22">
        <f>1/(1+x_rc)^(K$5+2)</f>
        <v/>
      </c>
      <c r="L12" s="22">
        <f>1/(1+x_rc)^(L$5+2)</f>
        <v/>
      </c>
      <c r="M12" s="22">
        <f>1/(1+x_rc)^(M$5+2)</f>
        <v/>
      </c>
      <c r="N12" s="22">
        <f>1/(1+x_rc)^(N$5+2)</f>
        <v/>
      </c>
      <c r="O12" s="22">
        <f>1/(1+x_rc)^(O$5+2)</f>
        <v/>
      </c>
      <c r="P12" s="22">
        <f>1/(1+x_rc)^(P$5+2)</f>
        <v/>
      </c>
      <c r="Q12" s="22">
        <f>1/(1+x_rc)^(Q$5+2)</f>
        <v/>
      </c>
      <c r="R12" s="22">
        <f>1/(1+x_rc)^(R$5+2)</f>
        <v/>
      </c>
      <c r="S12" s="22">
        <f>1/(1+x_rc)^(S$5+2)</f>
        <v/>
      </c>
      <c r="T12" s="22">
        <f>1/(1+x_rc)^(T$5+2)</f>
        <v/>
      </c>
      <c r="U12" s="22">
        <f>1/(1+x_rc)^(U$5+2)</f>
        <v/>
      </c>
      <c r="V12" s="22">
        <f>1/(1+x_rc)^(V$5+2)</f>
        <v/>
      </c>
      <c r="W12" s="22">
        <f>1/(1+x_rc)^(W$5+2)</f>
        <v/>
      </c>
      <c r="X12" s="22">
        <f>1/(1+x_rc)^(X$5+2)</f>
        <v/>
      </c>
      <c r="Y12" s="22">
        <f>1/(1+x_rc)^(Y$5+2)</f>
        <v/>
      </c>
      <c r="Z12" s="22">
        <f>1/(1+x_rc)^(Z$5+2)</f>
        <v/>
      </c>
      <c r="AA12" s="22">
        <f>1/(1+x_rc)^(AA$5+2)</f>
        <v/>
      </c>
      <c r="AB12" s="22">
        <f>1/(1+x_rc)^(AB$5+2)</f>
        <v/>
      </c>
      <c r="AC12" s="22">
        <f>1/(1+x_rc)^(AC$5+2)</f>
        <v/>
      </c>
      <c r="AD12" s="22">
        <f>1/(1+x_rc)^(AD$5+2)</f>
        <v/>
      </c>
      <c r="AE12" s="22">
        <f>1/(1+x_rc)^(AE$5+2)</f>
        <v/>
      </c>
      <c r="AF12" s="22">
        <f>1/(1+x_rc)^(AF$5+2)</f>
        <v/>
      </c>
      <c r="AG12" s="22">
        <f>1/(1+x_rc)^(AG$5+2)</f>
        <v/>
      </c>
      <c r="AH12" s="22">
        <f>1/(1+x_rc)^(AH$5+2)</f>
        <v/>
      </c>
      <c r="AI12" s="22">
        <f>1/(1+x_rc)^(AI$5+2)</f>
        <v/>
      </c>
      <c r="AJ12" s="22">
        <f>1/(1+x_rc)^(AJ$5+2)</f>
        <v/>
      </c>
      <c r="AK12" s="22">
        <f>1/(1+x_rc)^(AK$5+2)</f>
        <v/>
      </c>
      <c r="AL12" s="22">
        <f>1/(1+x_rc)^(AL$5+2)</f>
        <v/>
      </c>
    </row>
    <row r="14">
      <c r="B14" s="7" t="inlineStr">
        <is>
          <t>2028 PTC at P50 energy</t>
        </is>
      </c>
      <c r="C14" s="25">
        <f>D10</f>
        <v/>
      </c>
    </row>
    <row r="15">
      <c r="B15" s="7" t="inlineStr">
        <is>
          <t>2028 PTC cash</t>
        </is>
      </c>
      <c r="C15" s="25">
        <f>D11</f>
        <v/>
      </c>
    </row>
    <row r="16">
      <c r="B16" s="7" t="inlineStr">
        <is>
          <t>PTC over the ten years</t>
        </is>
      </c>
      <c r="C16" s="25">
        <f>SUM($D$10:$AL$10)</f>
        <v/>
      </c>
    </row>
    <row r="17">
      <c r="B17" s="7" t="inlineStr">
        <is>
          <t>PTC cash over the ten years</t>
        </is>
      </c>
      <c r="C17" s="25">
        <f>SUM($D$11:$AL$11)</f>
        <v/>
      </c>
    </row>
    <row r="18">
      <c r="B18" s="7" t="inlineStr">
        <is>
          <t>Present value of the PTC cash on 1 January 2027</t>
        </is>
      </c>
      <c r="C18" s="26">
        <f>SUMPRODUCT($D$11:$AL$11,$D$12:$AL$12)</f>
        <v/>
      </c>
    </row>
    <row r="19">
      <c r="B19" s="7" t="inlineStr">
        <is>
          <t>Cost of selling at the transfer price instead of 1.00 (nominal)</t>
        </is>
      </c>
      <c r="C19" s="25">
        <f>C16*(1-transfer_ptc)</f>
        <v/>
      </c>
    </row>
    <row r="20">
      <c r="B20" s="7" t="inlineStr">
        <is>
          <t>Capacity factor above which the PTC beats the ITC (all else equal)</t>
        </is>
      </c>
      <c r="C20" s="21">
        <f>cf_p50*Capex!$C$27/C18</f>
        <v/>
      </c>
    </row>
    <row r="22">
      <c r="B22" s="14" t="inlineStr">
        <is>
          <t>PTC rate by year (cents per kWh)</t>
        </is>
      </c>
      <c r="C22" s="14" t="inlineStr">
        <is>
          <t>Year</t>
        </is>
      </c>
      <c r="D22" s="14" t="inlineStr">
        <is>
          <t>Factor</t>
        </is>
      </c>
      <c r="E22" s="14" t="inlineStr">
        <is>
          <t>Cents/kWh</t>
        </is>
      </c>
    </row>
    <row r="23">
      <c r="C23" s="30">
        <f>ptc_factor_year</f>
        <v/>
      </c>
      <c r="D23" s="22">
        <f>ptc_factor*(1+ptc_factor_g)^(C23-ptc_factor_year)</f>
        <v/>
      </c>
      <c r="E23" s="35">
        <f>ROUND(ptc_base*D23/ptc_round,0)*ptc_round*ptc_mult</f>
        <v/>
      </c>
    </row>
    <row r="24">
      <c r="C24" s="30">
        <f>C23+1</f>
        <v/>
      </c>
      <c r="D24" s="22">
        <f>ptc_factor*(1+ptc_factor_g)^(C24-ptc_factor_year)</f>
        <v/>
      </c>
      <c r="E24" s="35">
        <f>ROUND(ptc_base*D24/ptc_round,0)*ptc_round*ptc_mult</f>
        <v/>
      </c>
    </row>
    <row r="25">
      <c r="C25" s="30">
        <f>C24+1</f>
        <v/>
      </c>
      <c r="D25" s="22">
        <f>ptc_factor*(1+ptc_factor_g)^(C25-ptc_factor_year)</f>
        <v/>
      </c>
      <c r="E25" s="35">
        <f>ROUND(ptc_base*D25/ptc_round,0)*ptc_round*ptc_mult</f>
        <v/>
      </c>
    </row>
    <row r="26">
      <c r="C26" s="30">
        <f>C25+1</f>
        <v/>
      </c>
      <c r="D26" s="22">
        <f>ptc_factor*(1+ptc_factor_g)^(C26-ptc_factor_year)</f>
        <v/>
      </c>
      <c r="E26" s="35">
        <f>ROUND(ptc_base*D26/ptc_round,0)*ptc_round*ptc_mult</f>
        <v/>
      </c>
    </row>
    <row r="27">
      <c r="C27" s="30">
        <f>C26+1</f>
        <v/>
      </c>
      <c r="D27" s="22">
        <f>ptc_factor*(1+ptc_factor_g)^(C27-ptc_factor_year)</f>
        <v/>
      </c>
      <c r="E27" s="35">
        <f>ROUND(ptc_base*D27/ptc_round,0)*ptc_round*ptc_mult</f>
        <v/>
      </c>
    </row>
    <row r="28">
      <c r="C28" s="30">
        <f>C27+1</f>
        <v/>
      </c>
      <c r="D28" s="22">
        <f>ptc_factor*(1+ptc_factor_g)^(C28-ptc_factor_year)</f>
        <v/>
      </c>
      <c r="E28" s="35">
        <f>ROUND(ptc_base*D28/ptc_round,0)*ptc_round*ptc_mult</f>
        <v/>
      </c>
    </row>
    <row r="29">
      <c r="C29" s="30">
        <f>C28+1</f>
        <v/>
      </c>
      <c r="D29" s="22">
        <f>ptc_factor*(1+ptc_factor_g)^(C29-ptc_factor_year)</f>
        <v/>
      </c>
      <c r="E29" s="35">
        <f>ROUND(ptc_base*D29/ptc_round,0)*ptc_round*ptc_mult</f>
        <v/>
      </c>
    </row>
    <row r="30">
      <c r="C30" s="30">
        <f>C29+1</f>
        <v/>
      </c>
      <c r="D30" s="22">
        <f>ptc_factor*(1+ptc_factor_g)^(C30-ptc_factor_year)</f>
        <v/>
      </c>
      <c r="E30" s="35">
        <f>ROUND(ptc_base*D30/ptc_round,0)*ptc_round*ptc_mult</f>
        <v/>
      </c>
    </row>
    <row r="31">
      <c r="C31" s="30">
        <f>C30+1</f>
        <v/>
      </c>
      <c r="D31" s="22">
        <f>ptc_factor*(1+ptc_factor_g)^(C31-ptc_factor_year)</f>
        <v/>
      </c>
      <c r="E31" s="35">
        <f>ROUND(ptc_base*D31/ptc_round,0)*ptc_round*ptc_mult</f>
        <v/>
      </c>
    </row>
    <row r="32">
      <c r="C32" s="30">
        <f>C31+1</f>
        <v/>
      </c>
      <c r="D32" s="22">
        <f>ptc_factor*(1+ptc_factor_g)^(C32-ptc_factor_year)</f>
        <v/>
      </c>
      <c r="E32" s="35">
        <f>ROUND(ptc_base*D32/ptc_round,0)*ptc_round*ptc_mult</f>
        <v/>
      </c>
    </row>
    <row r="33">
      <c r="C33" s="30">
        <f>C32+1</f>
        <v/>
      </c>
      <c r="D33" s="22">
        <f>ptc_factor*(1+ptc_factor_g)^(C33-ptc_factor_year)</f>
        <v/>
      </c>
      <c r="E33" s="35">
        <f>ROUND(ptc_base*D33/ptc_round,0)*ptc_round*ptc_mult</f>
        <v/>
      </c>
    </row>
    <row r="34">
      <c r="C34" s="30">
        <f>C33+1</f>
        <v/>
      </c>
      <c r="D34" s="22">
        <f>ptc_factor*(1+ptc_factor_g)^(C34-ptc_factor_year)</f>
        <v/>
      </c>
      <c r="E34" s="35">
        <f>ROUND(ptc_base*D34/ptc_round,0)*ptc_round*ptc_mult</f>
        <v/>
      </c>
    </row>
    <row r="36">
      <c r="B36" s="14" t="inlineStr">
        <is>
          <t>Case U development value by credit choice (from the Sensitivities sheet)</t>
        </is>
      </c>
    </row>
    <row r="37">
      <c r="B37" s="7" t="inlineStr">
        <is>
          <t>With the credit in use (PTC by default)</t>
        </is>
      </c>
      <c r="C37" s="25">
        <f>Cases!$C$36</f>
        <v/>
      </c>
    </row>
    <row r="38">
      <c r="B38" s="7" t="inlineStr">
        <is>
          <t>With the ITC</t>
        </is>
      </c>
      <c r="C38" s="25">
        <f>Sensitivities!$C$14</f>
        <v/>
      </c>
    </row>
    <row r="39">
      <c r="B39" s="7" t="inlineStr">
        <is>
          <t>With no credit</t>
        </is>
      </c>
      <c r="C39" s="25">
        <f>Sensitivities!$C$15</f>
        <v/>
      </c>
    </row>
    <row r="40">
      <c r="B40" s="7" t="inlineStr">
        <is>
          <t>With the energy community bonus</t>
        </is>
      </c>
      <c r="C40" s="25">
        <f>Sensitivities!$C$16</f>
        <v/>
      </c>
    </row>
    <row r="41">
      <c r="B41" s="7" t="inlineStr">
        <is>
          <t>PTC over ITC</t>
        </is>
      </c>
      <c r="C41" s="25">
        <f>Credits!$C$37-Credits!$C$38</f>
        <v/>
      </c>
    </row>
    <row r="42">
      <c r="B42" s="7" t="inlineStr">
        <is>
          <t>Cost of losing the credit</t>
        </is>
      </c>
      <c r="C42" s="25">
        <f>Credits!$C$37-Credits!$C$39</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B2:AM170"/>
  <sheetViews>
    <sheetView showGridLines="0" workbookViewId="0">
      <selection activeCell="A1" sqref="A1"/>
    </sheetView>
  </sheetViews>
  <sheetFormatPr baseColWidth="8" defaultRowHeight="15"/>
  <cols>
    <col width="2" customWidth="1" min="1" max="1"/>
    <col width="70"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Cases U (utility PPA), C (corporate virtual PPA) and M (merchant), with the switches in use (chapters 7, 10, 14)</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6" t="inlineStr">
        <is>
          <t>Summary</t>
        </is>
      </c>
      <c r="C7" s="14" t="inlineStr">
        <is>
          <t>Case U</t>
        </is>
      </c>
      <c r="D7" s="14" t="inlineStr">
        <is>
          <t>Case C</t>
        </is>
      </c>
      <c r="E7" s="14" t="inlineStr">
        <is>
          <t>Case M</t>
        </is>
      </c>
      <c r="F7" s="14" t="inlineStr">
        <is>
          <t>Case in sw_case</t>
        </is>
      </c>
    </row>
    <row r="8">
      <c r="B8" s="7" t="inlineStr">
        <is>
          <t>Value of the flows on 1 January 2027</t>
        </is>
      </c>
      <c r="C8" s="25">
        <f>C35</f>
        <v/>
      </c>
      <c r="D8" s="25">
        <f>C79</f>
        <v/>
      </c>
      <c r="E8" s="25">
        <f>C123</f>
        <v/>
      </c>
      <c r="F8" s="25">
        <f>IF(sw_case="U",C8,IF(sw_case="C",D8,E8))</f>
        <v/>
      </c>
    </row>
    <row r="9">
      <c r="B9" s="7" t="inlineStr">
        <is>
          <t>Development value</t>
        </is>
      </c>
      <c r="C9" s="26">
        <f>C36</f>
        <v/>
      </c>
      <c r="D9" s="26">
        <f>C80</f>
        <v/>
      </c>
      <c r="E9" s="26">
        <f>C124</f>
        <v/>
      </c>
      <c r="F9" s="25">
        <f>IF(sw_case="U",C9,IF(sw_case="C",D9,E9))</f>
        <v/>
      </c>
    </row>
    <row r="10">
      <c r="B10" s="7" t="inlineStr">
        <is>
          <t>Highest premium at the discount rates</t>
        </is>
      </c>
      <c r="C10" s="25">
        <f>C37</f>
        <v/>
      </c>
      <c r="D10" s="25">
        <f>C81</f>
        <v/>
      </c>
      <c r="E10" s="25">
        <f>C125</f>
        <v/>
      </c>
      <c r="F10" s="25">
        <f>IF(sw_case="U",C10,IF(sw_case="C",D10,E10))</f>
        <v/>
      </c>
    </row>
    <row r="11">
      <c r="B11" s="7" t="inlineStr">
        <is>
          <t>Unlevered pre-tax IRR, price included</t>
        </is>
      </c>
      <c r="C11" s="24">
        <f>C56</f>
        <v/>
      </c>
      <c r="D11" s="24">
        <f>C100</f>
        <v/>
      </c>
      <c r="E11" s="24">
        <f>C144</f>
        <v/>
      </c>
      <c r="F11" s="24">
        <f>IF(sw_case="U",C11,IF(sw_case="C",D11,E11))</f>
        <v/>
      </c>
    </row>
    <row r="12">
      <c r="B12" s="7" t="inlineStr">
        <is>
          <t>Value at COD, 1 January 2028</t>
        </is>
      </c>
      <c r="C12" s="25">
        <f>C38</f>
        <v/>
      </c>
      <c r="D12" s="25">
        <f>C82</f>
        <v/>
      </c>
      <c r="E12" s="25">
        <f>C126</f>
        <v/>
      </c>
      <c r="F12" s="25">
        <f>IF(sw_case="U",C12,IF(sw_case="C",D12,E12))</f>
        <v/>
      </c>
    </row>
    <row r="13">
      <c r="B13" s="7" t="inlineStr">
        <is>
          <t>Value on 1 January of the later sale date</t>
        </is>
      </c>
      <c r="C13" s="25">
        <f>C40</f>
        <v/>
      </c>
      <c r="D13" s="25">
        <f>C84</f>
        <v/>
      </c>
      <c r="E13" s="25">
        <f>C128</f>
        <v/>
      </c>
      <c r="F13" s="25">
        <f>IF(sw_case="U",C13,IF(sw_case="C",D13,E13))</f>
        <v/>
      </c>
    </row>
    <row r="16">
      <c r="B16" s="6" t="inlineStr">
        <is>
          <t>Case U: 20-year utility PPA with Norland, then merchant</t>
        </is>
      </c>
    </row>
    <row r="17">
      <c r="B17" s="7" t="inlineStr">
        <is>
          <t>Capital cost ($)</t>
        </is>
      </c>
      <c r="C17" s="25">
        <f>((x_module+x_tracker+x_bos)*mwdc*1000000+x_inverter*mwac*1000000+x_sub)*(1+contingency)+x_ic+owner</f>
        <v/>
      </c>
    </row>
    <row r="18">
      <c r="B18" s="7" t="inlineStr">
        <is>
          <t>ITC eligible basis ($)</t>
        </is>
      </c>
      <c r="C18" s="25">
        <f>((x_module+x_tracker+x_bos)*mwdc*1000000+x_inverter*mwac*1000000+x_sub)*(1+contingency)-gentie_share*x_sub</f>
        <v/>
      </c>
    </row>
    <row r="19">
      <c r="B19" s="7" t="inlineStr">
        <is>
          <t>ITC cash at the end of 2028, if elected ($)</t>
        </is>
      </c>
      <c r="C19" s="25">
        <f>IF(sw_credit="ITC",C18*(itc_rate+sw_bonus)*transfer_itc,0)</f>
        <v/>
      </c>
    </row>
    <row r="20">
      <c r="B20" s="7" t="inlineStr">
        <is>
          <t>Energy (MWh)</t>
        </is>
      </c>
      <c r="D20" s="23">
        <f>mwac*hours*cf_p50*Energy!D$7*x_scale</f>
        <v/>
      </c>
      <c r="E20" s="23">
        <f>mwac*hours*cf_p50*Energy!E$7*x_scale</f>
        <v/>
      </c>
      <c r="F20" s="23">
        <f>mwac*hours*cf_p50*Energy!F$7*x_scale</f>
        <v/>
      </c>
      <c r="G20" s="23">
        <f>mwac*hours*cf_p50*Energy!G$7*x_scale</f>
        <v/>
      </c>
      <c r="H20" s="23">
        <f>mwac*hours*cf_p50*Energy!H$7*x_scale</f>
        <v/>
      </c>
      <c r="I20" s="23">
        <f>mwac*hours*cf_p50*Energy!I$7*x_scale</f>
        <v/>
      </c>
      <c r="J20" s="23">
        <f>mwac*hours*cf_p50*Energy!J$7*x_scale</f>
        <v/>
      </c>
      <c r="K20" s="23">
        <f>mwac*hours*cf_p50*Energy!K$7*x_scale</f>
        <v/>
      </c>
      <c r="L20" s="23">
        <f>mwac*hours*cf_p50*Energy!L$7*x_scale</f>
        <v/>
      </c>
      <c r="M20" s="23">
        <f>mwac*hours*cf_p50*Energy!M$7*x_scale</f>
        <v/>
      </c>
      <c r="N20" s="23">
        <f>mwac*hours*cf_p50*Energy!N$7*x_scale</f>
        <v/>
      </c>
      <c r="O20" s="23">
        <f>mwac*hours*cf_p50*Energy!O$7*x_scale</f>
        <v/>
      </c>
      <c r="P20" s="23">
        <f>mwac*hours*cf_p50*Energy!P$7*x_scale</f>
        <v/>
      </c>
      <c r="Q20" s="23">
        <f>mwac*hours*cf_p50*Energy!Q$7*x_scale</f>
        <v/>
      </c>
      <c r="R20" s="23">
        <f>mwac*hours*cf_p50*Energy!R$7*x_scale</f>
        <v/>
      </c>
      <c r="S20" s="23">
        <f>mwac*hours*cf_p50*Energy!S$7*x_scale</f>
        <v/>
      </c>
      <c r="T20" s="23">
        <f>mwac*hours*cf_p50*Energy!T$7*x_scale</f>
        <v/>
      </c>
      <c r="U20" s="23">
        <f>mwac*hours*cf_p50*Energy!U$7*x_scale</f>
        <v/>
      </c>
      <c r="V20" s="23">
        <f>mwac*hours*cf_p50*Energy!V$7*x_scale</f>
        <v/>
      </c>
      <c r="W20" s="23">
        <f>mwac*hours*cf_p50*Energy!W$7*x_scale</f>
        <v/>
      </c>
      <c r="X20" s="23">
        <f>mwac*hours*cf_p50*Energy!X$7*x_scale</f>
        <v/>
      </c>
      <c r="Y20" s="23">
        <f>mwac*hours*cf_p50*Energy!Y$7*x_scale</f>
        <v/>
      </c>
      <c r="Z20" s="23">
        <f>mwac*hours*cf_p50*Energy!Z$7*x_scale</f>
        <v/>
      </c>
      <c r="AA20" s="23">
        <f>mwac*hours*cf_p50*Energy!AA$7*x_scale</f>
        <v/>
      </c>
      <c r="AB20" s="23">
        <f>mwac*hours*cf_p50*Energy!AB$7*x_scale</f>
        <v/>
      </c>
      <c r="AC20" s="23">
        <f>mwac*hours*cf_p50*Energy!AC$7*x_scale</f>
        <v/>
      </c>
      <c r="AD20" s="23">
        <f>mwac*hours*cf_p50*Energy!AD$7*x_scale</f>
        <v/>
      </c>
      <c r="AE20" s="23">
        <f>mwac*hours*cf_p50*Energy!AE$7*x_scale</f>
        <v/>
      </c>
      <c r="AF20" s="23">
        <f>mwac*hours*cf_p50*Energy!AF$7*x_scale</f>
        <v/>
      </c>
      <c r="AG20" s="23">
        <f>mwac*hours*cf_p50*Energy!AG$7*x_scale</f>
        <v/>
      </c>
      <c r="AH20" s="23">
        <f>mwac*hours*cf_p50*Energy!AH$7*x_scale</f>
        <v/>
      </c>
      <c r="AI20" s="23">
        <f>mwac*hours*cf_p50*Energy!AI$7*x_scale</f>
        <v/>
      </c>
      <c r="AJ20" s="23">
        <f>mwac*hours*cf_p50*Energy!AJ$7*x_scale</f>
        <v/>
      </c>
      <c r="AK20" s="23">
        <f>mwac*hours*cf_p50*Energy!AK$7*x_scale</f>
        <v/>
      </c>
      <c r="AL20" s="23">
        <f>mwac*hours*cf_p50*Energy!AL$7*x_scale</f>
        <v/>
      </c>
    </row>
    <row r="21">
      <c r="B21" s="7" t="inlineStr">
        <is>
          <t>Node price, hub switch applied ($/MWh)</t>
        </is>
      </c>
      <c r="D21" s="32">
        <f>Market!D$7*(1+sw_hub)*Market!D$8+Market!D$10</f>
        <v/>
      </c>
      <c r="E21" s="32">
        <f>Market!E$7*(1+sw_hub)*Market!E$8+Market!E$10</f>
        <v/>
      </c>
      <c r="F21" s="32">
        <f>Market!F$7*(1+sw_hub)*Market!F$8+Market!F$10</f>
        <v/>
      </c>
      <c r="G21" s="32">
        <f>Market!G$7*(1+sw_hub)*Market!G$8+Market!G$10</f>
        <v/>
      </c>
      <c r="H21" s="32">
        <f>Market!H$7*(1+sw_hub)*Market!H$8+Market!H$10</f>
        <v/>
      </c>
      <c r="I21" s="32">
        <f>Market!I$7*(1+sw_hub)*Market!I$8+Market!I$10</f>
        <v/>
      </c>
      <c r="J21" s="32">
        <f>Market!J$7*(1+sw_hub)*Market!J$8+Market!J$10</f>
        <v/>
      </c>
      <c r="K21" s="32">
        <f>Market!K$7*(1+sw_hub)*Market!K$8+Market!K$10</f>
        <v/>
      </c>
      <c r="L21" s="32">
        <f>Market!L$7*(1+sw_hub)*Market!L$8+Market!L$10</f>
        <v/>
      </c>
      <c r="M21" s="32">
        <f>Market!M$7*(1+sw_hub)*Market!M$8+Market!M$10</f>
        <v/>
      </c>
      <c r="N21" s="32">
        <f>Market!N$7*(1+sw_hub)*Market!N$8+Market!N$10</f>
        <v/>
      </c>
      <c r="O21" s="32">
        <f>Market!O$7*(1+sw_hub)*Market!O$8+Market!O$10</f>
        <v/>
      </c>
      <c r="P21" s="32">
        <f>Market!P$7*(1+sw_hub)*Market!P$8+Market!P$10</f>
        <v/>
      </c>
      <c r="Q21" s="32">
        <f>Market!Q$7*(1+sw_hub)*Market!Q$8+Market!Q$10</f>
        <v/>
      </c>
      <c r="R21" s="32">
        <f>Market!R$7*(1+sw_hub)*Market!R$8+Market!R$10</f>
        <v/>
      </c>
      <c r="S21" s="32">
        <f>Market!S$7*(1+sw_hub)*Market!S$8+Market!S$10</f>
        <v/>
      </c>
      <c r="T21" s="32">
        <f>Market!T$7*(1+sw_hub)*Market!T$8+Market!T$10</f>
        <v/>
      </c>
      <c r="U21" s="32">
        <f>Market!U$7*(1+sw_hub)*Market!U$8+Market!U$10</f>
        <v/>
      </c>
      <c r="V21" s="32">
        <f>Market!V$7*(1+sw_hub)*Market!V$8+Market!V$10</f>
        <v/>
      </c>
      <c r="W21" s="32">
        <f>Market!W$7*(1+sw_hub)*Market!W$8+Market!W$10</f>
        <v/>
      </c>
      <c r="X21" s="32">
        <f>Market!X$7*(1+sw_hub)*Market!X$8+Market!X$10</f>
        <v/>
      </c>
      <c r="Y21" s="32">
        <f>Market!Y$7*(1+sw_hub)*Market!Y$8+Market!Y$10</f>
        <v/>
      </c>
      <c r="Z21" s="32">
        <f>Market!Z$7*(1+sw_hub)*Market!Z$8+Market!Z$10</f>
        <v/>
      </c>
      <c r="AA21" s="32">
        <f>Market!AA$7*(1+sw_hub)*Market!AA$8+Market!AA$10</f>
        <v/>
      </c>
      <c r="AB21" s="32">
        <f>Market!AB$7*(1+sw_hub)*Market!AB$8+Market!AB$10</f>
        <v/>
      </c>
      <c r="AC21" s="32">
        <f>Market!AC$7*(1+sw_hub)*Market!AC$8+Market!AC$10</f>
        <v/>
      </c>
      <c r="AD21" s="32">
        <f>Market!AD$7*(1+sw_hub)*Market!AD$8+Market!AD$10</f>
        <v/>
      </c>
      <c r="AE21" s="32">
        <f>Market!AE$7*(1+sw_hub)*Market!AE$8+Market!AE$10</f>
        <v/>
      </c>
      <c r="AF21" s="32">
        <f>Market!AF$7*(1+sw_hub)*Market!AF$8+Market!AF$10</f>
        <v/>
      </c>
      <c r="AG21" s="32">
        <f>Market!AG$7*(1+sw_hub)*Market!AG$8+Market!AG$10</f>
        <v/>
      </c>
      <c r="AH21" s="32">
        <f>Market!AH$7*(1+sw_hub)*Market!AH$8+Market!AH$10</f>
        <v/>
      </c>
      <c r="AI21" s="32">
        <f>Market!AI$7*(1+sw_hub)*Market!AI$8+Market!AI$10</f>
        <v/>
      </c>
      <c r="AJ21" s="32">
        <f>Market!AJ$7*(1+sw_hub)*Market!AJ$8+Market!AJ$10</f>
        <v/>
      </c>
      <c r="AK21" s="32">
        <f>Market!AK$7*(1+sw_hub)*Market!AK$8+Market!AK$10</f>
        <v/>
      </c>
      <c r="AL21" s="32">
        <f>Market!AL$7*(1+sw_hub)*Market!AL$8+Market!AL$10</f>
        <v/>
      </c>
    </row>
    <row r="22">
      <c r="B22" s="7" t="inlineStr">
        <is>
          <t>Contracted revenue ($)</t>
        </is>
      </c>
      <c r="D22" s="25">
        <f>IF(D$5&lt;u_years,D20*u_price*(1+u_esc)^D$5,0)</f>
        <v/>
      </c>
      <c r="E22" s="25">
        <f>IF(E$5&lt;u_years,E20*u_price*(1+u_esc)^E$5,0)</f>
        <v/>
      </c>
      <c r="F22" s="25">
        <f>IF(F$5&lt;u_years,F20*u_price*(1+u_esc)^F$5,0)</f>
        <v/>
      </c>
      <c r="G22" s="25">
        <f>IF(G$5&lt;u_years,G20*u_price*(1+u_esc)^G$5,0)</f>
        <v/>
      </c>
      <c r="H22" s="25">
        <f>IF(H$5&lt;u_years,H20*u_price*(1+u_esc)^H$5,0)</f>
        <v/>
      </c>
      <c r="I22" s="25">
        <f>IF(I$5&lt;u_years,I20*u_price*(1+u_esc)^I$5,0)</f>
        <v/>
      </c>
      <c r="J22" s="25">
        <f>IF(J$5&lt;u_years,J20*u_price*(1+u_esc)^J$5,0)</f>
        <v/>
      </c>
      <c r="K22" s="25">
        <f>IF(K$5&lt;u_years,K20*u_price*(1+u_esc)^K$5,0)</f>
        <v/>
      </c>
      <c r="L22" s="25">
        <f>IF(L$5&lt;u_years,L20*u_price*(1+u_esc)^L$5,0)</f>
        <v/>
      </c>
      <c r="M22" s="25">
        <f>IF(M$5&lt;u_years,M20*u_price*(1+u_esc)^M$5,0)</f>
        <v/>
      </c>
      <c r="N22" s="25">
        <f>IF(N$5&lt;u_years,N20*u_price*(1+u_esc)^N$5,0)</f>
        <v/>
      </c>
      <c r="O22" s="25">
        <f>IF(O$5&lt;u_years,O20*u_price*(1+u_esc)^O$5,0)</f>
        <v/>
      </c>
      <c r="P22" s="25">
        <f>IF(P$5&lt;u_years,P20*u_price*(1+u_esc)^P$5,0)</f>
        <v/>
      </c>
      <c r="Q22" s="25">
        <f>IF(Q$5&lt;u_years,Q20*u_price*(1+u_esc)^Q$5,0)</f>
        <v/>
      </c>
      <c r="R22" s="25">
        <f>IF(R$5&lt;u_years,R20*u_price*(1+u_esc)^R$5,0)</f>
        <v/>
      </c>
      <c r="S22" s="25">
        <f>IF(S$5&lt;u_years,S20*u_price*(1+u_esc)^S$5,0)</f>
        <v/>
      </c>
      <c r="T22" s="25">
        <f>IF(T$5&lt;u_years,T20*u_price*(1+u_esc)^T$5,0)</f>
        <v/>
      </c>
      <c r="U22" s="25">
        <f>IF(U$5&lt;u_years,U20*u_price*(1+u_esc)^U$5,0)</f>
        <v/>
      </c>
      <c r="V22" s="25">
        <f>IF(V$5&lt;u_years,V20*u_price*(1+u_esc)^V$5,0)</f>
        <v/>
      </c>
      <c r="W22" s="25">
        <f>IF(W$5&lt;u_years,W20*u_price*(1+u_esc)^W$5,0)</f>
        <v/>
      </c>
      <c r="X22" s="25">
        <f>IF(X$5&lt;u_years,X20*u_price*(1+u_esc)^X$5,0)</f>
        <v/>
      </c>
      <c r="Y22" s="25">
        <f>IF(Y$5&lt;u_years,Y20*u_price*(1+u_esc)^Y$5,0)</f>
        <v/>
      </c>
      <c r="Z22" s="25">
        <f>IF(Z$5&lt;u_years,Z20*u_price*(1+u_esc)^Z$5,0)</f>
        <v/>
      </c>
      <c r="AA22" s="25">
        <f>IF(AA$5&lt;u_years,AA20*u_price*(1+u_esc)^AA$5,0)</f>
        <v/>
      </c>
      <c r="AB22" s="25">
        <f>IF(AB$5&lt;u_years,AB20*u_price*(1+u_esc)^AB$5,0)</f>
        <v/>
      </c>
      <c r="AC22" s="25">
        <f>IF(AC$5&lt;u_years,AC20*u_price*(1+u_esc)^AC$5,0)</f>
        <v/>
      </c>
      <c r="AD22" s="25">
        <f>IF(AD$5&lt;u_years,AD20*u_price*(1+u_esc)^AD$5,0)</f>
        <v/>
      </c>
      <c r="AE22" s="25">
        <f>IF(AE$5&lt;u_years,AE20*u_price*(1+u_esc)^AE$5,0)</f>
        <v/>
      </c>
      <c r="AF22" s="25">
        <f>IF(AF$5&lt;u_years,AF20*u_price*(1+u_esc)^AF$5,0)</f>
        <v/>
      </c>
      <c r="AG22" s="25">
        <f>IF(AG$5&lt;u_years,AG20*u_price*(1+u_esc)^AG$5,0)</f>
        <v/>
      </c>
      <c r="AH22" s="25">
        <f>IF(AH$5&lt;u_years,AH20*u_price*(1+u_esc)^AH$5,0)</f>
        <v/>
      </c>
      <c r="AI22" s="25">
        <f>IF(AI$5&lt;u_years,AI20*u_price*(1+u_esc)^AI$5,0)</f>
        <v/>
      </c>
      <c r="AJ22" s="25">
        <f>IF(AJ$5&lt;u_years,AJ20*u_price*(1+u_esc)^AJ$5,0)</f>
        <v/>
      </c>
      <c r="AK22" s="25">
        <f>IF(AK$5&lt;u_years,AK20*u_price*(1+u_esc)^AK$5,0)</f>
        <v/>
      </c>
      <c r="AL22" s="25">
        <f>IF(AL$5&lt;u_years,AL20*u_price*(1+u_esc)^AL$5,0)</f>
        <v/>
      </c>
    </row>
    <row r="23">
      <c r="B23" s="7" t="inlineStr">
        <is>
          <t>Merchant revenue ($)</t>
        </is>
      </c>
      <c r="D23" s="25">
        <f>IF(D$5&lt;u_years,0,D20*(D21+rec_price)+Market!D$13)</f>
        <v/>
      </c>
      <c r="E23" s="25">
        <f>IF(E$5&lt;u_years,0,E20*(E21+rec_price)+Market!E$13)</f>
        <v/>
      </c>
      <c r="F23" s="25">
        <f>IF(F$5&lt;u_years,0,F20*(F21+rec_price)+Market!F$13)</f>
        <v/>
      </c>
      <c r="G23" s="25">
        <f>IF(G$5&lt;u_years,0,G20*(G21+rec_price)+Market!G$13)</f>
        <v/>
      </c>
      <c r="H23" s="25">
        <f>IF(H$5&lt;u_years,0,H20*(H21+rec_price)+Market!H$13)</f>
        <v/>
      </c>
      <c r="I23" s="25">
        <f>IF(I$5&lt;u_years,0,I20*(I21+rec_price)+Market!I$13)</f>
        <v/>
      </c>
      <c r="J23" s="25">
        <f>IF(J$5&lt;u_years,0,J20*(J21+rec_price)+Market!J$13)</f>
        <v/>
      </c>
      <c r="K23" s="25">
        <f>IF(K$5&lt;u_years,0,K20*(K21+rec_price)+Market!K$13)</f>
        <v/>
      </c>
      <c r="L23" s="25">
        <f>IF(L$5&lt;u_years,0,L20*(L21+rec_price)+Market!L$13)</f>
        <v/>
      </c>
      <c r="M23" s="25">
        <f>IF(M$5&lt;u_years,0,M20*(M21+rec_price)+Market!M$13)</f>
        <v/>
      </c>
      <c r="N23" s="25">
        <f>IF(N$5&lt;u_years,0,N20*(N21+rec_price)+Market!N$13)</f>
        <v/>
      </c>
      <c r="O23" s="25">
        <f>IF(O$5&lt;u_years,0,O20*(O21+rec_price)+Market!O$13)</f>
        <v/>
      </c>
      <c r="P23" s="25">
        <f>IF(P$5&lt;u_years,0,P20*(P21+rec_price)+Market!P$13)</f>
        <v/>
      </c>
      <c r="Q23" s="25">
        <f>IF(Q$5&lt;u_years,0,Q20*(Q21+rec_price)+Market!Q$13)</f>
        <v/>
      </c>
      <c r="R23" s="25">
        <f>IF(R$5&lt;u_years,0,R20*(R21+rec_price)+Market!R$13)</f>
        <v/>
      </c>
      <c r="S23" s="25">
        <f>IF(S$5&lt;u_years,0,S20*(S21+rec_price)+Market!S$13)</f>
        <v/>
      </c>
      <c r="T23" s="25">
        <f>IF(T$5&lt;u_years,0,T20*(T21+rec_price)+Market!T$13)</f>
        <v/>
      </c>
      <c r="U23" s="25">
        <f>IF(U$5&lt;u_years,0,U20*(U21+rec_price)+Market!U$13)</f>
        <v/>
      </c>
      <c r="V23" s="25">
        <f>IF(V$5&lt;u_years,0,V20*(V21+rec_price)+Market!V$13)</f>
        <v/>
      </c>
      <c r="W23" s="25">
        <f>IF(W$5&lt;u_years,0,W20*(W21+rec_price)+Market!W$13)</f>
        <v/>
      </c>
      <c r="X23" s="25">
        <f>IF(X$5&lt;u_years,0,X20*(X21+rec_price)+Market!X$13)</f>
        <v/>
      </c>
      <c r="Y23" s="25">
        <f>IF(Y$5&lt;u_years,0,Y20*(Y21+rec_price)+Market!Y$13)</f>
        <v/>
      </c>
      <c r="Z23" s="25">
        <f>IF(Z$5&lt;u_years,0,Z20*(Z21+rec_price)+Market!Z$13)</f>
        <v/>
      </c>
      <c r="AA23" s="25">
        <f>IF(AA$5&lt;u_years,0,AA20*(AA21+rec_price)+Market!AA$13)</f>
        <v/>
      </c>
      <c r="AB23" s="25">
        <f>IF(AB$5&lt;u_years,0,AB20*(AB21+rec_price)+Market!AB$13)</f>
        <v/>
      </c>
      <c r="AC23" s="25">
        <f>IF(AC$5&lt;u_years,0,AC20*(AC21+rec_price)+Market!AC$13)</f>
        <v/>
      </c>
      <c r="AD23" s="25">
        <f>IF(AD$5&lt;u_years,0,AD20*(AD21+rec_price)+Market!AD$13)</f>
        <v/>
      </c>
      <c r="AE23" s="25">
        <f>IF(AE$5&lt;u_years,0,AE20*(AE21+rec_price)+Market!AE$13)</f>
        <v/>
      </c>
      <c r="AF23" s="25">
        <f>IF(AF$5&lt;u_years,0,AF20*(AF21+rec_price)+Market!AF$13)</f>
        <v/>
      </c>
      <c r="AG23" s="25">
        <f>IF(AG$5&lt;u_years,0,AG20*(AG21+rec_price)+Market!AG$13)</f>
        <v/>
      </c>
      <c r="AH23" s="25">
        <f>IF(AH$5&lt;u_years,0,AH20*(AH21+rec_price)+Market!AH$13)</f>
        <v/>
      </c>
      <c r="AI23" s="25">
        <f>IF(AI$5&lt;u_years,0,AI20*(AI21+rec_price)+Market!AI$13)</f>
        <v/>
      </c>
      <c r="AJ23" s="25">
        <f>IF(AJ$5&lt;u_years,0,AJ20*(AJ21+rec_price)+Market!AJ$13)</f>
        <v/>
      </c>
      <c r="AK23" s="25">
        <f>IF(AK$5&lt;u_years,0,AK20*(AK21+rec_price)+Market!AK$13)</f>
        <v/>
      </c>
      <c r="AL23" s="25">
        <f>IF(AL$5&lt;u_years,0,AL20*(AL21+rec_price)+Market!AL$13)</f>
        <v/>
      </c>
    </row>
    <row r="24">
      <c r="B24" s="7" t="inlineStr">
        <is>
          <t>Basis cost kept by the project ($)</t>
        </is>
      </c>
      <c r="D24" s="25" t="n">
        <v>0</v>
      </c>
      <c r="E24" s="25" t="n">
        <v>0</v>
      </c>
      <c r="F24" s="25" t="n">
        <v>0</v>
      </c>
      <c r="G24" s="25" t="n">
        <v>0</v>
      </c>
      <c r="H24" s="25" t="n">
        <v>0</v>
      </c>
      <c r="I24" s="25" t="n">
        <v>0</v>
      </c>
      <c r="J24" s="25" t="n">
        <v>0</v>
      </c>
      <c r="K24" s="25" t="n">
        <v>0</v>
      </c>
      <c r="L24" s="25" t="n">
        <v>0</v>
      </c>
      <c r="M24" s="25" t="n">
        <v>0</v>
      </c>
      <c r="N24" s="25" t="n">
        <v>0</v>
      </c>
      <c r="O24" s="25" t="n">
        <v>0</v>
      </c>
      <c r="P24" s="25" t="n">
        <v>0</v>
      </c>
      <c r="Q24" s="25" t="n">
        <v>0</v>
      </c>
      <c r="R24" s="25" t="n">
        <v>0</v>
      </c>
      <c r="S24" s="25" t="n">
        <v>0</v>
      </c>
      <c r="T24" s="25" t="n">
        <v>0</v>
      </c>
      <c r="U24" s="25" t="n">
        <v>0</v>
      </c>
      <c r="V24" s="25" t="n">
        <v>0</v>
      </c>
      <c r="W24" s="25" t="n">
        <v>0</v>
      </c>
      <c r="X24" s="25" t="n">
        <v>0</v>
      </c>
      <c r="Y24" s="25" t="n">
        <v>0</v>
      </c>
      <c r="Z24" s="25" t="n">
        <v>0</v>
      </c>
      <c r="AA24" s="25" t="n">
        <v>0</v>
      </c>
      <c r="AB24" s="25" t="n">
        <v>0</v>
      </c>
      <c r="AC24" s="25" t="n">
        <v>0</v>
      </c>
      <c r="AD24" s="25" t="n">
        <v>0</v>
      </c>
      <c r="AE24" s="25" t="n">
        <v>0</v>
      </c>
      <c r="AF24" s="25" t="n">
        <v>0</v>
      </c>
      <c r="AG24" s="25" t="n">
        <v>0</v>
      </c>
      <c r="AH24" s="25" t="n">
        <v>0</v>
      </c>
      <c r="AI24" s="25" t="n">
        <v>0</v>
      </c>
      <c r="AJ24" s="25" t="n">
        <v>0</v>
      </c>
      <c r="AK24" s="25" t="n">
        <v>0</v>
      </c>
      <c r="AL24" s="25" t="n">
        <v>0</v>
      </c>
    </row>
    <row r="25">
      <c r="B25" s="7" t="inlineStr">
        <is>
          <t>Operating cost ($)</t>
        </is>
      </c>
      <c r="D25" s="25">
        <f>(om_kw*mwac*1000+ins_rate*$C$17+am_cost+prop_tax+misc_cost)*Opex!D$7+rent_acre*acres_lease*Opex!D$8</f>
        <v/>
      </c>
      <c r="E25" s="25">
        <f>(om_kw*mwac*1000+ins_rate*$C$17+am_cost+prop_tax+misc_cost)*Opex!E$7+rent_acre*acres_lease*Opex!E$8</f>
        <v/>
      </c>
      <c r="F25" s="25">
        <f>(om_kw*mwac*1000+ins_rate*$C$17+am_cost+prop_tax+misc_cost)*Opex!F$7+rent_acre*acres_lease*Opex!F$8</f>
        <v/>
      </c>
      <c r="G25" s="25">
        <f>(om_kw*mwac*1000+ins_rate*$C$17+am_cost+prop_tax+misc_cost)*Opex!G$7+rent_acre*acres_lease*Opex!G$8</f>
        <v/>
      </c>
      <c r="H25" s="25">
        <f>(om_kw*mwac*1000+ins_rate*$C$17+am_cost+prop_tax+misc_cost)*Opex!H$7+rent_acre*acres_lease*Opex!H$8</f>
        <v/>
      </c>
      <c r="I25" s="25">
        <f>(om_kw*mwac*1000+ins_rate*$C$17+am_cost+prop_tax+misc_cost)*Opex!I$7+rent_acre*acres_lease*Opex!I$8</f>
        <v/>
      </c>
      <c r="J25" s="25">
        <f>(om_kw*mwac*1000+ins_rate*$C$17+am_cost+prop_tax+misc_cost)*Opex!J$7+rent_acre*acres_lease*Opex!J$8</f>
        <v/>
      </c>
      <c r="K25" s="25">
        <f>(om_kw*mwac*1000+ins_rate*$C$17+am_cost+prop_tax+misc_cost)*Opex!K$7+rent_acre*acres_lease*Opex!K$8</f>
        <v/>
      </c>
      <c r="L25" s="25">
        <f>(om_kw*mwac*1000+ins_rate*$C$17+am_cost+prop_tax+misc_cost)*Opex!L$7+rent_acre*acres_lease*Opex!L$8</f>
        <v/>
      </c>
      <c r="M25" s="25">
        <f>(om_kw*mwac*1000+ins_rate*$C$17+am_cost+prop_tax+misc_cost)*Opex!M$7+rent_acre*acres_lease*Opex!M$8</f>
        <v/>
      </c>
      <c r="N25" s="25">
        <f>(om_kw*mwac*1000+ins_rate*$C$17+am_cost+prop_tax+misc_cost)*Opex!N$7+rent_acre*acres_lease*Opex!N$8</f>
        <v/>
      </c>
      <c r="O25" s="25">
        <f>(om_kw*mwac*1000+ins_rate*$C$17+am_cost+prop_tax+misc_cost)*Opex!O$7+rent_acre*acres_lease*Opex!O$8</f>
        <v/>
      </c>
      <c r="P25" s="25">
        <f>(om_kw*mwac*1000+ins_rate*$C$17+am_cost+prop_tax+misc_cost)*Opex!P$7+rent_acre*acres_lease*Opex!P$8</f>
        <v/>
      </c>
      <c r="Q25" s="25">
        <f>(om_kw*mwac*1000+ins_rate*$C$17+am_cost+prop_tax+misc_cost)*Opex!Q$7+rent_acre*acres_lease*Opex!Q$8</f>
        <v/>
      </c>
      <c r="R25" s="25">
        <f>(om_kw*mwac*1000+ins_rate*$C$17+am_cost+prop_tax+misc_cost)*Opex!R$7+rent_acre*acres_lease*Opex!R$8</f>
        <v/>
      </c>
      <c r="S25" s="25">
        <f>(om_kw*mwac*1000+ins_rate*$C$17+am_cost+prop_tax+misc_cost)*Opex!S$7+rent_acre*acres_lease*Opex!S$8</f>
        <v/>
      </c>
      <c r="T25" s="25">
        <f>(om_kw*mwac*1000+ins_rate*$C$17+am_cost+prop_tax+misc_cost)*Opex!T$7+rent_acre*acres_lease*Opex!T$8</f>
        <v/>
      </c>
      <c r="U25" s="25">
        <f>(om_kw*mwac*1000+ins_rate*$C$17+am_cost+prop_tax+misc_cost)*Opex!U$7+rent_acre*acres_lease*Opex!U$8</f>
        <v/>
      </c>
      <c r="V25" s="25">
        <f>(om_kw*mwac*1000+ins_rate*$C$17+am_cost+prop_tax+misc_cost)*Opex!V$7+rent_acre*acres_lease*Opex!V$8</f>
        <v/>
      </c>
      <c r="W25" s="25">
        <f>(om_kw*mwac*1000+ins_rate*$C$17+am_cost+prop_tax+misc_cost)*Opex!W$7+rent_acre*acres_lease*Opex!W$8</f>
        <v/>
      </c>
      <c r="X25" s="25">
        <f>(om_kw*mwac*1000+ins_rate*$C$17+am_cost+prop_tax+misc_cost)*Opex!X$7+rent_acre*acres_lease*Opex!X$8</f>
        <v/>
      </c>
      <c r="Y25" s="25">
        <f>(om_kw*mwac*1000+ins_rate*$C$17+am_cost+prop_tax+misc_cost)*Opex!Y$7+rent_acre*acres_lease*Opex!Y$8</f>
        <v/>
      </c>
      <c r="Z25" s="25">
        <f>(om_kw*mwac*1000+ins_rate*$C$17+am_cost+prop_tax+misc_cost)*Opex!Z$7+rent_acre*acres_lease*Opex!Z$8</f>
        <v/>
      </c>
      <c r="AA25" s="25">
        <f>(om_kw*mwac*1000+ins_rate*$C$17+am_cost+prop_tax+misc_cost)*Opex!AA$7+rent_acre*acres_lease*Opex!AA$8</f>
        <v/>
      </c>
      <c r="AB25" s="25">
        <f>(om_kw*mwac*1000+ins_rate*$C$17+am_cost+prop_tax+misc_cost)*Opex!AB$7+rent_acre*acres_lease*Opex!AB$8</f>
        <v/>
      </c>
      <c r="AC25" s="25">
        <f>(om_kw*mwac*1000+ins_rate*$C$17+am_cost+prop_tax+misc_cost)*Opex!AC$7+rent_acre*acres_lease*Opex!AC$8</f>
        <v/>
      </c>
      <c r="AD25" s="25">
        <f>(om_kw*mwac*1000+ins_rate*$C$17+am_cost+prop_tax+misc_cost)*Opex!AD$7+rent_acre*acres_lease*Opex!AD$8</f>
        <v/>
      </c>
      <c r="AE25" s="25">
        <f>(om_kw*mwac*1000+ins_rate*$C$17+am_cost+prop_tax+misc_cost)*Opex!AE$7+rent_acre*acres_lease*Opex!AE$8</f>
        <v/>
      </c>
      <c r="AF25" s="25">
        <f>(om_kw*mwac*1000+ins_rate*$C$17+am_cost+prop_tax+misc_cost)*Opex!AF$7+rent_acre*acres_lease*Opex!AF$8</f>
        <v/>
      </c>
      <c r="AG25" s="25">
        <f>(om_kw*mwac*1000+ins_rate*$C$17+am_cost+prop_tax+misc_cost)*Opex!AG$7+rent_acre*acres_lease*Opex!AG$8</f>
        <v/>
      </c>
      <c r="AH25" s="25">
        <f>(om_kw*mwac*1000+ins_rate*$C$17+am_cost+prop_tax+misc_cost)*Opex!AH$7+rent_acre*acres_lease*Opex!AH$8</f>
        <v/>
      </c>
      <c r="AI25" s="25">
        <f>(om_kw*mwac*1000+ins_rate*$C$17+am_cost+prop_tax+misc_cost)*Opex!AI$7+rent_acre*acres_lease*Opex!AI$8</f>
        <v/>
      </c>
      <c r="AJ25" s="25">
        <f>(om_kw*mwac*1000+ins_rate*$C$17+am_cost+prop_tax+misc_cost)*Opex!AJ$7+rent_acre*acres_lease*Opex!AJ$8</f>
        <v/>
      </c>
      <c r="AK25" s="25">
        <f>(om_kw*mwac*1000+ins_rate*$C$17+am_cost+prop_tax+misc_cost)*Opex!AK$7+rent_acre*acres_lease*Opex!AK$8</f>
        <v/>
      </c>
      <c r="AL25" s="25">
        <f>(om_kw*mwac*1000+ins_rate*$C$17+am_cost+prop_tax+misc_cost)*Opex!AL$7+rent_acre*acres_lease*Opex!AL$8</f>
        <v/>
      </c>
    </row>
    <row r="26">
      <c r="B26" s="7" t="inlineStr">
        <is>
          <t>Credit cash ($)</t>
        </is>
      </c>
      <c r="D26" s="25">
        <f>IF(sw_credit="PTC",IF(D$5&lt;ptc_years,D20*Credits!D$8*(1+sw_bonus)*transfer_ptc,0),0)+IF(D$5=0,$C$19,0)</f>
        <v/>
      </c>
      <c r="E26" s="25">
        <f>IF(sw_credit="PTC",IF(E$5&lt;ptc_years,E20*Credits!E$8*(1+sw_bonus)*transfer_ptc,0),0)+IF(E$5=0,$C$19,0)</f>
        <v/>
      </c>
      <c r="F26" s="25">
        <f>IF(sw_credit="PTC",IF(F$5&lt;ptc_years,F20*Credits!F$8*(1+sw_bonus)*transfer_ptc,0),0)+IF(F$5=0,$C$19,0)</f>
        <v/>
      </c>
      <c r="G26" s="25">
        <f>IF(sw_credit="PTC",IF(G$5&lt;ptc_years,G20*Credits!G$8*(1+sw_bonus)*transfer_ptc,0),0)+IF(G$5=0,$C$19,0)</f>
        <v/>
      </c>
      <c r="H26" s="25">
        <f>IF(sw_credit="PTC",IF(H$5&lt;ptc_years,H20*Credits!H$8*(1+sw_bonus)*transfer_ptc,0),0)+IF(H$5=0,$C$19,0)</f>
        <v/>
      </c>
      <c r="I26" s="25">
        <f>IF(sw_credit="PTC",IF(I$5&lt;ptc_years,I20*Credits!I$8*(1+sw_bonus)*transfer_ptc,0),0)+IF(I$5=0,$C$19,0)</f>
        <v/>
      </c>
      <c r="J26" s="25">
        <f>IF(sw_credit="PTC",IF(J$5&lt;ptc_years,J20*Credits!J$8*(1+sw_bonus)*transfer_ptc,0),0)+IF(J$5=0,$C$19,0)</f>
        <v/>
      </c>
      <c r="K26" s="25">
        <f>IF(sw_credit="PTC",IF(K$5&lt;ptc_years,K20*Credits!K$8*(1+sw_bonus)*transfer_ptc,0),0)+IF(K$5=0,$C$19,0)</f>
        <v/>
      </c>
      <c r="L26" s="25">
        <f>IF(sw_credit="PTC",IF(L$5&lt;ptc_years,L20*Credits!L$8*(1+sw_bonus)*transfer_ptc,0),0)+IF(L$5=0,$C$19,0)</f>
        <v/>
      </c>
      <c r="M26" s="25">
        <f>IF(sw_credit="PTC",IF(M$5&lt;ptc_years,M20*Credits!M$8*(1+sw_bonus)*transfer_ptc,0),0)+IF(M$5=0,$C$19,0)</f>
        <v/>
      </c>
      <c r="N26" s="25">
        <f>IF(sw_credit="PTC",IF(N$5&lt;ptc_years,N20*Credits!N$8*(1+sw_bonus)*transfer_ptc,0),0)+IF(N$5=0,$C$19,0)</f>
        <v/>
      </c>
      <c r="O26" s="25">
        <f>IF(sw_credit="PTC",IF(O$5&lt;ptc_years,O20*Credits!O$8*(1+sw_bonus)*transfer_ptc,0),0)+IF(O$5=0,$C$19,0)</f>
        <v/>
      </c>
      <c r="P26" s="25">
        <f>IF(sw_credit="PTC",IF(P$5&lt;ptc_years,P20*Credits!P$8*(1+sw_bonus)*transfer_ptc,0),0)+IF(P$5=0,$C$19,0)</f>
        <v/>
      </c>
      <c r="Q26" s="25">
        <f>IF(sw_credit="PTC",IF(Q$5&lt;ptc_years,Q20*Credits!Q$8*(1+sw_bonus)*transfer_ptc,0),0)+IF(Q$5=0,$C$19,0)</f>
        <v/>
      </c>
      <c r="R26" s="25">
        <f>IF(sw_credit="PTC",IF(R$5&lt;ptc_years,R20*Credits!R$8*(1+sw_bonus)*transfer_ptc,0),0)+IF(R$5=0,$C$19,0)</f>
        <v/>
      </c>
      <c r="S26" s="25">
        <f>IF(sw_credit="PTC",IF(S$5&lt;ptc_years,S20*Credits!S$8*(1+sw_bonus)*transfer_ptc,0),0)+IF(S$5=0,$C$19,0)</f>
        <v/>
      </c>
      <c r="T26" s="25">
        <f>IF(sw_credit="PTC",IF(T$5&lt;ptc_years,T20*Credits!T$8*(1+sw_bonus)*transfer_ptc,0),0)+IF(T$5=0,$C$19,0)</f>
        <v/>
      </c>
      <c r="U26" s="25">
        <f>IF(sw_credit="PTC",IF(U$5&lt;ptc_years,U20*Credits!U$8*(1+sw_bonus)*transfer_ptc,0),0)+IF(U$5=0,$C$19,0)</f>
        <v/>
      </c>
      <c r="V26" s="25">
        <f>IF(sw_credit="PTC",IF(V$5&lt;ptc_years,V20*Credits!V$8*(1+sw_bonus)*transfer_ptc,0),0)+IF(V$5=0,$C$19,0)</f>
        <v/>
      </c>
      <c r="W26" s="25">
        <f>IF(sw_credit="PTC",IF(W$5&lt;ptc_years,W20*Credits!W$8*(1+sw_bonus)*transfer_ptc,0),0)+IF(W$5=0,$C$19,0)</f>
        <v/>
      </c>
      <c r="X26" s="25">
        <f>IF(sw_credit="PTC",IF(X$5&lt;ptc_years,X20*Credits!X$8*(1+sw_bonus)*transfer_ptc,0),0)+IF(X$5=0,$C$19,0)</f>
        <v/>
      </c>
      <c r="Y26" s="25">
        <f>IF(sw_credit="PTC",IF(Y$5&lt;ptc_years,Y20*Credits!Y$8*(1+sw_bonus)*transfer_ptc,0),0)+IF(Y$5=0,$C$19,0)</f>
        <v/>
      </c>
      <c r="Z26" s="25">
        <f>IF(sw_credit="PTC",IF(Z$5&lt;ptc_years,Z20*Credits!Z$8*(1+sw_bonus)*transfer_ptc,0),0)+IF(Z$5=0,$C$19,0)</f>
        <v/>
      </c>
      <c r="AA26" s="25">
        <f>IF(sw_credit="PTC",IF(AA$5&lt;ptc_years,AA20*Credits!AA$8*(1+sw_bonus)*transfer_ptc,0),0)+IF(AA$5=0,$C$19,0)</f>
        <v/>
      </c>
      <c r="AB26" s="25">
        <f>IF(sw_credit="PTC",IF(AB$5&lt;ptc_years,AB20*Credits!AB$8*(1+sw_bonus)*transfer_ptc,0),0)+IF(AB$5=0,$C$19,0)</f>
        <v/>
      </c>
      <c r="AC26" s="25">
        <f>IF(sw_credit="PTC",IF(AC$5&lt;ptc_years,AC20*Credits!AC$8*(1+sw_bonus)*transfer_ptc,0),0)+IF(AC$5=0,$C$19,0)</f>
        <v/>
      </c>
      <c r="AD26" s="25">
        <f>IF(sw_credit="PTC",IF(AD$5&lt;ptc_years,AD20*Credits!AD$8*(1+sw_bonus)*transfer_ptc,0),0)+IF(AD$5=0,$C$19,0)</f>
        <v/>
      </c>
      <c r="AE26" s="25">
        <f>IF(sw_credit="PTC",IF(AE$5&lt;ptc_years,AE20*Credits!AE$8*(1+sw_bonus)*transfer_ptc,0),0)+IF(AE$5=0,$C$19,0)</f>
        <v/>
      </c>
      <c r="AF26" s="25">
        <f>IF(sw_credit="PTC",IF(AF$5&lt;ptc_years,AF20*Credits!AF$8*(1+sw_bonus)*transfer_ptc,0),0)+IF(AF$5=0,$C$19,0)</f>
        <v/>
      </c>
      <c r="AG26" s="25">
        <f>IF(sw_credit="PTC",IF(AG$5&lt;ptc_years,AG20*Credits!AG$8*(1+sw_bonus)*transfer_ptc,0),0)+IF(AG$5=0,$C$19,0)</f>
        <v/>
      </c>
      <c r="AH26" s="25">
        <f>IF(sw_credit="PTC",IF(AH$5&lt;ptc_years,AH20*Credits!AH$8*(1+sw_bonus)*transfer_ptc,0),0)+IF(AH$5=0,$C$19,0)</f>
        <v/>
      </c>
      <c r="AI26" s="25">
        <f>IF(sw_credit="PTC",IF(AI$5&lt;ptc_years,AI20*Credits!AI$8*(1+sw_bonus)*transfer_ptc,0),0)+IF(AI$5=0,$C$19,0)</f>
        <v/>
      </c>
      <c r="AJ26" s="25">
        <f>IF(sw_credit="PTC",IF(AJ$5&lt;ptc_years,AJ20*Credits!AJ$8*(1+sw_bonus)*transfer_ptc,0),0)+IF(AJ$5=0,$C$19,0)</f>
        <v/>
      </c>
      <c r="AK26" s="25">
        <f>IF(sw_credit="PTC",IF(AK$5&lt;ptc_years,AK20*Credits!AK$8*(1+sw_bonus)*transfer_ptc,0),0)+IF(AK$5=0,$C$19,0)</f>
        <v/>
      </c>
      <c r="AL26" s="25">
        <f>IF(sw_credit="PTC",IF(AL$5&lt;ptc_years,AL20*Credits!AL$8*(1+sw_bonus)*transfer_ptc,0),0)+IF(AL$5=0,$C$19,0)</f>
        <v/>
      </c>
    </row>
    <row r="27">
      <c r="B27" s="14" t="inlineStr">
        <is>
          <t>EBITDA ($)</t>
        </is>
      </c>
      <c r="D27" s="26">
        <f>D22+D23-D24-D25</f>
        <v/>
      </c>
      <c r="E27" s="26">
        <f>E22+E23-E24-E25</f>
        <v/>
      </c>
      <c r="F27" s="26">
        <f>F22+F23-F24-F25</f>
        <v/>
      </c>
      <c r="G27" s="26">
        <f>G22+G23-G24-G25</f>
        <v/>
      </c>
      <c r="H27" s="26">
        <f>H22+H23-H24-H25</f>
        <v/>
      </c>
      <c r="I27" s="26">
        <f>I22+I23-I24-I25</f>
        <v/>
      </c>
      <c r="J27" s="26">
        <f>J22+J23-J24-J25</f>
        <v/>
      </c>
      <c r="K27" s="26">
        <f>K22+K23-K24-K25</f>
        <v/>
      </c>
      <c r="L27" s="26">
        <f>L22+L23-L24-L25</f>
        <v/>
      </c>
      <c r="M27" s="26">
        <f>M22+M23-M24-M25</f>
        <v/>
      </c>
      <c r="N27" s="26">
        <f>N22+N23-N24-N25</f>
        <v/>
      </c>
      <c r="O27" s="26">
        <f>O22+O23-O24-O25</f>
        <v/>
      </c>
      <c r="P27" s="26">
        <f>P22+P23-P24-P25</f>
        <v/>
      </c>
      <c r="Q27" s="26">
        <f>Q22+Q23-Q24-Q25</f>
        <v/>
      </c>
      <c r="R27" s="26">
        <f>R22+R23-R24-R25</f>
        <v/>
      </c>
      <c r="S27" s="26">
        <f>S22+S23-S24-S25</f>
        <v/>
      </c>
      <c r="T27" s="26">
        <f>T22+T23-T24-T25</f>
        <v/>
      </c>
      <c r="U27" s="26">
        <f>U22+U23-U24-U25</f>
        <v/>
      </c>
      <c r="V27" s="26">
        <f>V22+V23-V24-V25</f>
        <v/>
      </c>
      <c r="W27" s="26">
        <f>W22+W23-W24-W25</f>
        <v/>
      </c>
      <c r="X27" s="26">
        <f>X22+X23-X24-X25</f>
        <v/>
      </c>
      <c r="Y27" s="26">
        <f>Y22+Y23-Y24-Y25</f>
        <v/>
      </c>
      <c r="Z27" s="26">
        <f>Z22+Z23-Z24-Z25</f>
        <v/>
      </c>
      <c r="AA27" s="26">
        <f>AA22+AA23-AA24-AA25</f>
        <v/>
      </c>
      <c r="AB27" s="26">
        <f>AB22+AB23-AB24-AB25</f>
        <v/>
      </c>
      <c r="AC27" s="26">
        <f>AC22+AC23-AC24-AC25</f>
        <v/>
      </c>
      <c r="AD27" s="26">
        <f>AD22+AD23-AD24-AD25</f>
        <v/>
      </c>
      <c r="AE27" s="26">
        <f>AE22+AE23-AE24-AE25</f>
        <v/>
      </c>
      <c r="AF27" s="26">
        <f>AF22+AF23-AF24-AF25</f>
        <v/>
      </c>
      <c r="AG27" s="26">
        <f>AG22+AG23-AG24-AG25</f>
        <v/>
      </c>
      <c r="AH27" s="26">
        <f>AH22+AH23-AH24-AH25</f>
        <v/>
      </c>
      <c r="AI27" s="26">
        <f>AI22+AI23-AI24-AI25</f>
        <v/>
      </c>
      <c r="AJ27" s="26">
        <f>AJ22+AJ23-AJ24-AJ25</f>
        <v/>
      </c>
      <c r="AK27" s="26">
        <f>AK22+AK23-AK24-AK25</f>
        <v/>
      </c>
      <c r="AL27" s="26">
        <f>AL22+AL23-AL24-AL25</f>
        <v/>
      </c>
    </row>
    <row r="28">
      <c r="B28" s="7" t="inlineStr">
        <is>
          <t>Discount factor to 1 January 2027, contracted rate</t>
        </is>
      </c>
      <c r="D28" s="22">
        <f>1/(1+x_rc)^(D$5+2)</f>
        <v/>
      </c>
      <c r="E28" s="22">
        <f>1/(1+x_rc)^(E$5+2)</f>
        <v/>
      </c>
      <c r="F28" s="22">
        <f>1/(1+x_rc)^(F$5+2)</f>
        <v/>
      </c>
      <c r="G28" s="22">
        <f>1/(1+x_rc)^(G$5+2)</f>
        <v/>
      </c>
      <c r="H28" s="22">
        <f>1/(1+x_rc)^(H$5+2)</f>
        <v/>
      </c>
      <c r="I28" s="22">
        <f>1/(1+x_rc)^(I$5+2)</f>
        <v/>
      </c>
      <c r="J28" s="22">
        <f>1/(1+x_rc)^(J$5+2)</f>
        <v/>
      </c>
      <c r="K28" s="22">
        <f>1/(1+x_rc)^(K$5+2)</f>
        <v/>
      </c>
      <c r="L28" s="22">
        <f>1/(1+x_rc)^(L$5+2)</f>
        <v/>
      </c>
      <c r="M28" s="22">
        <f>1/(1+x_rc)^(M$5+2)</f>
        <v/>
      </c>
      <c r="N28" s="22">
        <f>1/(1+x_rc)^(N$5+2)</f>
        <v/>
      </c>
      <c r="O28" s="22">
        <f>1/(1+x_rc)^(O$5+2)</f>
        <v/>
      </c>
      <c r="P28" s="22">
        <f>1/(1+x_rc)^(P$5+2)</f>
        <v/>
      </c>
      <c r="Q28" s="22">
        <f>1/(1+x_rc)^(Q$5+2)</f>
        <v/>
      </c>
      <c r="R28" s="22">
        <f>1/(1+x_rc)^(R$5+2)</f>
        <v/>
      </c>
      <c r="S28" s="22">
        <f>1/(1+x_rc)^(S$5+2)</f>
        <v/>
      </c>
      <c r="T28" s="22">
        <f>1/(1+x_rc)^(T$5+2)</f>
        <v/>
      </c>
      <c r="U28" s="22">
        <f>1/(1+x_rc)^(U$5+2)</f>
        <v/>
      </c>
      <c r="V28" s="22">
        <f>1/(1+x_rc)^(V$5+2)</f>
        <v/>
      </c>
      <c r="W28" s="22">
        <f>1/(1+x_rc)^(W$5+2)</f>
        <v/>
      </c>
      <c r="X28" s="22">
        <f>1/(1+x_rc)^(X$5+2)</f>
        <v/>
      </c>
      <c r="Y28" s="22">
        <f>1/(1+x_rc)^(Y$5+2)</f>
        <v/>
      </c>
      <c r="Z28" s="22">
        <f>1/(1+x_rc)^(Z$5+2)</f>
        <v/>
      </c>
      <c r="AA28" s="22">
        <f>1/(1+x_rc)^(AA$5+2)</f>
        <v/>
      </c>
      <c r="AB28" s="22">
        <f>1/(1+x_rc)^(AB$5+2)</f>
        <v/>
      </c>
      <c r="AC28" s="22">
        <f>1/(1+x_rc)^(AC$5+2)</f>
        <v/>
      </c>
      <c r="AD28" s="22">
        <f>1/(1+x_rc)^(AD$5+2)</f>
        <v/>
      </c>
      <c r="AE28" s="22">
        <f>1/(1+x_rc)^(AE$5+2)</f>
        <v/>
      </c>
      <c r="AF28" s="22">
        <f>1/(1+x_rc)^(AF$5+2)</f>
        <v/>
      </c>
      <c r="AG28" s="22">
        <f>1/(1+x_rc)^(AG$5+2)</f>
        <v/>
      </c>
      <c r="AH28" s="22">
        <f>1/(1+x_rc)^(AH$5+2)</f>
        <v/>
      </c>
      <c r="AI28" s="22">
        <f>1/(1+x_rc)^(AI$5+2)</f>
        <v/>
      </c>
      <c r="AJ28" s="22">
        <f>1/(1+x_rc)^(AJ$5+2)</f>
        <v/>
      </c>
      <c r="AK28" s="22">
        <f>1/(1+x_rc)^(AK$5+2)</f>
        <v/>
      </c>
      <c r="AL28" s="22">
        <f>1/(1+x_rc)^(AL$5+2)</f>
        <v/>
      </c>
    </row>
    <row r="29">
      <c r="B29" s="7" t="inlineStr">
        <is>
          <t>Discount factor to 1 January 2027, merchant rate</t>
        </is>
      </c>
      <c r="D29" s="22">
        <f>1/(1+x_rm)^(D$5+2)</f>
        <v/>
      </c>
      <c r="E29" s="22">
        <f>1/(1+x_rm)^(E$5+2)</f>
        <v/>
      </c>
      <c r="F29" s="22">
        <f>1/(1+x_rm)^(F$5+2)</f>
        <v/>
      </c>
      <c r="G29" s="22">
        <f>1/(1+x_rm)^(G$5+2)</f>
        <v/>
      </c>
      <c r="H29" s="22">
        <f>1/(1+x_rm)^(H$5+2)</f>
        <v/>
      </c>
      <c r="I29" s="22">
        <f>1/(1+x_rm)^(I$5+2)</f>
        <v/>
      </c>
      <c r="J29" s="22">
        <f>1/(1+x_rm)^(J$5+2)</f>
        <v/>
      </c>
      <c r="K29" s="22">
        <f>1/(1+x_rm)^(K$5+2)</f>
        <v/>
      </c>
      <c r="L29" s="22">
        <f>1/(1+x_rm)^(L$5+2)</f>
        <v/>
      </c>
      <c r="M29" s="22">
        <f>1/(1+x_rm)^(M$5+2)</f>
        <v/>
      </c>
      <c r="N29" s="22">
        <f>1/(1+x_rm)^(N$5+2)</f>
        <v/>
      </c>
      <c r="O29" s="22">
        <f>1/(1+x_rm)^(O$5+2)</f>
        <v/>
      </c>
      <c r="P29" s="22">
        <f>1/(1+x_rm)^(P$5+2)</f>
        <v/>
      </c>
      <c r="Q29" s="22">
        <f>1/(1+x_rm)^(Q$5+2)</f>
        <v/>
      </c>
      <c r="R29" s="22">
        <f>1/(1+x_rm)^(R$5+2)</f>
        <v/>
      </c>
      <c r="S29" s="22">
        <f>1/(1+x_rm)^(S$5+2)</f>
        <v/>
      </c>
      <c r="T29" s="22">
        <f>1/(1+x_rm)^(T$5+2)</f>
        <v/>
      </c>
      <c r="U29" s="22">
        <f>1/(1+x_rm)^(U$5+2)</f>
        <v/>
      </c>
      <c r="V29" s="22">
        <f>1/(1+x_rm)^(V$5+2)</f>
        <v/>
      </c>
      <c r="W29" s="22">
        <f>1/(1+x_rm)^(W$5+2)</f>
        <v/>
      </c>
      <c r="X29" s="22">
        <f>1/(1+x_rm)^(X$5+2)</f>
        <v/>
      </c>
      <c r="Y29" s="22">
        <f>1/(1+x_rm)^(Y$5+2)</f>
        <v/>
      </c>
      <c r="Z29" s="22">
        <f>1/(1+x_rm)^(Z$5+2)</f>
        <v/>
      </c>
      <c r="AA29" s="22">
        <f>1/(1+x_rm)^(AA$5+2)</f>
        <v/>
      </c>
      <c r="AB29" s="22">
        <f>1/(1+x_rm)^(AB$5+2)</f>
        <v/>
      </c>
      <c r="AC29" s="22">
        <f>1/(1+x_rm)^(AC$5+2)</f>
        <v/>
      </c>
      <c r="AD29" s="22">
        <f>1/(1+x_rm)^(AD$5+2)</f>
        <v/>
      </c>
      <c r="AE29" s="22">
        <f>1/(1+x_rm)^(AE$5+2)</f>
        <v/>
      </c>
      <c r="AF29" s="22">
        <f>1/(1+x_rm)^(AF$5+2)</f>
        <v/>
      </c>
      <c r="AG29" s="22">
        <f>1/(1+x_rm)^(AG$5+2)</f>
        <v/>
      </c>
      <c r="AH29" s="22">
        <f>1/(1+x_rm)^(AH$5+2)</f>
        <v/>
      </c>
      <c r="AI29" s="22">
        <f>1/(1+x_rm)^(AI$5+2)</f>
        <v/>
      </c>
      <c r="AJ29" s="22">
        <f>1/(1+x_rm)^(AJ$5+2)</f>
        <v/>
      </c>
      <c r="AK29" s="22">
        <f>1/(1+x_rm)^(AK$5+2)</f>
        <v/>
      </c>
      <c r="AL29" s="22">
        <f>1/(1+x_rm)^(AL$5+2)</f>
        <v/>
      </c>
    </row>
    <row r="30">
      <c r="B30" s="14" t="inlineStr">
        <is>
          <t>Revenue: contracted + merchant - basis cost ($)</t>
        </is>
      </c>
      <c r="D30" s="26">
        <f>D22+D23-D24</f>
        <v/>
      </c>
      <c r="E30" s="26">
        <f>E22+E23-E24</f>
        <v/>
      </c>
      <c r="F30" s="26">
        <f>F22+F23-F24</f>
        <v/>
      </c>
      <c r="G30" s="26">
        <f>G22+G23-G24</f>
        <v/>
      </c>
      <c r="H30" s="26">
        <f>H22+H23-H24</f>
        <v/>
      </c>
      <c r="I30" s="26">
        <f>I22+I23-I24</f>
        <v/>
      </c>
      <c r="J30" s="26">
        <f>J22+J23-J24</f>
        <v/>
      </c>
      <c r="K30" s="26">
        <f>K22+K23-K24</f>
        <v/>
      </c>
      <c r="L30" s="26">
        <f>L22+L23-L24</f>
        <v/>
      </c>
      <c r="M30" s="26">
        <f>M22+M23-M24</f>
        <v/>
      </c>
      <c r="N30" s="26">
        <f>N22+N23-N24</f>
        <v/>
      </c>
      <c r="O30" s="26">
        <f>O22+O23-O24</f>
        <v/>
      </c>
      <c r="P30" s="26">
        <f>P22+P23-P24</f>
        <v/>
      </c>
      <c r="Q30" s="26">
        <f>Q22+Q23-Q24</f>
        <v/>
      </c>
      <c r="R30" s="26">
        <f>R22+R23-R24</f>
        <v/>
      </c>
      <c r="S30" s="26">
        <f>S22+S23-S24</f>
        <v/>
      </c>
      <c r="T30" s="26">
        <f>T22+T23-T24</f>
        <v/>
      </c>
      <c r="U30" s="26">
        <f>U22+U23-U24</f>
        <v/>
      </c>
      <c r="V30" s="26">
        <f>V22+V23-V24</f>
        <v/>
      </c>
      <c r="W30" s="26">
        <f>W22+W23-W24</f>
        <v/>
      </c>
      <c r="X30" s="26">
        <f>X22+X23-X24</f>
        <v/>
      </c>
      <c r="Y30" s="26">
        <f>Y22+Y23-Y24</f>
        <v/>
      </c>
      <c r="Z30" s="26">
        <f>Z22+Z23-Z24</f>
        <v/>
      </c>
      <c r="AA30" s="26">
        <f>AA22+AA23-AA24</f>
        <v/>
      </c>
      <c r="AB30" s="26">
        <f>AB22+AB23-AB24</f>
        <v/>
      </c>
      <c r="AC30" s="26">
        <f>AC22+AC23-AC24</f>
        <v/>
      </c>
      <c r="AD30" s="26">
        <f>AD22+AD23-AD24</f>
        <v/>
      </c>
      <c r="AE30" s="26">
        <f>AE22+AE23-AE24</f>
        <v/>
      </c>
      <c r="AF30" s="26">
        <f>AF22+AF23-AF24</f>
        <v/>
      </c>
      <c r="AG30" s="26">
        <f>AG22+AG23-AG24</f>
        <v/>
      </c>
      <c r="AH30" s="26">
        <f>AH22+AH23-AH24</f>
        <v/>
      </c>
      <c r="AI30" s="26">
        <f>AI22+AI23-AI24</f>
        <v/>
      </c>
      <c r="AJ30" s="26">
        <f>AJ22+AJ23-AJ24</f>
        <v/>
      </c>
      <c r="AK30" s="26">
        <f>AK22+AK23-AK24</f>
        <v/>
      </c>
      <c r="AL30" s="26">
        <f>AL22+AL23-AL24</f>
        <v/>
      </c>
    </row>
    <row r="31">
      <c r="B31" s="7" t="inlineStr">
        <is>
          <t>Discount factor to 1 January 2028, contracted rate</t>
        </is>
      </c>
      <c r="D31" s="22">
        <f>1/(1+x_rc)^(D$5+1)</f>
        <v/>
      </c>
      <c r="E31" s="22">
        <f>1/(1+x_rc)^(E$5+1)</f>
        <v/>
      </c>
      <c r="F31" s="22">
        <f>1/(1+x_rc)^(F$5+1)</f>
        <v/>
      </c>
      <c r="G31" s="22">
        <f>1/(1+x_rc)^(G$5+1)</f>
        <v/>
      </c>
      <c r="H31" s="22">
        <f>1/(1+x_rc)^(H$5+1)</f>
        <v/>
      </c>
      <c r="I31" s="22">
        <f>1/(1+x_rc)^(I$5+1)</f>
        <v/>
      </c>
      <c r="J31" s="22">
        <f>1/(1+x_rc)^(J$5+1)</f>
        <v/>
      </c>
      <c r="K31" s="22">
        <f>1/(1+x_rc)^(K$5+1)</f>
        <v/>
      </c>
      <c r="L31" s="22">
        <f>1/(1+x_rc)^(L$5+1)</f>
        <v/>
      </c>
      <c r="M31" s="22">
        <f>1/(1+x_rc)^(M$5+1)</f>
        <v/>
      </c>
      <c r="N31" s="22">
        <f>1/(1+x_rc)^(N$5+1)</f>
        <v/>
      </c>
      <c r="O31" s="22">
        <f>1/(1+x_rc)^(O$5+1)</f>
        <v/>
      </c>
      <c r="P31" s="22">
        <f>1/(1+x_rc)^(P$5+1)</f>
        <v/>
      </c>
      <c r="Q31" s="22">
        <f>1/(1+x_rc)^(Q$5+1)</f>
        <v/>
      </c>
      <c r="R31" s="22">
        <f>1/(1+x_rc)^(R$5+1)</f>
        <v/>
      </c>
      <c r="S31" s="22">
        <f>1/(1+x_rc)^(S$5+1)</f>
        <v/>
      </c>
      <c r="T31" s="22">
        <f>1/(1+x_rc)^(T$5+1)</f>
        <v/>
      </c>
      <c r="U31" s="22">
        <f>1/(1+x_rc)^(U$5+1)</f>
        <v/>
      </c>
      <c r="V31" s="22">
        <f>1/(1+x_rc)^(V$5+1)</f>
        <v/>
      </c>
      <c r="W31" s="22">
        <f>1/(1+x_rc)^(W$5+1)</f>
        <v/>
      </c>
      <c r="X31" s="22">
        <f>1/(1+x_rc)^(X$5+1)</f>
        <v/>
      </c>
      <c r="Y31" s="22">
        <f>1/(1+x_rc)^(Y$5+1)</f>
        <v/>
      </c>
      <c r="Z31" s="22">
        <f>1/(1+x_rc)^(Z$5+1)</f>
        <v/>
      </c>
      <c r="AA31" s="22">
        <f>1/(1+x_rc)^(AA$5+1)</f>
        <v/>
      </c>
      <c r="AB31" s="22">
        <f>1/(1+x_rc)^(AB$5+1)</f>
        <v/>
      </c>
      <c r="AC31" s="22">
        <f>1/(1+x_rc)^(AC$5+1)</f>
        <v/>
      </c>
      <c r="AD31" s="22">
        <f>1/(1+x_rc)^(AD$5+1)</f>
        <v/>
      </c>
      <c r="AE31" s="22">
        <f>1/(1+x_rc)^(AE$5+1)</f>
        <v/>
      </c>
      <c r="AF31" s="22">
        <f>1/(1+x_rc)^(AF$5+1)</f>
        <v/>
      </c>
      <c r="AG31" s="22">
        <f>1/(1+x_rc)^(AG$5+1)</f>
        <v/>
      </c>
      <c r="AH31" s="22">
        <f>1/(1+x_rc)^(AH$5+1)</f>
        <v/>
      </c>
      <c r="AI31" s="22">
        <f>1/(1+x_rc)^(AI$5+1)</f>
        <v/>
      </c>
      <c r="AJ31" s="22">
        <f>1/(1+x_rc)^(AJ$5+1)</f>
        <v/>
      </c>
      <c r="AK31" s="22">
        <f>1/(1+x_rc)^(AK$5+1)</f>
        <v/>
      </c>
      <c r="AL31" s="22">
        <f>1/(1+x_rc)^(AL$5+1)</f>
        <v/>
      </c>
    </row>
    <row r="32">
      <c r="B32" s="7" t="inlineStr">
        <is>
          <t>Discount factor to 1 January 2028, merchant rate</t>
        </is>
      </c>
      <c r="D32" s="22">
        <f>1/(1+x_rm)^(D$5+1)</f>
        <v/>
      </c>
      <c r="E32" s="22">
        <f>1/(1+x_rm)^(E$5+1)</f>
        <v/>
      </c>
      <c r="F32" s="22">
        <f>1/(1+x_rm)^(F$5+1)</f>
        <v/>
      </c>
      <c r="G32" s="22">
        <f>1/(1+x_rm)^(G$5+1)</f>
        <v/>
      </c>
      <c r="H32" s="22">
        <f>1/(1+x_rm)^(H$5+1)</f>
        <v/>
      </c>
      <c r="I32" s="22">
        <f>1/(1+x_rm)^(I$5+1)</f>
        <v/>
      </c>
      <c r="J32" s="22">
        <f>1/(1+x_rm)^(J$5+1)</f>
        <v/>
      </c>
      <c r="K32" s="22">
        <f>1/(1+x_rm)^(K$5+1)</f>
        <v/>
      </c>
      <c r="L32" s="22">
        <f>1/(1+x_rm)^(L$5+1)</f>
        <v/>
      </c>
      <c r="M32" s="22">
        <f>1/(1+x_rm)^(M$5+1)</f>
        <v/>
      </c>
      <c r="N32" s="22">
        <f>1/(1+x_rm)^(N$5+1)</f>
        <v/>
      </c>
      <c r="O32" s="22">
        <f>1/(1+x_rm)^(O$5+1)</f>
        <v/>
      </c>
      <c r="P32" s="22">
        <f>1/(1+x_rm)^(P$5+1)</f>
        <v/>
      </c>
      <c r="Q32" s="22">
        <f>1/(1+x_rm)^(Q$5+1)</f>
        <v/>
      </c>
      <c r="R32" s="22">
        <f>1/(1+x_rm)^(R$5+1)</f>
        <v/>
      </c>
      <c r="S32" s="22">
        <f>1/(1+x_rm)^(S$5+1)</f>
        <v/>
      </c>
      <c r="T32" s="22">
        <f>1/(1+x_rm)^(T$5+1)</f>
        <v/>
      </c>
      <c r="U32" s="22">
        <f>1/(1+x_rm)^(U$5+1)</f>
        <v/>
      </c>
      <c r="V32" s="22">
        <f>1/(1+x_rm)^(V$5+1)</f>
        <v/>
      </c>
      <c r="W32" s="22">
        <f>1/(1+x_rm)^(W$5+1)</f>
        <v/>
      </c>
      <c r="X32" s="22">
        <f>1/(1+x_rm)^(X$5+1)</f>
        <v/>
      </c>
      <c r="Y32" s="22">
        <f>1/(1+x_rm)^(Y$5+1)</f>
        <v/>
      </c>
      <c r="Z32" s="22">
        <f>1/(1+x_rm)^(Z$5+1)</f>
        <v/>
      </c>
      <c r="AA32" s="22">
        <f>1/(1+x_rm)^(AA$5+1)</f>
        <v/>
      </c>
      <c r="AB32" s="22">
        <f>1/(1+x_rm)^(AB$5+1)</f>
        <v/>
      </c>
      <c r="AC32" s="22">
        <f>1/(1+x_rm)^(AC$5+1)</f>
        <v/>
      </c>
      <c r="AD32" s="22">
        <f>1/(1+x_rm)^(AD$5+1)</f>
        <v/>
      </c>
      <c r="AE32" s="22">
        <f>1/(1+x_rm)^(AE$5+1)</f>
        <v/>
      </c>
      <c r="AF32" s="22">
        <f>1/(1+x_rm)^(AF$5+1)</f>
        <v/>
      </c>
      <c r="AG32" s="22">
        <f>1/(1+x_rm)^(AG$5+1)</f>
        <v/>
      </c>
      <c r="AH32" s="22">
        <f>1/(1+x_rm)^(AH$5+1)</f>
        <v/>
      </c>
      <c r="AI32" s="22">
        <f>1/(1+x_rm)^(AI$5+1)</f>
        <v/>
      </c>
      <c r="AJ32" s="22">
        <f>1/(1+x_rm)^(AJ$5+1)</f>
        <v/>
      </c>
      <c r="AK32" s="22">
        <f>1/(1+x_rm)^(AK$5+1)</f>
        <v/>
      </c>
      <c r="AL32" s="22">
        <f>1/(1+x_rm)^(AL$5+1)</f>
        <v/>
      </c>
    </row>
    <row r="33">
      <c r="B33" s="7" t="inlineStr">
        <is>
          <t>Discount factor to the later sale date, contracted rate</t>
        </is>
      </c>
      <c r="D33" s="22">
        <f>IF(D$4&gt;=sale_year,1/(1+x_rc)^(D$4-sale_year+1),0)</f>
        <v/>
      </c>
      <c r="E33" s="22">
        <f>IF(E$4&gt;=sale_year,1/(1+x_rc)^(E$4-sale_year+1),0)</f>
        <v/>
      </c>
      <c r="F33" s="22">
        <f>IF(F$4&gt;=sale_year,1/(1+x_rc)^(F$4-sale_year+1),0)</f>
        <v/>
      </c>
      <c r="G33" s="22">
        <f>IF(G$4&gt;=sale_year,1/(1+x_rc)^(G$4-sale_year+1),0)</f>
        <v/>
      </c>
      <c r="H33" s="22">
        <f>IF(H$4&gt;=sale_year,1/(1+x_rc)^(H$4-sale_year+1),0)</f>
        <v/>
      </c>
      <c r="I33" s="22">
        <f>IF(I$4&gt;=sale_year,1/(1+x_rc)^(I$4-sale_year+1),0)</f>
        <v/>
      </c>
      <c r="J33" s="22">
        <f>IF(J$4&gt;=sale_year,1/(1+x_rc)^(J$4-sale_year+1),0)</f>
        <v/>
      </c>
      <c r="K33" s="22">
        <f>IF(K$4&gt;=sale_year,1/(1+x_rc)^(K$4-sale_year+1),0)</f>
        <v/>
      </c>
      <c r="L33" s="22">
        <f>IF(L$4&gt;=sale_year,1/(1+x_rc)^(L$4-sale_year+1),0)</f>
        <v/>
      </c>
      <c r="M33" s="22">
        <f>IF(M$4&gt;=sale_year,1/(1+x_rc)^(M$4-sale_year+1),0)</f>
        <v/>
      </c>
      <c r="N33" s="22">
        <f>IF(N$4&gt;=sale_year,1/(1+x_rc)^(N$4-sale_year+1),0)</f>
        <v/>
      </c>
      <c r="O33" s="22">
        <f>IF(O$4&gt;=sale_year,1/(1+x_rc)^(O$4-sale_year+1),0)</f>
        <v/>
      </c>
      <c r="P33" s="22">
        <f>IF(P$4&gt;=sale_year,1/(1+x_rc)^(P$4-sale_year+1),0)</f>
        <v/>
      </c>
      <c r="Q33" s="22">
        <f>IF(Q$4&gt;=sale_year,1/(1+x_rc)^(Q$4-sale_year+1),0)</f>
        <v/>
      </c>
      <c r="R33" s="22">
        <f>IF(R$4&gt;=sale_year,1/(1+x_rc)^(R$4-sale_year+1),0)</f>
        <v/>
      </c>
      <c r="S33" s="22">
        <f>IF(S$4&gt;=sale_year,1/(1+x_rc)^(S$4-sale_year+1),0)</f>
        <v/>
      </c>
      <c r="T33" s="22">
        <f>IF(T$4&gt;=sale_year,1/(1+x_rc)^(T$4-sale_year+1),0)</f>
        <v/>
      </c>
      <c r="U33" s="22">
        <f>IF(U$4&gt;=sale_year,1/(1+x_rc)^(U$4-sale_year+1),0)</f>
        <v/>
      </c>
      <c r="V33" s="22">
        <f>IF(V$4&gt;=sale_year,1/(1+x_rc)^(V$4-sale_year+1),0)</f>
        <v/>
      </c>
      <c r="W33" s="22">
        <f>IF(W$4&gt;=sale_year,1/(1+x_rc)^(W$4-sale_year+1),0)</f>
        <v/>
      </c>
      <c r="X33" s="22">
        <f>IF(X$4&gt;=sale_year,1/(1+x_rc)^(X$4-sale_year+1),0)</f>
        <v/>
      </c>
      <c r="Y33" s="22">
        <f>IF(Y$4&gt;=sale_year,1/(1+x_rc)^(Y$4-sale_year+1),0)</f>
        <v/>
      </c>
      <c r="Z33" s="22">
        <f>IF(Z$4&gt;=sale_year,1/(1+x_rc)^(Z$4-sale_year+1),0)</f>
        <v/>
      </c>
      <c r="AA33" s="22">
        <f>IF(AA$4&gt;=sale_year,1/(1+x_rc)^(AA$4-sale_year+1),0)</f>
        <v/>
      </c>
      <c r="AB33" s="22">
        <f>IF(AB$4&gt;=sale_year,1/(1+x_rc)^(AB$4-sale_year+1),0)</f>
        <v/>
      </c>
      <c r="AC33" s="22">
        <f>IF(AC$4&gt;=sale_year,1/(1+x_rc)^(AC$4-sale_year+1),0)</f>
        <v/>
      </c>
      <c r="AD33" s="22">
        <f>IF(AD$4&gt;=sale_year,1/(1+x_rc)^(AD$4-sale_year+1),0)</f>
        <v/>
      </c>
      <c r="AE33" s="22">
        <f>IF(AE$4&gt;=sale_year,1/(1+x_rc)^(AE$4-sale_year+1),0)</f>
        <v/>
      </c>
      <c r="AF33" s="22">
        <f>IF(AF$4&gt;=sale_year,1/(1+x_rc)^(AF$4-sale_year+1),0)</f>
        <v/>
      </c>
      <c r="AG33" s="22">
        <f>IF(AG$4&gt;=sale_year,1/(1+x_rc)^(AG$4-sale_year+1),0)</f>
        <v/>
      </c>
      <c r="AH33" s="22">
        <f>IF(AH$4&gt;=sale_year,1/(1+x_rc)^(AH$4-sale_year+1),0)</f>
        <v/>
      </c>
      <c r="AI33" s="22">
        <f>IF(AI$4&gt;=sale_year,1/(1+x_rc)^(AI$4-sale_year+1),0)</f>
        <v/>
      </c>
      <c r="AJ33" s="22">
        <f>IF(AJ$4&gt;=sale_year,1/(1+x_rc)^(AJ$4-sale_year+1),0)</f>
        <v/>
      </c>
      <c r="AK33" s="22">
        <f>IF(AK$4&gt;=sale_year,1/(1+x_rc)^(AK$4-sale_year+1),0)</f>
        <v/>
      </c>
      <c r="AL33" s="22">
        <f>IF(AL$4&gt;=sale_year,1/(1+x_rc)^(AL$4-sale_year+1),0)</f>
        <v/>
      </c>
    </row>
    <row r="34">
      <c r="B34" s="7" t="inlineStr">
        <is>
          <t>Discount factor to the later sale date, merchant rate</t>
        </is>
      </c>
      <c r="D34" s="22">
        <f>IF(D$4&gt;=sale_year,1/(1+x_rm)^(D$4-sale_year+1),0)</f>
        <v/>
      </c>
      <c r="E34" s="22">
        <f>IF(E$4&gt;=sale_year,1/(1+x_rm)^(E$4-sale_year+1),0)</f>
        <v/>
      </c>
      <c r="F34" s="22">
        <f>IF(F$4&gt;=sale_year,1/(1+x_rm)^(F$4-sale_year+1),0)</f>
        <v/>
      </c>
      <c r="G34" s="22">
        <f>IF(G$4&gt;=sale_year,1/(1+x_rm)^(G$4-sale_year+1),0)</f>
        <v/>
      </c>
      <c r="H34" s="22">
        <f>IF(H$4&gt;=sale_year,1/(1+x_rm)^(H$4-sale_year+1),0)</f>
        <v/>
      </c>
      <c r="I34" s="22">
        <f>IF(I$4&gt;=sale_year,1/(1+x_rm)^(I$4-sale_year+1),0)</f>
        <v/>
      </c>
      <c r="J34" s="22">
        <f>IF(J$4&gt;=sale_year,1/(1+x_rm)^(J$4-sale_year+1),0)</f>
        <v/>
      </c>
      <c r="K34" s="22">
        <f>IF(K$4&gt;=sale_year,1/(1+x_rm)^(K$4-sale_year+1),0)</f>
        <v/>
      </c>
      <c r="L34" s="22">
        <f>IF(L$4&gt;=sale_year,1/(1+x_rm)^(L$4-sale_year+1),0)</f>
        <v/>
      </c>
      <c r="M34" s="22">
        <f>IF(M$4&gt;=sale_year,1/(1+x_rm)^(M$4-sale_year+1),0)</f>
        <v/>
      </c>
      <c r="N34" s="22">
        <f>IF(N$4&gt;=sale_year,1/(1+x_rm)^(N$4-sale_year+1),0)</f>
        <v/>
      </c>
      <c r="O34" s="22">
        <f>IF(O$4&gt;=sale_year,1/(1+x_rm)^(O$4-sale_year+1),0)</f>
        <v/>
      </c>
      <c r="P34" s="22">
        <f>IF(P$4&gt;=sale_year,1/(1+x_rm)^(P$4-sale_year+1),0)</f>
        <v/>
      </c>
      <c r="Q34" s="22">
        <f>IF(Q$4&gt;=sale_year,1/(1+x_rm)^(Q$4-sale_year+1),0)</f>
        <v/>
      </c>
      <c r="R34" s="22">
        <f>IF(R$4&gt;=sale_year,1/(1+x_rm)^(R$4-sale_year+1),0)</f>
        <v/>
      </c>
      <c r="S34" s="22">
        <f>IF(S$4&gt;=sale_year,1/(1+x_rm)^(S$4-sale_year+1),0)</f>
        <v/>
      </c>
      <c r="T34" s="22">
        <f>IF(T$4&gt;=sale_year,1/(1+x_rm)^(T$4-sale_year+1),0)</f>
        <v/>
      </c>
      <c r="U34" s="22">
        <f>IF(U$4&gt;=sale_year,1/(1+x_rm)^(U$4-sale_year+1),0)</f>
        <v/>
      </c>
      <c r="V34" s="22">
        <f>IF(V$4&gt;=sale_year,1/(1+x_rm)^(V$4-sale_year+1),0)</f>
        <v/>
      </c>
      <c r="W34" s="22">
        <f>IF(W$4&gt;=sale_year,1/(1+x_rm)^(W$4-sale_year+1),0)</f>
        <v/>
      </c>
      <c r="X34" s="22">
        <f>IF(X$4&gt;=sale_year,1/(1+x_rm)^(X$4-sale_year+1),0)</f>
        <v/>
      </c>
      <c r="Y34" s="22">
        <f>IF(Y$4&gt;=sale_year,1/(1+x_rm)^(Y$4-sale_year+1),0)</f>
        <v/>
      </c>
      <c r="Z34" s="22">
        <f>IF(Z$4&gt;=sale_year,1/(1+x_rm)^(Z$4-sale_year+1),0)</f>
        <v/>
      </c>
      <c r="AA34" s="22">
        <f>IF(AA$4&gt;=sale_year,1/(1+x_rm)^(AA$4-sale_year+1),0)</f>
        <v/>
      </c>
      <c r="AB34" s="22">
        <f>IF(AB$4&gt;=sale_year,1/(1+x_rm)^(AB$4-sale_year+1),0)</f>
        <v/>
      </c>
      <c r="AC34" s="22">
        <f>IF(AC$4&gt;=sale_year,1/(1+x_rm)^(AC$4-sale_year+1),0)</f>
        <v/>
      </c>
      <c r="AD34" s="22">
        <f>IF(AD$4&gt;=sale_year,1/(1+x_rm)^(AD$4-sale_year+1),0)</f>
        <v/>
      </c>
      <c r="AE34" s="22">
        <f>IF(AE$4&gt;=sale_year,1/(1+x_rm)^(AE$4-sale_year+1),0)</f>
        <v/>
      </c>
      <c r="AF34" s="22">
        <f>IF(AF$4&gt;=sale_year,1/(1+x_rm)^(AF$4-sale_year+1),0)</f>
        <v/>
      </c>
      <c r="AG34" s="22">
        <f>IF(AG$4&gt;=sale_year,1/(1+x_rm)^(AG$4-sale_year+1),0)</f>
        <v/>
      </c>
      <c r="AH34" s="22">
        <f>IF(AH$4&gt;=sale_year,1/(1+x_rm)^(AH$4-sale_year+1),0)</f>
        <v/>
      </c>
      <c r="AI34" s="22">
        <f>IF(AI$4&gt;=sale_year,1/(1+x_rm)^(AI$4-sale_year+1),0)</f>
        <v/>
      </c>
      <c r="AJ34" s="22">
        <f>IF(AJ$4&gt;=sale_year,1/(1+x_rm)^(AJ$4-sale_year+1),0)</f>
        <v/>
      </c>
      <c r="AK34" s="22">
        <f>IF(AK$4&gt;=sale_year,1/(1+x_rm)^(AK$4-sale_year+1),0)</f>
        <v/>
      </c>
      <c r="AL34" s="22">
        <f>IF(AL$4&gt;=sale_year,1/(1+x_rm)^(AL$4-sale_year+1),0)</f>
        <v/>
      </c>
    </row>
    <row r="35">
      <c r="B35" s="7" t="inlineStr">
        <is>
          <t>Value on 1 January 2027 of the flows from 2028 (split rates) ($)</t>
        </is>
      </c>
      <c r="C35" s="25">
        <f>SUMPRODUCT($D$22:$AL$22,$D$28:$AL$28)+SUMPRODUCT($D$26:$AL$26,$D$28:$AL$28)-SUMPRODUCT($D$24:$AL$24,$D$28:$AL$28)-SUMPRODUCT($D$25:$AL$25,$D$28:$AL$28)+SUMPRODUCT($D$23:$AL$23,$D$29:$AL$29)-decom_end/(1+x_rc)^(life_years+1)</f>
        <v/>
      </c>
    </row>
    <row r="36">
      <c r="B36" s="14" t="inlineStr">
        <is>
          <t>Development value on 1 January 2027: value less the capital cost ($)</t>
        </is>
      </c>
      <c r="C36" s="26">
        <f>C35-C17/(1+x_rc)</f>
        <v/>
      </c>
    </row>
    <row r="37">
      <c r="B37" s="7" t="inlineStr">
        <is>
          <t>Highest premium Ashgrove can pay at NTP ($)</t>
        </is>
      </c>
      <c r="C37" s="25">
        <f>C36-reimb+reimb/(1+x_rc)</f>
        <v/>
      </c>
    </row>
    <row r="38">
      <c r="B38" s="7" t="inlineStr">
        <is>
          <t>Value of the operating project on 1 January 2028 ($)</t>
        </is>
      </c>
      <c r="C38" s="25">
        <f>SUMPRODUCT($D$22:$AL$22,$D$31:$AL$31)+SUMPRODUCT($D$26:$AL$26,$D$31:$AL$31)-SUMPRODUCT($D$24:$AL$24,$D$31:$AL$31)-SUMPRODUCT($D$25:$AL$25,$D$31:$AL$31)+SUMPRODUCT($D$23:$AL$23,$D$32:$AL$32)-decom_end/(1+x_rc)^life_years</f>
        <v/>
      </c>
    </row>
    <row r="39">
      <c r="B39" s="7" t="inlineStr">
        <is>
          <t>Per Wac ($)</t>
        </is>
      </c>
      <c r="C39" s="27">
        <f>C38/(mwac*1000000)</f>
        <v/>
      </c>
    </row>
    <row r="40">
      <c r="B40" s="7" t="inlineStr">
        <is>
          <t>Value on 1 January of the later sale date ($)</t>
        </is>
      </c>
      <c r="C40" s="25">
        <f>SUMPRODUCT($D$22:$AL$22,$D$33:$AL$33)+SUMPRODUCT($D$26:$AL$26,$D$33:$AL$33)-SUMPRODUCT($D$24:$AL$24,$D$33:$AL$33)-SUMPRODUCT($D$25:$AL$25,$D$33:$AL$33)+SUMPRODUCT($D$23:$AL$23,$D$34:$AL$34)-decom_end/(1+x_rc)^(cod_year+life_years-sale_year)</f>
        <v/>
      </c>
    </row>
    <row r="41">
      <c r="B41" s="7" t="inlineStr">
        <is>
          <t>Per Wac ($)</t>
        </is>
      </c>
      <c r="C41" s="27">
        <f>C40/(mwac*1000000)</f>
        <v/>
      </c>
    </row>
    <row r="42">
      <c r="B42" s="7" t="inlineStr">
        <is>
          <t>Development value per Wac ($)</t>
        </is>
      </c>
      <c r="C42" s="36">
        <f>C36/(mwac*1000000)</f>
        <v/>
      </c>
    </row>
    <row r="44">
      <c r="B44" s="14" t="inlineStr">
        <is>
          <t>Development value bridge (present values on 1 January 2027)</t>
        </is>
      </c>
    </row>
    <row r="45">
      <c r="B45" s="7" t="inlineStr">
        <is>
          <t>Contracted revenue</t>
        </is>
      </c>
      <c r="C45" s="25">
        <f>SUMPRODUCT($D$22:$AL$22,$D$28:$AL$28)</f>
        <v/>
      </c>
    </row>
    <row r="46">
      <c r="B46" s="7" t="inlineStr">
        <is>
          <t>Merchant revenue</t>
        </is>
      </c>
      <c r="C46" s="25">
        <f>SUMPRODUCT($D$23:$AL$23,$D$29:$AL$29)</f>
        <v/>
      </c>
    </row>
    <row r="47">
      <c r="B47" s="7" t="inlineStr">
        <is>
          <t>Credit cash</t>
        </is>
      </c>
      <c r="C47" s="25">
        <f>SUMPRODUCT($D$26:$AL$26,$D$28:$AL$28)</f>
        <v/>
      </c>
    </row>
    <row r="48">
      <c r="B48" s="7" t="inlineStr">
        <is>
          <t>Operating cost (deducted)</t>
        </is>
      </c>
      <c r="C48" s="25">
        <f>SUMPRODUCT($D$25:$AL$25,$D$28:$AL$28)</f>
        <v/>
      </c>
    </row>
    <row r="49">
      <c r="B49" s="7" t="inlineStr">
        <is>
          <t>Basis cost (deducted)</t>
        </is>
      </c>
      <c r="C49" s="25">
        <f>SUMPRODUCT($D$24:$AL$24,$D$28:$AL$28)</f>
        <v/>
      </c>
    </row>
    <row r="50">
      <c r="B50" s="7" t="inlineStr">
        <is>
          <t>Decommissioning (deducted)</t>
        </is>
      </c>
      <c r="C50" s="25">
        <f>decom_end/(1+x_rc)^(life_years+1)</f>
        <v/>
      </c>
    </row>
    <row r="51">
      <c r="B51" s="7" t="inlineStr">
        <is>
          <t>Capital cost (deducted)</t>
        </is>
      </c>
      <c r="C51" s="25">
        <f>C17/(1+x_rc)</f>
        <v/>
      </c>
    </row>
    <row r="52">
      <c r="B52" s="14" t="inlineStr">
        <is>
          <t>Development value from the bridge</t>
        </is>
      </c>
      <c r="C52" s="26">
        <f>C45+C46+C47-C48-C49-C50-C51</f>
        <v/>
      </c>
    </row>
    <row r="54">
      <c r="B54" s="7" t="inlineStr">
        <is>
          <t>Period k (years after 1 January 2027): 0 = NTP price, 1 = capital cost less reimbursement (end 2027), 2 = end 2028 ... 36 = end 2062</t>
        </is>
      </c>
      <c r="C54" s="30" t="n">
        <v>0</v>
      </c>
      <c r="D54" s="30" t="n">
        <v>1</v>
      </c>
      <c r="E54" s="30" t="n">
        <v>2</v>
      </c>
      <c r="F54" s="30" t="n">
        <v>3</v>
      </c>
      <c r="G54" s="30" t="n">
        <v>4</v>
      </c>
      <c r="H54" s="30" t="n">
        <v>5</v>
      </c>
      <c r="I54" s="30" t="n">
        <v>6</v>
      </c>
      <c r="J54" s="30" t="n">
        <v>7</v>
      </c>
      <c r="K54" s="30" t="n">
        <v>8</v>
      </c>
      <c r="L54" s="30" t="n">
        <v>9</v>
      </c>
      <c r="M54" s="30" t="n">
        <v>10</v>
      </c>
      <c r="N54" s="30" t="n">
        <v>11</v>
      </c>
      <c r="O54" s="30" t="n">
        <v>12</v>
      </c>
      <c r="P54" s="30" t="n">
        <v>13</v>
      </c>
      <c r="Q54" s="30" t="n">
        <v>14</v>
      </c>
      <c r="R54" s="30" t="n">
        <v>15</v>
      </c>
      <c r="S54" s="30" t="n">
        <v>16</v>
      </c>
      <c r="T54" s="30" t="n">
        <v>17</v>
      </c>
      <c r="U54" s="30" t="n">
        <v>18</v>
      </c>
      <c r="V54" s="30" t="n">
        <v>19</v>
      </c>
      <c r="W54" s="30" t="n">
        <v>20</v>
      </c>
      <c r="X54" s="30" t="n">
        <v>21</v>
      </c>
      <c r="Y54" s="30" t="n">
        <v>22</v>
      </c>
      <c r="Z54" s="30" t="n">
        <v>23</v>
      </c>
      <c r="AA54" s="30" t="n">
        <v>24</v>
      </c>
      <c r="AB54" s="30" t="n">
        <v>25</v>
      </c>
      <c r="AC54" s="30" t="n">
        <v>26</v>
      </c>
      <c r="AD54" s="30" t="n">
        <v>27</v>
      </c>
      <c r="AE54" s="30" t="n">
        <v>28</v>
      </c>
      <c r="AF54" s="30" t="n">
        <v>29</v>
      </c>
      <c r="AG54" s="30" t="n">
        <v>30</v>
      </c>
      <c r="AH54" s="30" t="n">
        <v>31</v>
      </c>
      <c r="AI54" s="30" t="n">
        <v>32</v>
      </c>
      <c r="AJ54" s="30" t="n">
        <v>33</v>
      </c>
      <c r="AK54" s="30" t="n">
        <v>34</v>
      </c>
      <c r="AL54" s="30" t="n">
        <v>35</v>
      </c>
      <c r="AM54" s="30" t="n">
        <v>36</v>
      </c>
    </row>
    <row r="55">
      <c r="B55" s="14" t="inlineStr">
        <is>
          <t>Unlevered pre-tax flows, price included ($)</t>
        </is>
      </c>
      <c r="C55" s="25">
        <f>-ntp_price</f>
        <v/>
      </c>
      <c r="D55" s="25">
        <f>-(C17-reimb)</f>
        <v/>
      </c>
      <c r="E55" s="25">
        <f>D27+D26</f>
        <v/>
      </c>
      <c r="F55" s="25">
        <f>E27+E26</f>
        <v/>
      </c>
      <c r="G55" s="25">
        <f>F27+F26</f>
        <v/>
      </c>
      <c r="H55" s="25">
        <f>G27+G26</f>
        <v/>
      </c>
      <c r="I55" s="25">
        <f>H27+H26</f>
        <v/>
      </c>
      <c r="J55" s="25">
        <f>I27+I26</f>
        <v/>
      </c>
      <c r="K55" s="25">
        <f>J27+J26</f>
        <v/>
      </c>
      <c r="L55" s="25">
        <f>K27+K26</f>
        <v/>
      </c>
      <c r="M55" s="25">
        <f>L27+L26</f>
        <v/>
      </c>
      <c r="N55" s="25">
        <f>M27+M26</f>
        <v/>
      </c>
      <c r="O55" s="25">
        <f>N27+N26</f>
        <v/>
      </c>
      <c r="P55" s="25">
        <f>O27+O26</f>
        <v/>
      </c>
      <c r="Q55" s="25">
        <f>P27+P26</f>
        <v/>
      </c>
      <c r="R55" s="25">
        <f>Q27+Q26</f>
        <v/>
      </c>
      <c r="S55" s="25">
        <f>R27+R26</f>
        <v/>
      </c>
      <c r="T55" s="25">
        <f>S27+S26</f>
        <v/>
      </c>
      <c r="U55" s="25">
        <f>T27+T26</f>
        <v/>
      </c>
      <c r="V55" s="25">
        <f>U27+U26</f>
        <v/>
      </c>
      <c r="W55" s="25">
        <f>V27+V26</f>
        <v/>
      </c>
      <c r="X55" s="25">
        <f>W27+W26</f>
        <v/>
      </c>
      <c r="Y55" s="25">
        <f>X27+X26</f>
        <v/>
      </c>
      <c r="Z55" s="25">
        <f>Y27+Y26</f>
        <v/>
      </c>
      <c r="AA55" s="25">
        <f>Z27+Z26</f>
        <v/>
      </c>
      <c r="AB55" s="25">
        <f>AA27+AA26</f>
        <v/>
      </c>
      <c r="AC55" s="25">
        <f>AB27+AB26</f>
        <v/>
      </c>
      <c r="AD55" s="25">
        <f>AC27+AC26</f>
        <v/>
      </c>
      <c r="AE55" s="25">
        <f>AD27+AD26</f>
        <v/>
      </c>
      <c r="AF55" s="25">
        <f>AE27+AE26</f>
        <v/>
      </c>
      <c r="AG55" s="25">
        <f>AF27+AF26</f>
        <v/>
      </c>
      <c r="AH55" s="25">
        <f>AG27+AG26</f>
        <v/>
      </c>
      <c r="AI55" s="25">
        <f>AH27+AH26</f>
        <v/>
      </c>
      <c r="AJ55" s="25">
        <f>AI27+AI26</f>
        <v/>
      </c>
      <c r="AK55" s="25">
        <f>AJ27+AJ26</f>
        <v/>
      </c>
      <c r="AL55" s="25">
        <f>AK27+AK26</f>
        <v/>
      </c>
      <c r="AM55" s="25">
        <f>AL27+AL26-decom_end</f>
        <v/>
      </c>
    </row>
    <row r="56">
      <c r="B56" s="14" t="inlineStr">
        <is>
          <t>Unlevered pre-tax IRR at total cost (price included)</t>
        </is>
      </c>
      <c r="C56" s="37">
        <f>IRR(C55:AM55,0.08)</f>
        <v/>
      </c>
    </row>
    <row r="57">
      <c r="B57" s="7" t="inlineStr">
        <is>
          <t>Check: net present value at the IRR</t>
        </is>
      </c>
      <c r="C57" s="32">
        <f>C55+NPV(C56,D55:AM55)</f>
        <v/>
      </c>
    </row>
    <row r="60">
      <c r="B60" s="6" t="inlineStr">
        <is>
          <t>Case C: 15-year virtual PPA with Quillon, then merchant</t>
        </is>
      </c>
    </row>
    <row r="61">
      <c r="B61" s="7" t="inlineStr">
        <is>
          <t>Capital cost ($)</t>
        </is>
      </c>
      <c r="C61" s="25">
        <f>((x_module+x_tracker+x_bos)*mwdc*1000000+x_inverter*mwac*1000000+x_sub)*(1+contingency)+x_ic+owner</f>
        <v/>
      </c>
    </row>
    <row r="62">
      <c r="B62" s="7" t="inlineStr">
        <is>
          <t>ITC eligible basis ($)</t>
        </is>
      </c>
      <c r="C62" s="25">
        <f>((x_module+x_tracker+x_bos)*mwdc*1000000+x_inverter*mwac*1000000+x_sub)*(1+contingency)-gentie_share*x_sub</f>
        <v/>
      </c>
    </row>
    <row r="63">
      <c r="B63" s="7" t="inlineStr">
        <is>
          <t>ITC cash at the end of 2028, if elected ($)</t>
        </is>
      </c>
      <c r="C63" s="25">
        <f>IF(sw_credit="ITC",C62*(itc_rate+sw_bonus)*transfer_itc,0)</f>
        <v/>
      </c>
    </row>
    <row r="64">
      <c r="B64" s="7" t="inlineStr">
        <is>
          <t>Energy (MWh)</t>
        </is>
      </c>
      <c r="D64" s="23">
        <f>mwac*hours*cf_p50*Energy!D$7*x_scale</f>
        <v/>
      </c>
      <c r="E64" s="23">
        <f>mwac*hours*cf_p50*Energy!E$7*x_scale</f>
        <v/>
      </c>
      <c r="F64" s="23">
        <f>mwac*hours*cf_p50*Energy!F$7*x_scale</f>
        <v/>
      </c>
      <c r="G64" s="23">
        <f>mwac*hours*cf_p50*Energy!G$7*x_scale</f>
        <v/>
      </c>
      <c r="H64" s="23">
        <f>mwac*hours*cf_p50*Energy!H$7*x_scale</f>
        <v/>
      </c>
      <c r="I64" s="23">
        <f>mwac*hours*cf_p50*Energy!I$7*x_scale</f>
        <v/>
      </c>
      <c r="J64" s="23">
        <f>mwac*hours*cf_p50*Energy!J$7*x_scale</f>
        <v/>
      </c>
      <c r="K64" s="23">
        <f>mwac*hours*cf_p50*Energy!K$7*x_scale</f>
        <v/>
      </c>
      <c r="L64" s="23">
        <f>mwac*hours*cf_p50*Energy!L$7*x_scale</f>
        <v/>
      </c>
      <c r="M64" s="23">
        <f>mwac*hours*cf_p50*Energy!M$7*x_scale</f>
        <v/>
      </c>
      <c r="N64" s="23">
        <f>mwac*hours*cf_p50*Energy!N$7*x_scale</f>
        <v/>
      </c>
      <c r="O64" s="23">
        <f>mwac*hours*cf_p50*Energy!O$7*x_scale</f>
        <v/>
      </c>
      <c r="P64" s="23">
        <f>mwac*hours*cf_p50*Energy!P$7*x_scale</f>
        <v/>
      </c>
      <c r="Q64" s="23">
        <f>mwac*hours*cf_p50*Energy!Q$7*x_scale</f>
        <v/>
      </c>
      <c r="R64" s="23">
        <f>mwac*hours*cf_p50*Energy!R$7*x_scale</f>
        <v/>
      </c>
      <c r="S64" s="23">
        <f>mwac*hours*cf_p50*Energy!S$7*x_scale</f>
        <v/>
      </c>
      <c r="T64" s="23">
        <f>mwac*hours*cf_p50*Energy!T$7*x_scale</f>
        <v/>
      </c>
      <c r="U64" s="23">
        <f>mwac*hours*cf_p50*Energy!U$7*x_scale</f>
        <v/>
      </c>
      <c r="V64" s="23">
        <f>mwac*hours*cf_p50*Energy!V$7*x_scale</f>
        <v/>
      </c>
      <c r="W64" s="23">
        <f>mwac*hours*cf_p50*Energy!W$7*x_scale</f>
        <v/>
      </c>
      <c r="X64" s="23">
        <f>mwac*hours*cf_p50*Energy!X$7*x_scale</f>
        <v/>
      </c>
      <c r="Y64" s="23">
        <f>mwac*hours*cf_p50*Energy!Y$7*x_scale</f>
        <v/>
      </c>
      <c r="Z64" s="23">
        <f>mwac*hours*cf_p50*Energy!Z$7*x_scale</f>
        <v/>
      </c>
      <c r="AA64" s="23">
        <f>mwac*hours*cf_p50*Energy!AA$7*x_scale</f>
        <v/>
      </c>
      <c r="AB64" s="23">
        <f>mwac*hours*cf_p50*Energy!AB$7*x_scale</f>
        <v/>
      </c>
      <c r="AC64" s="23">
        <f>mwac*hours*cf_p50*Energy!AC$7*x_scale</f>
        <v/>
      </c>
      <c r="AD64" s="23">
        <f>mwac*hours*cf_p50*Energy!AD$7*x_scale</f>
        <v/>
      </c>
      <c r="AE64" s="23">
        <f>mwac*hours*cf_p50*Energy!AE$7*x_scale</f>
        <v/>
      </c>
      <c r="AF64" s="23">
        <f>mwac*hours*cf_p50*Energy!AF$7*x_scale</f>
        <v/>
      </c>
      <c r="AG64" s="23">
        <f>mwac*hours*cf_p50*Energy!AG$7*x_scale</f>
        <v/>
      </c>
      <c r="AH64" s="23">
        <f>mwac*hours*cf_p50*Energy!AH$7*x_scale</f>
        <v/>
      </c>
      <c r="AI64" s="23">
        <f>mwac*hours*cf_p50*Energy!AI$7*x_scale</f>
        <v/>
      </c>
      <c r="AJ64" s="23">
        <f>mwac*hours*cf_p50*Energy!AJ$7*x_scale</f>
        <v/>
      </c>
      <c r="AK64" s="23">
        <f>mwac*hours*cf_p50*Energy!AK$7*x_scale</f>
        <v/>
      </c>
      <c r="AL64" s="23">
        <f>mwac*hours*cf_p50*Energy!AL$7*x_scale</f>
        <v/>
      </c>
    </row>
    <row r="65">
      <c r="B65" s="7" t="inlineStr">
        <is>
          <t>Node price, hub switch applied ($/MWh)</t>
        </is>
      </c>
      <c r="D65" s="32">
        <f>Market!D$7*(1+sw_hub)*Market!D$8+Market!D$10</f>
        <v/>
      </c>
      <c r="E65" s="32">
        <f>Market!E$7*(1+sw_hub)*Market!E$8+Market!E$10</f>
        <v/>
      </c>
      <c r="F65" s="32">
        <f>Market!F$7*(1+sw_hub)*Market!F$8+Market!F$10</f>
        <v/>
      </c>
      <c r="G65" s="32">
        <f>Market!G$7*(1+sw_hub)*Market!G$8+Market!G$10</f>
        <v/>
      </c>
      <c r="H65" s="32">
        <f>Market!H$7*(1+sw_hub)*Market!H$8+Market!H$10</f>
        <v/>
      </c>
      <c r="I65" s="32">
        <f>Market!I$7*(1+sw_hub)*Market!I$8+Market!I$10</f>
        <v/>
      </c>
      <c r="J65" s="32">
        <f>Market!J$7*(1+sw_hub)*Market!J$8+Market!J$10</f>
        <v/>
      </c>
      <c r="K65" s="32">
        <f>Market!K$7*(1+sw_hub)*Market!K$8+Market!K$10</f>
        <v/>
      </c>
      <c r="L65" s="32">
        <f>Market!L$7*(1+sw_hub)*Market!L$8+Market!L$10</f>
        <v/>
      </c>
      <c r="M65" s="32">
        <f>Market!M$7*(1+sw_hub)*Market!M$8+Market!M$10</f>
        <v/>
      </c>
      <c r="N65" s="32">
        <f>Market!N$7*(1+sw_hub)*Market!N$8+Market!N$10</f>
        <v/>
      </c>
      <c r="O65" s="32">
        <f>Market!O$7*(1+sw_hub)*Market!O$8+Market!O$10</f>
        <v/>
      </c>
      <c r="P65" s="32">
        <f>Market!P$7*(1+sw_hub)*Market!P$8+Market!P$10</f>
        <v/>
      </c>
      <c r="Q65" s="32">
        <f>Market!Q$7*(1+sw_hub)*Market!Q$8+Market!Q$10</f>
        <v/>
      </c>
      <c r="R65" s="32">
        <f>Market!R$7*(1+sw_hub)*Market!R$8+Market!R$10</f>
        <v/>
      </c>
      <c r="S65" s="32">
        <f>Market!S$7*(1+sw_hub)*Market!S$8+Market!S$10</f>
        <v/>
      </c>
      <c r="T65" s="32">
        <f>Market!T$7*(1+sw_hub)*Market!T$8+Market!T$10</f>
        <v/>
      </c>
      <c r="U65" s="32">
        <f>Market!U$7*(1+sw_hub)*Market!U$8+Market!U$10</f>
        <v/>
      </c>
      <c r="V65" s="32">
        <f>Market!V$7*(1+sw_hub)*Market!V$8+Market!V$10</f>
        <v/>
      </c>
      <c r="W65" s="32">
        <f>Market!W$7*(1+sw_hub)*Market!W$8+Market!W$10</f>
        <v/>
      </c>
      <c r="X65" s="32">
        <f>Market!X$7*(1+sw_hub)*Market!X$8+Market!X$10</f>
        <v/>
      </c>
      <c r="Y65" s="32">
        <f>Market!Y$7*(1+sw_hub)*Market!Y$8+Market!Y$10</f>
        <v/>
      </c>
      <c r="Z65" s="32">
        <f>Market!Z$7*(1+sw_hub)*Market!Z$8+Market!Z$10</f>
        <v/>
      </c>
      <c r="AA65" s="32">
        <f>Market!AA$7*(1+sw_hub)*Market!AA$8+Market!AA$10</f>
        <v/>
      </c>
      <c r="AB65" s="32">
        <f>Market!AB$7*(1+sw_hub)*Market!AB$8+Market!AB$10</f>
        <v/>
      </c>
      <c r="AC65" s="32">
        <f>Market!AC$7*(1+sw_hub)*Market!AC$8+Market!AC$10</f>
        <v/>
      </c>
      <c r="AD65" s="32">
        <f>Market!AD$7*(1+sw_hub)*Market!AD$8+Market!AD$10</f>
        <v/>
      </c>
      <c r="AE65" s="32">
        <f>Market!AE$7*(1+sw_hub)*Market!AE$8+Market!AE$10</f>
        <v/>
      </c>
      <c r="AF65" s="32">
        <f>Market!AF$7*(1+sw_hub)*Market!AF$8+Market!AF$10</f>
        <v/>
      </c>
      <c r="AG65" s="32">
        <f>Market!AG$7*(1+sw_hub)*Market!AG$8+Market!AG$10</f>
        <v/>
      </c>
      <c r="AH65" s="32">
        <f>Market!AH$7*(1+sw_hub)*Market!AH$8+Market!AH$10</f>
        <v/>
      </c>
      <c r="AI65" s="32">
        <f>Market!AI$7*(1+sw_hub)*Market!AI$8+Market!AI$10</f>
        <v/>
      </c>
      <c r="AJ65" s="32">
        <f>Market!AJ$7*(1+sw_hub)*Market!AJ$8+Market!AJ$10</f>
        <v/>
      </c>
      <c r="AK65" s="32">
        <f>Market!AK$7*(1+sw_hub)*Market!AK$8+Market!AK$10</f>
        <v/>
      </c>
      <c r="AL65" s="32">
        <f>Market!AL$7*(1+sw_hub)*Market!AL$8+Market!AL$10</f>
        <v/>
      </c>
    </row>
    <row r="66">
      <c r="B66" s="7" t="inlineStr">
        <is>
          <t>Contracted revenue ($)</t>
        </is>
      </c>
      <c r="D66" s="25">
        <f>IF(D$5&lt;c_years,D64*c_price,0)</f>
        <v/>
      </c>
      <c r="E66" s="25">
        <f>IF(E$5&lt;c_years,E64*c_price,0)</f>
        <v/>
      </c>
      <c r="F66" s="25">
        <f>IF(F$5&lt;c_years,F64*c_price,0)</f>
        <v/>
      </c>
      <c r="G66" s="25">
        <f>IF(G$5&lt;c_years,G64*c_price,0)</f>
        <v/>
      </c>
      <c r="H66" s="25">
        <f>IF(H$5&lt;c_years,H64*c_price,0)</f>
        <v/>
      </c>
      <c r="I66" s="25">
        <f>IF(I$5&lt;c_years,I64*c_price,0)</f>
        <v/>
      </c>
      <c r="J66" s="25">
        <f>IF(J$5&lt;c_years,J64*c_price,0)</f>
        <v/>
      </c>
      <c r="K66" s="25">
        <f>IF(K$5&lt;c_years,K64*c_price,0)</f>
        <v/>
      </c>
      <c r="L66" s="25">
        <f>IF(L$5&lt;c_years,L64*c_price,0)</f>
        <v/>
      </c>
      <c r="M66" s="25">
        <f>IF(M$5&lt;c_years,M64*c_price,0)</f>
        <v/>
      </c>
      <c r="N66" s="25">
        <f>IF(N$5&lt;c_years,N64*c_price,0)</f>
        <v/>
      </c>
      <c r="O66" s="25">
        <f>IF(O$5&lt;c_years,O64*c_price,0)</f>
        <v/>
      </c>
      <c r="P66" s="25">
        <f>IF(P$5&lt;c_years,P64*c_price,0)</f>
        <v/>
      </c>
      <c r="Q66" s="25">
        <f>IF(Q$5&lt;c_years,Q64*c_price,0)</f>
        <v/>
      </c>
      <c r="R66" s="25">
        <f>IF(R$5&lt;c_years,R64*c_price,0)</f>
        <v/>
      </c>
      <c r="S66" s="25">
        <f>IF(S$5&lt;c_years,S64*c_price,0)</f>
        <v/>
      </c>
      <c r="T66" s="25">
        <f>IF(T$5&lt;c_years,T64*c_price,0)</f>
        <v/>
      </c>
      <c r="U66" s="25">
        <f>IF(U$5&lt;c_years,U64*c_price,0)</f>
        <v/>
      </c>
      <c r="V66" s="25">
        <f>IF(V$5&lt;c_years,V64*c_price,0)</f>
        <v/>
      </c>
      <c r="W66" s="25">
        <f>IF(W$5&lt;c_years,W64*c_price,0)</f>
        <v/>
      </c>
      <c r="X66" s="25">
        <f>IF(X$5&lt;c_years,X64*c_price,0)</f>
        <v/>
      </c>
      <c r="Y66" s="25">
        <f>IF(Y$5&lt;c_years,Y64*c_price,0)</f>
        <v/>
      </c>
      <c r="Z66" s="25">
        <f>IF(Z$5&lt;c_years,Z64*c_price,0)</f>
        <v/>
      </c>
      <c r="AA66" s="25">
        <f>IF(AA$5&lt;c_years,AA64*c_price,0)</f>
        <v/>
      </c>
      <c r="AB66" s="25">
        <f>IF(AB$5&lt;c_years,AB64*c_price,0)</f>
        <v/>
      </c>
      <c r="AC66" s="25">
        <f>IF(AC$5&lt;c_years,AC64*c_price,0)</f>
        <v/>
      </c>
      <c r="AD66" s="25">
        <f>IF(AD$5&lt;c_years,AD64*c_price,0)</f>
        <v/>
      </c>
      <c r="AE66" s="25">
        <f>IF(AE$5&lt;c_years,AE64*c_price,0)</f>
        <v/>
      </c>
      <c r="AF66" s="25">
        <f>IF(AF$5&lt;c_years,AF64*c_price,0)</f>
        <v/>
      </c>
      <c r="AG66" s="25">
        <f>IF(AG$5&lt;c_years,AG64*c_price,0)</f>
        <v/>
      </c>
      <c r="AH66" s="25">
        <f>IF(AH$5&lt;c_years,AH64*c_price,0)</f>
        <v/>
      </c>
      <c r="AI66" s="25">
        <f>IF(AI$5&lt;c_years,AI64*c_price,0)</f>
        <v/>
      </c>
      <c r="AJ66" s="25">
        <f>IF(AJ$5&lt;c_years,AJ64*c_price,0)</f>
        <v/>
      </c>
      <c r="AK66" s="25">
        <f>IF(AK$5&lt;c_years,AK64*c_price,0)</f>
        <v/>
      </c>
      <c r="AL66" s="25">
        <f>IF(AL$5&lt;c_years,AL64*c_price,0)</f>
        <v/>
      </c>
    </row>
    <row r="67">
      <c r="B67" s="7" t="inlineStr">
        <is>
          <t>Merchant revenue ($)</t>
        </is>
      </c>
      <c r="D67" s="25">
        <f>IF(D$5&lt;c_years,Market!D$13,D64*(D65+rec_price)+Market!D$13)</f>
        <v/>
      </c>
      <c r="E67" s="25">
        <f>IF(E$5&lt;c_years,Market!E$13,E64*(E65+rec_price)+Market!E$13)</f>
        <v/>
      </c>
      <c r="F67" s="25">
        <f>IF(F$5&lt;c_years,Market!F$13,F64*(F65+rec_price)+Market!F$13)</f>
        <v/>
      </c>
      <c r="G67" s="25">
        <f>IF(G$5&lt;c_years,Market!G$13,G64*(G65+rec_price)+Market!G$13)</f>
        <v/>
      </c>
      <c r="H67" s="25">
        <f>IF(H$5&lt;c_years,Market!H$13,H64*(H65+rec_price)+Market!H$13)</f>
        <v/>
      </c>
      <c r="I67" s="25">
        <f>IF(I$5&lt;c_years,Market!I$13,I64*(I65+rec_price)+Market!I$13)</f>
        <v/>
      </c>
      <c r="J67" s="25">
        <f>IF(J$5&lt;c_years,Market!J$13,J64*(J65+rec_price)+Market!J$13)</f>
        <v/>
      </c>
      <c r="K67" s="25">
        <f>IF(K$5&lt;c_years,Market!K$13,K64*(K65+rec_price)+Market!K$13)</f>
        <v/>
      </c>
      <c r="L67" s="25">
        <f>IF(L$5&lt;c_years,Market!L$13,L64*(L65+rec_price)+Market!L$13)</f>
        <v/>
      </c>
      <c r="M67" s="25">
        <f>IF(M$5&lt;c_years,Market!M$13,M64*(M65+rec_price)+Market!M$13)</f>
        <v/>
      </c>
      <c r="N67" s="25">
        <f>IF(N$5&lt;c_years,Market!N$13,N64*(N65+rec_price)+Market!N$13)</f>
        <v/>
      </c>
      <c r="O67" s="25">
        <f>IF(O$5&lt;c_years,Market!O$13,O64*(O65+rec_price)+Market!O$13)</f>
        <v/>
      </c>
      <c r="P67" s="25">
        <f>IF(P$5&lt;c_years,Market!P$13,P64*(P65+rec_price)+Market!P$13)</f>
        <v/>
      </c>
      <c r="Q67" s="25">
        <f>IF(Q$5&lt;c_years,Market!Q$13,Q64*(Q65+rec_price)+Market!Q$13)</f>
        <v/>
      </c>
      <c r="R67" s="25">
        <f>IF(R$5&lt;c_years,Market!R$13,R64*(R65+rec_price)+Market!R$13)</f>
        <v/>
      </c>
      <c r="S67" s="25">
        <f>IF(S$5&lt;c_years,Market!S$13,S64*(S65+rec_price)+Market!S$13)</f>
        <v/>
      </c>
      <c r="T67" s="25">
        <f>IF(T$5&lt;c_years,Market!T$13,T64*(T65+rec_price)+Market!T$13)</f>
        <v/>
      </c>
      <c r="U67" s="25">
        <f>IF(U$5&lt;c_years,Market!U$13,U64*(U65+rec_price)+Market!U$13)</f>
        <v/>
      </c>
      <c r="V67" s="25">
        <f>IF(V$5&lt;c_years,Market!V$13,V64*(V65+rec_price)+Market!V$13)</f>
        <v/>
      </c>
      <c r="W67" s="25">
        <f>IF(W$5&lt;c_years,Market!W$13,W64*(W65+rec_price)+Market!W$13)</f>
        <v/>
      </c>
      <c r="X67" s="25">
        <f>IF(X$5&lt;c_years,Market!X$13,X64*(X65+rec_price)+Market!X$13)</f>
        <v/>
      </c>
      <c r="Y67" s="25">
        <f>IF(Y$5&lt;c_years,Market!Y$13,Y64*(Y65+rec_price)+Market!Y$13)</f>
        <v/>
      </c>
      <c r="Z67" s="25">
        <f>IF(Z$5&lt;c_years,Market!Z$13,Z64*(Z65+rec_price)+Market!Z$13)</f>
        <v/>
      </c>
      <c r="AA67" s="25">
        <f>IF(AA$5&lt;c_years,Market!AA$13,AA64*(AA65+rec_price)+Market!AA$13)</f>
        <v/>
      </c>
      <c r="AB67" s="25">
        <f>IF(AB$5&lt;c_years,Market!AB$13,AB64*(AB65+rec_price)+Market!AB$13)</f>
        <v/>
      </c>
      <c r="AC67" s="25">
        <f>IF(AC$5&lt;c_years,Market!AC$13,AC64*(AC65+rec_price)+Market!AC$13)</f>
        <v/>
      </c>
      <c r="AD67" s="25">
        <f>IF(AD$5&lt;c_years,Market!AD$13,AD64*(AD65+rec_price)+Market!AD$13)</f>
        <v/>
      </c>
      <c r="AE67" s="25">
        <f>IF(AE$5&lt;c_years,Market!AE$13,AE64*(AE65+rec_price)+Market!AE$13)</f>
        <v/>
      </c>
      <c r="AF67" s="25">
        <f>IF(AF$5&lt;c_years,Market!AF$13,AF64*(AF65+rec_price)+Market!AF$13)</f>
        <v/>
      </c>
      <c r="AG67" s="25">
        <f>IF(AG$5&lt;c_years,Market!AG$13,AG64*(AG65+rec_price)+Market!AG$13)</f>
        <v/>
      </c>
      <c r="AH67" s="25">
        <f>IF(AH$5&lt;c_years,Market!AH$13,AH64*(AH65+rec_price)+Market!AH$13)</f>
        <v/>
      </c>
      <c r="AI67" s="25">
        <f>IF(AI$5&lt;c_years,Market!AI$13,AI64*(AI65+rec_price)+Market!AI$13)</f>
        <v/>
      </c>
      <c r="AJ67" s="25">
        <f>IF(AJ$5&lt;c_years,Market!AJ$13,AJ64*(AJ65+rec_price)+Market!AJ$13)</f>
        <v/>
      </c>
      <c r="AK67" s="25">
        <f>IF(AK$5&lt;c_years,Market!AK$13,AK64*(AK65+rec_price)+Market!AK$13)</f>
        <v/>
      </c>
      <c r="AL67" s="25">
        <f>IF(AL$5&lt;c_years,Market!AL$13,AL64*(AL65+rec_price)+Market!AL$13)</f>
        <v/>
      </c>
    </row>
    <row r="68">
      <c r="B68" s="7" t="inlineStr">
        <is>
          <t>Basis cost kept by the project ($)</t>
        </is>
      </c>
      <c r="D68" s="25">
        <f>IF(D$5&lt;c_years,-D64*Market!D$10,0)</f>
        <v/>
      </c>
      <c r="E68" s="25">
        <f>IF(E$5&lt;c_years,-E64*Market!E$10,0)</f>
        <v/>
      </c>
      <c r="F68" s="25">
        <f>IF(F$5&lt;c_years,-F64*Market!F$10,0)</f>
        <v/>
      </c>
      <c r="G68" s="25">
        <f>IF(G$5&lt;c_years,-G64*Market!G$10,0)</f>
        <v/>
      </c>
      <c r="H68" s="25">
        <f>IF(H$5&lt;c_years,-H64*Market!H$10,0)</f>
        <v/>
      </c>
      <c r="I68" s="25">
        <f>IF(I$5&lt;c_years,-I64*Market!I$10,0)</f>
        <v/>
      </c>
      <c r="J68" s="25">
        <f>IF(J$5&lt;c_years,-J64*Market!J$10,0)</f>
        <v/>
      </c>
      <c r="K68" s="25">
        <f>IF(K$5&lt;c_years,-K64*Market!K$10,0)</f>
        <v/>
      </c>
      <c r="L68" s="25">
        <f>IF(L$5&lt;c_years,-L64*Market!L$10,0)</f>
        <v/>
      </c>
      <c r="M68" s="25">
        <f>IF(M$5&lt;c_years,-M64*Market!M$10,0)</f>
        <v/>
      </c>
      <c r="N68" s="25">
        <f>IF(N$5&lt;c_years,-N64*Market!N$10,0)</f>
        <v/>
      </c>
      <c r="O68" s="25">
        <f>IF(O$5&lt;c_years,-O64*Market!O$10,0)</f>
        <v/>
      </c>
      <c r="P68" s="25">
        <f>IF(P$5&lt;c_years,-P64*Market!P$10,0)</f>
        <v/>
      </c>
      <c r="Q68" s="25">
        <f>IF(Q$5&lt;c_years,-Q64*Market!Q$10,0)</f>
        <v/>
      </c>
      <c r="R68" s="25">
        <f>IF(R$5&lt;c_years,-R64*Market!R$10,0)</f>
        <v/>
      </c>
      <c r="S68" s="25">
        <f>IF(S$5&lt;c_years,-S64*Market!S$10,0)</f>
        <v/>
      </c>
      <c r="T68" s="25">
        <f>IF(T$5&lt;c_years,-T64*Market!T$10,0)</f>
        <v/>
      </c>
      <c r="U68" s="25">
        <f>IF(U$5&lt;c_years,-U64*Market!U$10,0)</f>
        <v/>
      </c>
      <c r="V68" s="25">
        <f>IF(V$5&lt;c_years,-V64*Market!V$10,0)</f>
        <v/>
      </c>
      <c r="W68" s="25">
        <f>IF(W$5&lt;c_years,-W64*Market!W$10,0)</f>
        <v/>
      </c>
      <c r="X68" s="25">
        <f>IF(X$5&lt;c_years,-X64*Market!X$10,0)</f>
        <v/>
      </c>
      <c r="Y68" s="25">
        <f>IF(Y$5&lt;c_years,-Y64*Market!Y$10,0)</f>
        <v/>
      </c>
      <c r="Z68" s="25">
        <f>IF(Z$5&lt;c_years,-Z64*Market!Z$10,0)</f>
        <v/>
      </c>
      <c r="AA68" s="25">
        <f>IF(AA$5&lt;c_years,-AA64*Market!AA$10,0)</f>
        <v/>
      </c>
      <c r="AB68" s="25">
        <f>IF(AB$5&lt;c_years,-AB64*Market!AB$10,0)</f>
        <v/>
      </c>
      <c r="AC68" s="25">
        <f>IF(AC$5&lt;c_years,-AC64*Market!AC$10,0)</f>
        <v/>
      </c>
      <c r="AD68" s="25">
        <f>IF(AD$5&lt;c_years,-AD64*Market!AD$10,0)</f>
        <v/>
      </c>
      <c r="AE68" s="25">
        <f>IF(AE$5&lt;c_years,-AE64*Market!AE$10,0)</f>
        <v/>
      </c>
      <c r="AF68" s="25">
        <f>IF(AF$5&lt;c_years,-AF64*Market!AF$10,0)</f>
        <v/>
      </c>
      <c r="AG68" s="25">
        <f>IF(AG$5&lt;c_years,-AG64*Market!AG$10,0)</f>
        <v/>
      </c>
      <c r="AH68" s="25">
        <f>IF(AH$5&lt;c_years,-AH64*Market!AH$10,0)</f>
        <v/>
      </c>
      <c r="AI68" s="25">
        <f>IF(AI$5&lt;c_years,-AI64*Market!AI$10,0)</f>
        <v/>
      </c>
      <c r="AJ68" s="25">
        <f>IF(AJ$5&lt;c_years,-AJ64*Market!AJ$10,0)</f>
        <v/>
      </c>
      <c r="AK68" s="25">
        <f>IF(AK$5&lt;c_years,-AK64*Market!AK$10,0)</f>
        <v/>
      </c>
      <c r="AL68" s="25">
        <f>IF(AL$5&lt;c_years,-AL64*Market!AL$10,0)</f>
        <v/>
      </c>
    </row>
    <row r="69">
      <c r="B69" s="7" t="inlineStr">
        <is>
          <t>Operating cost ($)</t>
        </is>
      </c>
      <c r="D69" s="25">
        <f>(om_kw*mwac*1000+ins_rate*$C$61+am_cost+prop_tax+misc_cost)*Opex!D$7+rent_acre*acres_lease*Opex!D$8</f>
        <v/>
      </c>
      <c r="E69" s="25">
        <f>(om_kw*mwac*1000+ins_rate*$C$61+am_cost+prop_tax+misc_cost)*Opex!E$7+rent_acre*acres_lease*Opex!E$8</f>
        <v/>
      </c>
      <c r="F69" s="25">
        <f>(om_kw*mwac*1000+ins_rate*$C$61+am_cost+prop_tax+misc_cost)*Opex!F$7+rent_acre*acres_lease*Opex!F$8</f>
        <v/>
      </c>
      <c r="G69" s="25">
        <f>(om_kw*mwac*1000+ins_rate*$C$61+am_cost+prop_tax+misc_cost)*Opex!G$7+rent_acre*acres_lease*Opex!G$8</f>
        <v/>
      </c>
      <c r="H69" s="25">
        <f>(om_kw*mwac*1000+ins_rate*$C$61+am_cost+prop_tax+misc_cost)*Opex!H$7+rent_acre*acres_lease*Opex!H$8</f>
        <v/>
      </c>
      <c r="I69" s="25">
        <f>(om_kw*mwac*1000+ins_rate*$C$61+am_cost+prop_tax+misc_cost)*Opex!I$7+rent_acre*acres_lease*Opex!I$8</f>
        <v/>
      </c>
      <c r="J69" s="25">
        <f>(om_kw*mwac*1000+ins_rate*$C$61+am_cost+prop_tax+misc_cost)*Opex!J$7+rent_acre*acres_lease*Opex!J$8</f>
        <v/>
      </c>
      <c r="K69" s="25">
        <f>(om_kw*mwac*1000+ins_rate*$C$61+am_cost+prop_tax+misc_cost)*Opex!K$7+rent_acre*acres_lease*Opex!K$8</f>
        <v/>
      </c>
      <c r="L69" s="25">
        <f>(om_kw*mwac*1000+ins_rate*$C$61+am_cost+prop_tax+misc_cost)*Opex!L$7+rent_acre*acres_lease*Opex!L$8</f>
        <v/>
      </c>
      <c r="M69" s="25">
        <f>(om_kw*mwac*1000+ins_rate*$C$61+am_cost+prop_tax+misc_cost)*Opex!M$7+rent_acre*acres_lease*Opex!M$8</f>
        <v/>
      </c>
      <c r="N69" s="25">
        <f>(om_kw*mwac*1000+ins_rate*$C$61+am_cost+prop_tax+misc_cost)*Opex!N$7+rent_acre*acres_lease*Opex!N$8</f>
        <v/>
      </c>
      <c r="O69" s="25">
        <f>(om_kw*mwac*1000+ins_rate*$C$61+am_cost+prop_tax+misc_cost)*Opex!O$7+rent_acre*acres_lease*Opex!O$8</f>
        <v/>
      </c>
      <c r="P69" s="25">
        <f>(om_kw*mwac*1000+ins_rate*$C$61+am_cost+prop_tax+misc_cost)*Opex!P$7+rent_acre*acres_lease*Opex!P$8</f>
        <v/>
      </c>
      <c r="Q69" s="25">
        <f>(om_kw*mwac*1000+ins_rate*$C$61+am_cost+prop_tax+misc_cost)*Opex!Q$7+rent_acre*acres_lease*Opex!Q$8</f>
        <v/>
      </c>
      <c r="R69" s="25">
        <f>(om_kw*mwac*1000+ins_rate*$C$61+am_cost+prop_tax+misc_cost)*Opex!R$7+rent_acre*acres_lease*Opex!R$8</f>
        <v/>
      </c>
      <c r="S69" s="25">
        <f>(om_kw*mwac*1000+ins_rate*$C$61+am_cost+prop_tax+misc_cost)*Opex!S$7+rent_acre*acres_lease*Opex!S$8</f>
        <v/>
      </c>
      <c r="T69" s="25">
        <f>(om_kw*mwac*1000+ins_rate*$C$61+am_cost+prop_tax+misc_cost)*Opex!T$7+rent_acre*acres_lease*Opex!T$8</f>
        <v/>
      </c>
      <c r="U69" s="25">
        <f>(om_kw*mwac*1000+ins_rate*$C$61+am_cost+prop_tax+misc_cost)*Opex!U$7+rent_acre*acres_lease*Opex!U$8</f>
        <v/>
      </c>
      <c r="V69" s="25">
        <f>(om_kw*mwac*1000+ins_rate*$C$61+am_cost+prop_tax+misc_cost)*Opex!V$7+rent_acre*acres_lease*Opex!V$8</f>
        <v/>
      </c>
      <c r="W69" s="25">
        <f>(om_kw*mwac*1000+ins_rate*$C$61+am_cost+prop_tax+misc_cost)*Opex!W$7+rent_acre*acres_lease*Opex!W$8</f>
        <v/>
      </c>
      <c r="X69" s="25">
        <f>(om_kw*mwac*1000+ins_rate*$C$61+am_cost+prop_tax+misc_cost)*Opex!X$7+rent_acre*acres_lease*Opex!X$8</f>
        <v/>
      </c>
      <c r="Y69" s="25">
        <f>(om_kw*mwac*1000+ins_rate*$C$61+am_cost+prop_tax+misc_cost)*Opex!Y$7+rent_acre*acres_lease*Opex!Y$8</f>
        <v/>
      </c>
      <c r="Z69" s="25">
        <f>(om_kw*mwac*1000+ins_rate*$C$61+am_cost+prop_tax+misc_cost)*Opex!Z$7+rent_acre*acres_lease*Opex!Z$8</f>
        <v/>
      </c>
      <c r="AA69" s="25">
        <f>(om_kw*mwac*1000+ins_rate*$C$61+am_cost+prop_tax+misc_cost)*Opex!AA$7+rent_acre*acres_lease*Opex!AA$8</f>
        <v/>
      </c>
      <c r="AB69" s="25">
        <f>(om_kw*mwac*1000+ins_rate*$C$61+am_cost+prop_tax+misc_cost)*Opex!AB$7+rent_acre*acres_lease*Opex!AB$8</f>
        <v/>
      </c>
      <c r="AC69" s="25">
        <f>(om_kw*mwac*1000+ins_rate*$C$61+am_cost+prop_tax+misc_cost)*Opex!AC$7+rent_acre*acres_lease*Opex!AC$8</f>
        <v/>
      </c>
      <c r="AD69" s="25">
        <f>(om_kw*mwac*1000+ins_rate*$C$61+am_cost+prop_tax+misc_cost)*Opex!AD$7+rent_acre*acres_lease*Opex!AD$8</f>
        <v/>
      </c>
      <c r="AE69" s="25">
        <f>(om_kw*mwac*1000+ins_rate*$C$61+am_cost+prop_tax+misc_cost)*Opex!AE$7+rent_acre*acres_lease*Opex!AE$8</f>
        <v/>
      </c>
      <c r="AF69" s="25">
        <f>(om_kw*mwac*1000+ins_rate*$C$61+am_cost+prop_tax+misc_cost)*Opex!AF$7+rent_acre*acres_lease*Opex!AF$8</f>
        <v/>
      </c>
      <c r="AG69" s="25">
        <f>(om_kw*mwac*1000+ins_rate*$C$61+am_cost+prop_tax+misc_cost)*Opex!AG$7+rent_acre*acres_lease*Opex!AG$8</f>
        <v/>
      </c>
      <c r="AH69" s="25">
        <f>(om_kw*mwac*1000+ins_rate*$C$61+am_cost+prop_tax+misc_cost)*Opex!AH$7+rent_acre*acres_lease*Opex!AH$8</f>
        <v/>
      </c>
      <c r="AI69" s="25">
        <f>(om_kw*mwac*1000+ins_rate*$C$61+am_cost+prop_tax+misc_cost)*Opex!AI$7+rent_acre*acres_lease*Opex!AI$8</f>
        <v/>
      </c>
      <c r="AJ69" s="25">
        <f>(om_kw*mwac*1000+ins_rate*$C$61+am_cost+prop_tax+misc_cost)*Opex!AJ$7+rent_acre*acres_lease*Opex!AJ$8</f>
        <v/>
      </c>
      <c r="AK69" s="25">
        <f>(om_kw*mwac*1000+ins_rate*$C$61+am_cost+prop_tax+misc_cost)*Opex!AK$7+rent_acre*acres_lease*Opex!AK$8</f>
        <v/>
      </c>
      <c r="AL69" s="25">
        <f>(om_kw*mwac*1000+ins_rate*$C$61+am_cost+prop_tax+misc_cost)*Opex!AL$7+rent_acre*acres_lease*Opex!AL$8</f>
        <v/>
      </c>
    </row>
    <row r="70">
      <c r="B70" s="7" t="inlineStr">
        <is>
          <t>Credit cash ($)</t>
        </is>
      </c>
      <c r="D70" s="25">
        <f>IF(sw_credit="PTC",IF(D$5&lt;ptc_years,D64*Credits!D$8*(1+sw_bonus)*transfer_ptc,0),0)+IF(D$5=0,$C$63,0)</f>
        <v/>
      </c>
      <c r="E70" s="25">
        <f>IF(sw_credit="PTC",IF(E$5&lt;ptc_years,E64*Credits!E$8*(1+sw_bonus)*transfer_ptc,0),0)+IF(E$5=0,$C$63,0)</f>
        <v/>
      </c>
      <c r="F70" s="25">
        <f>IF(sw_credit="PTC",IF(F$5&lt;ptc_years,F64*Credits!F$8*(1+sw_bonus)*transfer_ptc,0),0)+IF(F$5=0,$C$63,0)</f>
        <v/>
      </c>
      <c r="G70" s="25">
        <f>IF(sw_credit="PTC",IF(G$5&lt;ptc_years,G64*Credits!G$8*(1+sw_bonus)*transfer_ptc,0),0)+IF(G$5=0,$C$63,0)</f>
        <v/>
      </c>
      <c r="H70" s="25">
        <f>IF(sw_credit="PTC",IF(H$5&lt;ptc_years,H64*Credits!H$8*(1+sw_bonus)*transfer_ptc,0),0)+IF(H$5=0,$C$63,0)</f>
        <v/>
      </c>
      <c r="I70" s="25">
        <f>IF(sw_credit="PTC",IF(I$5&lt;ptc_years,I64*Credits!I$8*(1+sw_bonus)*transfer_ptc,0),0)+IF(I$5=0,$C$63,0)</f>
        <v/>
      </c>
      <c r="J70" s="25">
        <f>IF(sw_credit="PTC",IF(J$5&lt;ptc_years,J64*Credits!J$8*(1+sw_bonus)*transfer_ptc,0),0)+IF(J$5=0,$C$63,0)</f>
        <v/>
      </c>
      <c r="K70" s="25">
        <f>IF(sw_credit="PTC",IF(K$5&lt;ptc_years,K64*Credits!K$8*(1+sw_bonus)*transfer_ptc,0),0)+IF(K$5=0,$C$63,0)</f>
        <v/>
      </c>
      <c r="L70" s="25">
        <f>IF(sw_credit="PTC",IF(L$5&lt;ptc_years,L64*Credits!L$8*(1+sw_bonus)*transfer_ptc,0),0)+IF(L$5=0,$C$63,0)</f>
        <v/>
      </c>
      <c r="M70" s="25">
        <f>IF(sw_credit="PTC",IF(M$5&lt;ptc_years,M64*Credits!M$8*(1+sw_bonus)*transfer_ptc,0),0)+IF(M$5=0,$C$63,0)</f>
        <v/>
      </c>
      <c r="N70" s="25">
        <f>IF(sw_credit="PTC",IF(N$5&lt;ptc_years,N64*Credits!N$8*(1+sw_bonus)*transfer_ptc,0),0)+IF(N$5=0,$C$63,0)</f>
        <v/>
      </c>
      <c r="O70" s="25">
        <f>IF(sw_credit="PTC",IF(O$5&lt;ptc_years,O64*Credits!O$8*(1+sw_bonus)*transfer_ptc,0),0)+IF(O$5=0,$C$63,0)</f>
        <v/>
      </c>
      <c r="P70" s="25">
        <f>IF(sw_credit="PTC",IF(P$5&lt;ptc_years,P64*Credits!P$8*(1+sw_bonus)*transfer_ptc,0),0)+IF(P$5=0,$C$63,0)</f>
        <v/>
      </c>
      <c r="Q70" s="25">
        <f>IF(sw_credit="PTC",IF(Q$5&lt;ptc_years,Q64*Credits!Q$8*(1+sw_bonus)*transfer_ptc,0),0)+IF(Q$5=0,$C$63,0)</f>
        <v/>
      </c>
      <c r="R70" s="25">
        <f>IF(sw_credit="PTC",IF(R$5&lt;ptc_years,R64*Credits!R$8*(1+sw_bonus)*transfer_ptc,0),0)+IF(R$5=0,$C$63,0)</f>
        <v/>
      </c>
      <c r="S70" s="25">
        <f>IF(sw_credit="PTC",IF(S$5&lt;ptc_years,S64*Credits!S$8*(1+sw_bonus)*transfer_ptc,0),0)+IF(S$5=0,$C$63,0)</f>
        <v/>
      </c>
      <c r="T70" s="25">
        <f>IF(sw_credit="PTC",IF(T$5&lt;ptc_years,T64*Credits!T$8*(1+sw_bonus)*transfer_ptc,0),0)+IF(T$5=0,$C$63,0)</f>
        <v/>
      </c>
      <c r="U70" s="25">
        <f>IF(sw_credit="PTC",IF(U$5&lt;ptc_years,U64*Credits!U$8*(1+sw_bonus)*transfer_ptc,0),0)+IF(U$5=0,$C$63,0)</f>
        <v/>
      </c>
      <c r="V70" s="25">
        <f>IF(sw_credit="PTC",IF(V$5&lt;ptc_years,V64*Credits!V$8*(1+sw_bonus)*transfer_ptc,0),0)+IF(V$5=0,$C$63,0)</f>
        <v/>
      </c>
      <c r="W70" s="25">
        <f>IF(sw_credit="PTC",IF(W$5&lt;ptc_years,W64*Credits!W$8*(1+sw_bonus)*transfer_ptc,0),0)+IF(W$5=0,$C$63,0)</f>
        <v/>
      </c>
      <c r="X70" s="25">
        <f>IF(sw_credit="PTC",IF(X$5&lt;ptc_years,X64*Credits!X$8*(1+sw_bonus)*transfer_ptc,0),0)+IF(X$5=0,$C$63,0)</f>
        <v/>
      </c>
      <c r="Y70" s="25">
        <f>IF(sw_credit="PTC",IF(Y$5&lt;ptc_years,Y64*Credits!Y$8*(1+sw_bonus)*transfer_ptc,0),0)+IF(Y$5=0,$C$63,0)</f>
        <v/>
      </c>
      <c r="Z70" s="25">
        <f>IF(sw_credit="PTC",IF(Z$5&lt;ptc_years,Z64*Credits!Z$8*(1+sw_bonus)*transfer_ptc,0),0)+IF(Z$5=0,$C$63,0)</f>
        <v/>
      </c>
      <c r="AA70" s="25">
        <f>IF(sw_credit="PTC",IF(AA$5&lt;ptc_years,AA64*Credits!AA$8*(1+sw_bonus)*transfer_ptc,0),0)+IF(AA$5=0,$C$63,0)</f>
        <v/>
      </c>
      <c r="AB70" s="25">
        <f>IF(sw_credit="PTC",IF(AB$5&lt;ptc_years,AB64*Credits!AB$8*(1+sw_bonus)*transfer_ptc,0),0)+IF(AB$5=0,$C$63,0)</f>
        <v/>
      </c>
      <c r="AC70" s="25">
        <f>IF(sw_credit="PTC",IF(AC$5&lt;ptc_years,AC64*Credits!AC$8*(1+sw_bonus)*transfer_ptc,0),0)+IF(AC$5=0,$C$63,0)</f>
        <v/>
      </c>
      <c r="AD70" s="25">
        <f>IF(sw_credit="PTC",IF(AD$5&lt;ptc_years,AD64*Credits!AD$8*(1+sw_bonus)*transfer_ptc,0),0)+IF(AD$5=0,$C$63,0)</f>
        <v/>
      </c>
      <c r="AE70" s="25">
        <f>IF(sw_credit="PTC",IF(AE$5&lt;ptc_years,AE64*Credits!AE$8*(1+sw_bonus)*transfer_ptc,0),0)+IF(AE$5=0,$C$63,0)</f>
        <v/>
      </c>
      <c r="AF70" s="25">
        <f>IF(sw_credit="PTC",IF(AF$5&lt;ptc_years,AF64*Credits!AF$8*(1+sw_bonus)*transfer_ptc,0),0)+IF(AF$5=0,$C$63,0)</f>
        <v/>
      </c>
      <c r="AG70" s="25">
        <f>IF(sw_credit="PTC",IF(AG$5&lt;ptc_years,AG64*Credits!AG$8*(1+sw_bonus)*transfer_ptc,0),0)+IF(AG$5=0,$C$63,0)</f>
        <v/>
      </c>
      <c r="AH70" s="25">
        <f>IF(sw_credit="PTC",IF(AH$5&lt;ptc_years,AH64*Credits!AH$8*(1+sw_bonus)*transfer_ptc,0),0)+IF(AH$5=0,$C$63,0)</f>
        <v/>
      </c>
      <c r="AI70" s="25">
        <f>IF(sw_credit="PTC",IF(AI$5&lt;ptc_years,AI64*Credits!AI$8*(1+sw_bonus)*transfer_ptc,0),0)+IF(AI$5=0,$C$63,0)</f>
        <v/>
      </c>
      <c r="AJ70" s="25">
        <f>IF(sw_credit="PTC",IF(AJ$5&lt;ptc_years,AJ64*Credits!AJ$8*(1+sw_bonus)*transfer_ptc,0),0)+IF(AJ$5=0,$C$63,0)</f>
        <v/>
      </c>
      <c r="AK70" s="25">
        <f>IF(sw_credit="PTC",IF(AK$5&lt;ptc_years,AK64*Credits!AK$8*(1+sw_bonus)*transfer_ptc,0),0)+IF(AK$5=0,$C$63,0)</f>
        <v/>
      </c>
      <c r="AL70" s="25">
        <f>IF(sw_credit="PTC",IF(AL$5&lt;ptc_years,AL64*Credits!AL$8*(1+sw_bonus)*transfer_ptc,0),0)+IF(AL$5=0,$C$63,0)</f>
        <v/>
      </c>
    </row>
    <row r="71">
      <c r="B71" s="14" t="inlineStr">
        <is>
          <t>EBITDA ($)</t>
        </is>
      </c>
      <c r="D71" s="26">
        <f>D66+D67-D68-D69</f>
        <v/>
      </c>
      <c r="E71" s="26">
        <f>E66+E67-E68-E69</f>
        <v/>
      </c>
      <c r="F71" s="26">
        <f>F66+F67-F68-F69</f>
        <v/>
      </c>
      <c r="G71" s="26">
        <f>G66+G67-G68-G69</f>
        <v/>
      </c>
      <c r="H71" s="26">
        <f>H66+H67-H68-H69</f>
        <v/>
      </c>
      <c r="I71" s="26">
        <f>I66+I67-I68-I69</f>
        <v/>
      </c>
      <c r="J71" s="26">
        <f>J66+J67-J68-J69</f>
        <v/>
      </c>
      <c r="K71" s="26">
        <f>K66+K67-K68-K69</f>
        <v/>
      </c>
      <c r="L71" s="26">
        <f>L66+L67-L68-L69</f>
        <v/>
      </c>
      <c r="M71" s="26">
        <f>M66+M67-M68-M69</f>
        <v/>
      </c>
      <c r="N71" s="26">
        <f>N66+N67-N68-N69</f>
        <v/>
      </c>
      <c r="O71" s="26">
        <f>O66+O67-O68-O69</f>
        <v/>
      </c>
      <c r="P71" s="26">
        <f>P66+P67-P68-P69</f>
        <v/>
      </c>
      <c r="Q71" s="26">
        <f>Q66+Q67-Q68-Q69</f>
        <v/>
      </c>
      <c r="R71" s="26">
        <f>R66+R67-R68-R69</f>
        <v/>
      </c>
      <c r="S71" s="26">
        <f>S66+S67-S68-S69</f>
        <v/>
      </c>
      <c r="T71" s="26">
        <f>T66+T67-T68-T69</f>
        <v/>
      </c>
      <c r="U71" s="26">
        <f>U66+U67-U68-U69</f>
        <v/>
      </c>
      <c r="V71" s="26">
        <f>V66+V67-V68-V69</f>
        <v/>
      </c>
      <c r="W71" s="26">
        <f>W66+W67-W68-W69</f>
        <v/>
      </c>
      <c r="X71" s="26">
        <f>X66+X67-X68-X69</f>
        <v/>
      </c>
      <c r="Y71" s="26">
        <f>Y66+Y67-Y68-Y69</f>
        <v/>
      </c>
      <c r="Z71" s="26">
        <f>Z66+Z67-Z68-Z69</f>
        <v/>
      </c>
      <c r="AA71" s="26">
        <f>AA66+AA67-AA68-AA69</f>
        <v/>
      </c>
      <c r="AB71" s="26">
        <f>AB66+AB67-AB68-AB69</f>
        <v/>
      </c>
      <c r="AC71" s="26">
        <f>AC66+AC67-AC68-AC69</f>
        <v/>
      </c>
      <c r="AD71" s="26">
        <f>AD66+AD67-AD68-AD69</f>
        <v/>
      </c>
      <c r="AE71" s="26">
        <f>AE66+AE67-AE68-AE69</f>
        <v/>
      </c>
      <c r="AF71" s="26">
        <f>AF66+AF67-AF68-AF69</f>
        <v/>
      </c>
      <c r="AG71" s="26">
        <f>AG66+AG67-AG68-AG69</f>
        <v/>
      </c>
      <c r="AH71" s="26">
        <f>AH66+AH67-AH68-AH69</f>
        <v/>
      </c>
      <c r="AI71" s="26">
        <f>AI66+AI67-AI68-AI69</f>
        <v/>
      </c>
      <c r="AJ71" s="26">
        <f>AJ66+AJ67-AJ68-AJ69</f>
        <v/>
      </c>
      <c r="AK71" s="26">
        <f>AK66+AK67-AK68-AK69</f>
        <v/>
      </c>
      <c r="AL71" s="26">
        <f>AL66+AL67-AL68-AL69</f>
        <v/>
      </c>
    </row>
    <row r="72">
      <c r="B72" s="7" t="inlineStr">
        <is>
          <t>Discount factor to 1 January 2027, contracted rate</t>
        </is>
      </c>
      <c r="D72" s="22">
        <f>1/(1+x_rc)^(D$5+2)</f>
        <v/>
      </c>
      <c r="E72" s="22">
        <f>1/(1+x_rc)^(E$5+2)</f>
        <v/>
      </c>
      <c r="F72" s="22">
        <f>1/(1+x_rc)^(F$5+2)</f>
        <v/>
      </c>
      <c r="G72" s="22">
        <f>1/(1+x_rc)^(G$5+2)</f>
        <v/>
      </c>
      <c r="H72" s="22">
        <f>1/(1+x_rc)^(H$5+2)</f>
        <v/>
      </c>
      <c r="I72" s="22">
        <f>1/(1+x_rc)^(I$5+2)</f>
        <v/>
      </c>
      <c r="J72" s="22">
        <f>1/(1+x_rc)^(J$5+2)</f>
        <v/>
      </c>
      <c r="K72" s="22">
        <f>1/(1+x_rc)^(K$5+2)</f>
        <v/>
      </c>
      <c r="L72" s="22">
        <f>1/(1+x_rc)^(L$5+2)</f>
        <v/>
      </c>
      <c r="M72" s="22">
        <f>1/(1+x_rc)^(M$5+2)</f>
        <v/>
      </c>
      <c r="N72" s="22">
        <f>1/(1+x_rc)^(N$5+2)</f>
        <v/>
      </c>
      <c r="O72" s="22">
        <f>1/(1+x_rc)^(O$5+2)</f>
        <v/>
      </c>
      <c r="P72" s="22">
        <f>1/(1+x_rc)^(P$5+2)</f>
        <v/>
      </c>
      <c r="Q72" s="22">
        <f>1/(1+x_rc)^(Q$5+2)</f>
        <v/>
      </c>
      <c r="R72" s="22">
        <f>1/(1+x_rc)^(R$5+2)</f>
        <v/>
      </c>
      <c r="S72" s="22">
        <f>1/(1+x_rc)^(S$5+2)</f>
        <v/>
      </c>
      <c r="T72" s="22">
        <f>1/(1+x_rc)^(T$5+2)</f>
        <v/>
      </c>
      <c r="U72" s="22">
        <f>1/(1+x_rc)^(U$5+2)</f>
        <v/>
      </c>
      <c r="V72" s="22">
        <f>1/(1+x_rc)^(V$5+2)</f>
        <v/>
      </c>
      <c r="W72" s="22">
        <f>1/(1+x_rc)^(W$5+2)</f>
        <v/>
      </c>
      <c r="X72" s="22">
        <f>1/(1+x_rc)^(X$5+2)</f>
        <v/>
      </c>
      <c r="Y72" s="22">
        <f>1/(1+x_rc)^(Y$5+2)</f>
        <v/>
      </c>
      <c r="Z72" s="22">
        <f>1/(1+x_rc)^(Z$5+2)</f>
        <v/>
      </c>
      <c r="AA72" s="22">
        <f>1/(1+x_rc)^(AA$5+2)</f>
        <v/>
      </c>
      <c r="AB72" s="22">
        <f>1/(1+x_rc)^(AB$5+2)</f>
        <v/>
      </c>
      <c r="AC72" s="22">
        <f>1/(1+x_rc)^(AC$5+2)</f>
        <v/>
      </c>
      <c r="AD72" s="22">
        <f>1/(1+x_rc)^(AD$5+2)</f>
        <v/>
      </c>
      <c r="AE72" s="22">
        <f>1/(1+x_rc)^(AE$5+2)</f>
        <v/>
      </c>
      <c r="AF72" s="22">
        <f>1/(1+x_rc)^(AF$5+2)</f>
        <v/>
      </c>
      <c r="AG72" s="22">
        <f>1/(1+x_rc)^(AG$5+2)</f>
        <v/>
      </c>
      <c r="AH72" s="22">
        <f>1/(1+x_rc)^(AH$5+2)</f>
        <v/>
      </c>
      <c r="AI72" s="22">
        <f>1/(1+x_rc)^(AI$5+2)</f>
        <v/>
      </c>
      <c r="AJ72" s="22">
        <f>1/(1+x_rc)^(AJ$5+2)</f>
        <v/>
      </c>
      <c r="AK72" s="22">
        <f>1/(1+x_rc)^(AK$5+2)</f>
        <v/>
      </c>
      <c r="AL72" s="22">
        <f>1/(1+x_rc)^(AL$5+2)</f>
        <v/>
      </c>
    </row>
    <row r="73">
      <c r="B73" s="7" t="inlineStr">
        <is>
          <t>Discount factor to 1 January 2027, merchant rate</t>
        </is>
      </c>
      <c r="D73" s="22">
        <f>1/(1+x_rm)^(D$5+2)</f>
        <v/>
      </c>
      <c r="E73" s="22">
        <f>1/(1+x_rm)^(E$5+2)</f>
        <v/>
      </c>
      <c r="F73" s="22">
        <f>1/(1+x_rm)^(F$5+2)</f>
        <v/>
      </c>
      <c r="G73" s="22">
        <f>1/(1+x_rm)^(G$5+2)</f>
        <v/>
      </c>
      <c r="H73" s="22">
        <f>1/(1+x_rm)^(H$5+2)</f>
        <v/>
      </c>
      <c r="I73" s="22">
        <f>1/(1+x_rm)^(I$5+2)</f>
        <v/>
      </c>
      <c r="J73" s="22">
        <f>1/(1+x_rm)^(J$5+2)</f>
        <v/>
      </c>
      <c r="K73" s="22">
        <f>1/(1+x_rm)^(K$5+2)</f>
        <v/>
      </c>
      <c r="L73" s="22">
        <f>1/(1+x_rm)^(L$5+2)</f>
        <v/>
      </c>
      <c r="M73" s="22">
        <f>1/(1+x_rm)^(M$5+2)</f>
        <v/>
      </c>
      <c r="N73" s="22">
        <f>1/(1+x_rm)^(N$5+2)</f>
        <v/>
      </c>
      <c r="O73" s="22">
        <f>1/(1+x_rm)^(O$5+2)</f>
        <v/>
      </c>
      <c r="P73" s="22">
        <f>1/(1+x_rm)^(P$5+2)</f>
        <v/>
      </c>
      <c r="Q73" s="22">
        <f>1/(1+x_rm)^(Q$5+2)</f>
        <v/>
      </c>
      <c r="R73" s="22">
        <f>1/(1+x_rm)^(R$5+2)</f>
        <v/>
      </c>
      <c r="S73" s="22">
        <f>1/(1+x_rm)^(S$5+2)</f>
        <v/>
      </c>
      <c r="T73" s="22">
        <f>1/(1+x_rm)^(T$5+2)</f>
        <v/>
      </c>
      <c r="U73" s="22">
        <f>1/(1+x_rm)^(U$5+2)</f>
        <v/>
      </c>
      <c r="V73" s="22">
        <f>1/(1+x_rm)^(V$5+2)</f>
        <v/>
      </c>
      <c r="W73" s="22">
        <f>1/(1+x_rm)^(W$5+2)</f>
        <v/>
      </c>
      <c r="X73" s="22">
        <f>1/(1+x_rm)^(X$5+2)</f>
        <v/>
      </c>
      <c r="Y73" s="22">
        <f>1/(1+x_rm)^(Y$5+2)</f>
        <v/>
      </c>
      <c r="Z73" s="22">
        <f>1/(1+x_rm)^(Z$5+2)</f>
        <v/>
      </c>
      <c r="AA73" s="22">
        <f>1/(1+x_rm)^(AA$5+2)</f>
        <v/>
      </c>
      <c r="AB73" s="22">
        <f>1/(1+x_rm)^(AB$5+2)</f>
        <v/>
      </c>
      <c r="AC73" s="22">
        <f>1/(1+x_rm)^(AC$5+2)</f>
        <v/>
      </c>
      <c r="AD73" s="22">
        <f>1/(1+x_rm)^(AD$5+2)</f>
        <v/>
      </c>
      <c r="AE73" s="22">
        <f>1/(1+x_rm)^(AE$5+2)</f>
        <v/>
      </c>
      <c r="AF73" s="22">
        <f>1/(1+x_rm)^(AF$5+2)</f>
        <v/>
      </c>
      <c r="AG73" s="22">
        <f>1/(1+x_rm)^(AG$5+2)</f>
        <v/>
      </c>
      <c r="AH73" s="22">
        <f>1/(1+x_rm)^(AH$5+2)</f>
        <v/>
      </c>
      <c r="AI73" s="22">
        <f>1/(1+x_rm)^(AI$5+2)</f>
        <v/>
      </c>
      <c r="AJ73" s="22">
        <f>1/(1+x_rm)^(AJ$5+2)</f>
        <v/>
      </c>
      <c r="AK73" s="22">
        <f>1/(1+x_rm)^(AK$5+2)</f>
        <v/>
      </c>
      <c r="AL73" s="22">
        <f>1/(1+x_rm)^(AL$5+2)</f>
        <v/>
      </c>
    </row>
    <row r="74">
      <c r="B74" s="14" t="inlineStr">
        <is>
          <t>Revenue: contracted + merchant - basis cost ($)</t>
        </is>
      </c>
      <c r="D74" s="26">
        <f>D66+D67-D68</f>
        <v/>
      </c>
      <c r="E74" s="26">
        <f>E66+E67-E68</f>
        <v/>
      </c>
      <c r="F74" s="26">
        <f>F66+F67-F68</f>
        <v/>
      </c>
      <c r="G74" s="26">
        <f>G66+G67-G68</f>
        <v/>
      </c>
      <c r="H74" s="26">
        <f>H66+H67-H68</f>
        <v/>
      </c>
      <c r="I74" s="26">
        <f>I66+I67-I68</f>
        <v/>
      </c>
      <c r="J74" s="26">
        <f>J66+J67-J68</f>
        <v/>
      </c>
      <c r="K74" s="26">
        <f>K66+K67-K68</f>
        <v/>
      </c>
      <c r="L74" s="26">
        <f>L66+L67-L68</f>
        <v/>
      </c>
      <c r="M74" s="26">
        <f>M66+M67-M68</f>
        <v/>
      </c>
      <c r="N74" s="26">
        <f>N66+N67-N68</f>
        <v/>
      </c>
      <c r="O74" s="26">
        <f>O66+O67-O68</f>
        <v/>
      </c>
      <c r="P74" s="26">
        <f>P66+P67-P68</f>
        <v/>
      </c>
      <c r="Q74" s="26">
        <f>Q66+Q67-Q68</f>
        <v/>
      </c>
      <c r="R74" s="26">
        <f>R66+R67-R68</f>
        <v/>
      </c>
      <c r="S74" s="26">
        <f>S66+S67-S68</f>
        <v/>
      </c>
      <c r="T74" s="26">
        <f>T66+T67-T68</f>
        <v/>
      </c>
      <c r="U74" s="26">
        <f>U66+U67-U68</f>
        <v/>
      </c>
      <c r="V74" s="26">
        <f>V66+V67-V68</f>
        <v/>
      </c>
      <c r="W74" s="26">
        <f>W66+W67-W68</f>
        <v/>
      </c>
      <c r="X74" s="26">
        <f>X66+X67-X68</f>
        <v/>
      </c>
      <c r="Y74" s="26">
        <f>Y66+Y67-Y68</f>
        <v/>
      </c>
      <c r="Z74" s="26">
        <f>Z66+Z67-Z68</f>
        <v/>
      </c>
      <c r="AA74" s="26">
        <f>AA66+AA67-AA68</f>
        <v/>
      </c>
      <c r="AB74" s="26">
        <f>AB66+AB67-AB68</f>
        <v/>
      </c>
      <c r="AC74" s="26">
        <f>AC66+AC67-AC68</f>
        <v/>
      </c>
      <c r="AD74" s="26">
        <f>AD66+AD67-AD68</f>
        <v/>
      </c>
      <c r="AE74" s="26">
        <f>AE66+AE67-AE68</f>
        <v/>
      </c>
      <c r="AF74" s="26">
        <f>AF66+AF67-AF68</f>
        <v/>
      </c>
      <c r="AG74" s="26">
        <f>AG66+AG67-AG68</f>
        <v/>
      </c>
      <c r="AH74" s="26">
        <f>AH66+AH67-AH68</f>
        <v/>
      </c>
      <c r="AI74" s="26">
        <f>AI66+AI67-AI68</f>
        <v/>
      </c>
      <c r="AJ74" s="26">
        <f>AJ66+AJ67-AJ68</f>
        <v/>
      </c>
      <c r="AK74" s="26">
        <f>AK66+AK67-AK68</f>
        <v/>
      </c>
      <c r="AL74" s="26">
        <f>AL66+AL67-AL68</f>
        <v/>
      </c>
    </row>
    <row r="75">
      <c r="B75" s="7" t="inlineStr">
        <is>
          <t>Discount factor to 1 January 2028, contracted rate</t>
        </is>
      </c>
      <c r="D75" s="22">
        <f>1/(1+x_rc)^(D$5+1)</f>
        <v/>
      </c>
      <c r="E75" s="22">
        <f>1/(1+x_rc)^(E$5+1)</f>
        <v/>
      </c>
      <c r="F75" s="22">
        <f>1/(1+x_rc)^(F$5+1)</f>
        <v/>
      </c>
      <c r="G75" s="22">
        <f>1/(1+x_rc)^(G$5+1)</f>
        <v/>
      </c>
      <c r="H75" s="22">
        <f>1/(1+x_rc)^(H$5+1)</f>
        <v/>
      </c>
      <c r="I75" s="22">
        <f>1/(1+x_rc)^(I$5+1)</f>
        <v/>
      </c>
      <c r="J75" s="22">
        <f>1/(1+x_rc)^(J$5+1)</f>
        <v/>
      </c>
      <c r="K75" s="22">
        <f>1/(1+x_rc)^(K$5+1)</f>
        <v/>
      </c>
      <c r="L75" s="22">
        <f>1/(1+x_rc)^(L$5+1)</f>
        <v/>
      </c>
      <c r="M75" s="22">
        <f>1/(1+x_rc)^(M$5+1)</f>
        <v/>
      </c>
      <c r="N75" s="22">
        <f>1/(1+x_rc)^(N$5+1)</f>
        <v/>
      </c>
      <c r="O75" s="22">
        <f>1/(1+x_rc)^(O$5+1)</f>
        <v/>
      </c>
      <c r="P75" s="22">
        <f>1/(1+x_rc)^(P$5+1)</f>
        <v/>
      </c>
      <c r="Q75" s="22">
        <f>1/(1+x_rc)^(Q$5+1)</f>
        <v/>
      </c>
      <c r="R75" s="22">
        <f>1/(1+x_rc)^(R$5+1)</f>
        <v/>
      </c>
      <c r="S75" s="22">
        <f>1/(1+x_rc)^(S$5+1)</f>
        <v/>
      </c>
      <c r="T75" s="22">
        <f>1/(1+x_rc)^(T$5+1)</f>
        <v/>
      </c>
      <c r="U75" s="22">
        <f>1/(1+x_rc)^(U$5+1)</f>
        <v/>
      </c>
      <c r="V75" s="22">
        <f>1/(1+x_rc)^(V$5+1)</f>
        <v/>
      </c>
      <c r="W75" s="22">
        <f>1/(1+x_rc)^(W$5+1)</f>
        <v/>
      </c>
      <c r="X75" s="22">
        <f>1/(1+x_rc)^(X$5+1)</f>
        <v/>
      </c>
      <c r="Y75" s="22">
        <f>1/(1+x_rc)^(Y$5+1)</f>
        <v/>
      </c>
      <c r="Z75" s="22">
        <f>1/(1+x_rc)^(Z$5+1)</f>
        <v/>
      </c>
      <c r="AA75" s="22">
        <f>1/(1+x_rc)^(AA$5+1)</f>
        <v/>
      </c>
      <c r="AB75" s="22">
        <f>1/(1+x_rc)^(AB$5+1)</f>
        <v/>
      </c>
      <c r="AC75" s="22">
        <f>1/(1+x_rc)^(AC$5+1)</f>
        <v/>
      </c>
      <c r="AD75" s="22">
        <f>1/(1+x_rc)^(AD$5+1)</f>
        <v/>
      </c>
      <c r="AE75" s="22">
        <f>1/(1+x_rc)^(AE$5+1)</f>
        <v/>
      </c>
      <c r="AF75" s="22">
        <f>1/(1+x_rc)^(AF$5+1)</f>
        <v/>
      </c>
      <c r="AG75" s="22">
        <f>1/(1+x_rc)^(AG$5+1)</f>
        <v/>
      </c>
      <c r="AH75" s="22">
        <f>1/(1+x_rc)^(AH$5+1)</f>
        <v/>
      </c>
      <c r="AI75" s="22">
        <f>1/(1+x_rc)^(AI$5+1)</f>
        <v/>
      </c>
      <c r="AJ75" s="22">
        <f>1/(1+x_rc)^(AJ$5+1)</f>
        <v/>
      </c>
      <c r="AK75" s="22">
        <f>1/(1+x_rc)^(AK$5+1)</f>
        <v/>
      </c>
      <c r="AL75" s="22">
        <f>1/(1+x_rc)^(AL$5+1)</f>
        <v/>
      </c>
    </row>
    <row r="76">
      <c r="B76" s="7" t="inlineStr">
        <is>
          <t>Discount factor to 1 January 2028, merchant rate</t>
        </is>
      </c>
      <c r="D76" s="22">
        <f>1/(1+x_rm)^(D$5+1)</f>
        <v/>
      </c>
      <c r="E76" s="22">
        <f>1/(1+x_rm)^(E$5+1)</f>
        <v/>
      </c>
      <c r="F76" s="22">
        <f>1/(1+x_rm)^(F$5+1)</f>
        <v/>
      </c>
      <c r="G76" s="22">
        <f>1/(1+x_rm)^(G$5+1)</f>
        <v/>
      </c>
      <c r="H76" s="22">
        <f>1/(1+x_rm)^(H$5+1)</f>
        <v/>
      </c>
      <c r="I76" s="22">
        <f>1/(1+x_rm)^(I$5+1)</f>
        <v/>
      </c>
      <c r="J76" s="22">
        <f>1/(1+x_rm)^(J$5+1)</f>
        <v/>
      </c>
      <c r="K76" s="22">
        <f>1/(1+x_rm)^(K$5+1)</f>
        <v/>
      </c>
      <c r="L76" s="22">
        <f>1/(1+x_rm)^(L$5+1)</f>
        <v/>
      </c>
      <c r="M76" s="22">
        <f>1/(1+x_rm)^(M$5+1)</f>
        <v/>
      </c>
      <c r="N76" s="22">
        <f>1/(1+x_rm)^(N$5+1)</f>
        <v/>
      </c>
      <c r="O76" s="22">
        <f>1/(1+x_rm)^(O$5+1)</f>
        <v/>
      </c>
      <c r="P76" s="22">
        <f>1/(1+x_rm)^(P$5+1)</f>
        <v/>
      </c>
      <c r="Q76" s="22">
        <f>1/(1+x_rm)^(Q$5+1)</f>
        <v/>
      </c>
      <c r="R76" s="22">
        <f>1/(1+x_rm)^(R$5+1)</f>
        <v/>
      </c>
      <c r="S76" s="22">
        <f>1/(1+x_rm)^(S$5+1)</f>
        <v/>
      </c>
      <c r="T76" s="22">
        <f>1/(1+x_rm)^(T$5+1)</f>
        <v/>
      </c>
      <c r="U76" s="22">
        <f>1/(1+x_rm)^(U$5+1)</f>
        <v/>
      </c>
      <c r="V76" s="22">
        <f>1/(1+x_rm)^(V$5+1)</f>
        <v/>
      </c>
      <c r="W76" s="22">
        <f>1/(1+x_rm)^(W$5+1)</f>
        <v/>
      </c>
      <c r="X76" s="22">
        <f>1/(1+x_rm)^(X$5+1)</f>
        <v/>
      </c>
      <c r="Y76" s="22">
        <f>1/(1+x_rm)^(Y$5+1)</f>
        <v/>
      </c>
      <c r="Z76" s="22">
        <f>1/(1+x_rm)^(Z$5+1)</f>
        <v/>
      </c>
      <c r="AA76" s="22">
        <f>1/(1+x_rm)^(AA$5+1)</f>
        <v/>
      </c>
      <c r="AB76" s="22">
        <f>1/(1+x_rm)^(AB$5+1)</f>
        <v/>
      </c>
      <c r="AC76" s="22">
        <f>1/(1+x_rm)^(AC$5+1)</f>
        <v/>
      </c>
      <c r="AD76" s="22">
        <f>1/(1+x_rm)^(AD$5+1)</f>
        <v/>
      </c>
      <c r="AE76" s="22">
        <f>1/(1+x_rm)^(AE$5+1)</f>
        <v/>
      </c>
      <c r="AF76" s="22">
        <f>1/(1+x_rm)^(AF$5+1)</f>
        <v/>
      </c>
      <c r="AG76" s="22">
        <f>1/(1+x_rm)^(AG$5+1)</f>
        <v/>
      </c>
      <c r="AH76" s="22">
        <f>1/(1+x_rm)^(AH$5+1)</f>
        <v/>
      </c>
      <c r="AI76" s="22">
        <f>1/(1+x_rm)^(AI$5+1)</f>
        <v/>
      </c>
      <c r="AJ76" s="22">
        <f>1/(1+x_rm)^(AJ$5+1)</f>
        <v/>
      </c>
      <c r="AK76" s="22">
        <f>1/(1+x_rm)^(AK$5+1)</f>
        <v/>
      </c>
      <c r="AL76" s="22">
        <f>1/(1+x_rm)^(AL$5+1)</f>
        <v/>
      </c>
    </row>
    <row r="77">
      <c r="B77" s="7" t="inlineStr">
        <is>
          <t>Discount factor to the later sale date, contracted rate</t>
        </is>
      </c>
      <c r="D77" s="22">
        <f>IF(D$4&gt;=sale_year,1/(1+x_rc)^(D$4-sale_year+1),0)</f>
        <v/>
      </c>
      <c r="E77" s="22">
        <f>IF(E$4&gt;=sale_year,1/(1+x_rc)^(E$4-sale_year+1),0)</f>
        <v/>
      </c>
      <c r="F77" s="22">
        <f>IF(F$4&gt;=sale_year,1/(1+x_rc)^(F$4-sale_year+1),0)</f>
        <v/>
      </c>
      <c r="G77" s="22">
        <f>IF(G$4&gt;=sale_year,1/(1+x_rc)^(G$4-sale_year+1),0)</f>
        <v/>
      </c>
      <c r="H77" s="22">
        <f>IF(H$4&gt;=sale_year,1/(1+x_rc)^(H$4-sale_year+1),0)</f>
        <v/>
      </c>
      <c r="I77" s="22">
        <f>IF(I$4&gt;=sale_year,1/(1+x_rc)^(I$4-sale_year+1),0)</f>
        <v/>
      </c>
      <c r="J77" s="22">
        <f>IF(J$4&gt;=sale_year,1/(1+x_rc)^(J$4-sale_year+1),0)</f>
        <v/>
      </c>
      <c r="K77" s="22">
        <f>IF(K$4&gt;=sale_year,1/(1+x_rc)^(K$4-sale_year+1),0)</f>
        <v/>
      </c>
      <c r="L77" s="22">
        <f>IF(L$4&gt;=sale_year,1/(1+x_rc)^(L$4-sale_year+1),0)</f>
        <v/>
      </c>
      <c r="M77" s="22">
        <f>IF(M$4&gt;=sale_year,1/(1+x_rc)^(M$4-sale_year+1),0)</f>
        <v/>
      </c>
      <c r="N77" s="22">
        <f>IF(N$4&gt;=sale_year,1/(1+x_rc)^(N$4-sale_year+1),0)</f>
        <v/>
      </c>
      <c r="O77" s="22">
        <f>IF(O$4&gt;=sale_year,1/(1+x_rc)^(O$4-sale_year+1),0)</f>
        <v/>
      </c>
      <c r="P77" s="22">
        <f>IF(P$4&gt;=sale_year,1/(1+x_rc)^(P$4-sale_year+1),0)</f>
        <v/>
      </c>
      <c r="Q77" s="22">
        <f>IF(Q$4&gt;=sale_year,1/(1+x_rc)^(Q$4-sale_year+1),0)</f>
        <v/>
      </c>
      <c r="R77" s="22">
        <f>IF(R$4&gt;=sale_year,1/(1+x_rc)^(R$4-sale_year+1),0)</f>
        <v/>
      </c>
      <c r="S77" s="22">
        <f>IF(S$4&gt;=sale_year,1/(1+x_rc)^(S$4-sale_year+1),0)</f>
        <v/>
      </c>
      <c r="T77" s="22">
        <f>IF(T$4&gt;=sale_year,1/(1+x_rc)^(T$4-sale_year+1),0)</f>
        <v/>
      </c>
      <c r="U77" s="22">
        <f>IF(U$4&gt;=sale_year,1/(1+x_rc)^(U$4-sale_year+1),0)</f>
        <v/>
      </c>
      <c r="V77" s="22">
        <f>IF(V$4&gt;=sale_year,1/(1+x_rc)^(V$4-sale_year+1),0)</f>
        <v/>
      </c>
      <c r="W77" s="22">
        <f>IF(W$4&gt;=sale_year,1/(1+x_rc)^(W$4-sale_year+1),0)</f>
        <v/>
      </c>
      <c r="X77" s="22">
        <f>IF(X$4&gt;=sale_year,1/(1+x_rc)^(X$4-sale_year+1),0)</f>
        <v/>
      </c>
      <c r="Y77" s="22">
        <f>IF(Y$4&gt;=sale_year,1/(1+x_rc)^(Y$4-sale_year+1),0)</f>
        <v/>
      </c>
      <c r="Z77" s="22">
        <f>IF(Z$4&gt;=sale_year,1/(1+x_rc)^(Z$4-sale_year+1),0)</f>
        <v/>
      </c>
      <c r="AA77" s="22">
        <f>IF(AA$4&gt;=sale_year,1/(1+x_rc)^(AA$4-sale_year+1),0)</f>
        <v/>
      </c>
      <c r="AB77" s="22">
        <f>IF(AB$4&gt;=sale_year,1/(1+x_rc)^(AB$4-sale_year+1),0)</f>
        <v/>
      </c>
      <c r="AC77" s="22">
        <f>IF(AC$4&gt;=sale_year,1/(1+x_rc)^(AC$4-sale_year+1),0)</f>
        <v/>
      </c>
      <c r="AD77" s="22">
        <f>IF(AD$4&gt;=sale_year,1/(1+x_rc)^(AD$4-sale_year+1),0)</f>
        <v/>
      </c>
      <c r="AE77" s="22">
        <f>IF(AE$4&gt;=sale_year,1/(1+x_rc)^(AE$4-sale_year+1),0)</f>
        <v/>
      </c>
      <c r="AF77" s="22">
        <f>IF(AF$4&gt;=sale_year,1/(1+x_rc)^(AF$4-sale_year+1),0)</f>
        <v/>
      </c>
      <c r="AG77" s="22">
        <f>IF(AG$4&gt;=sale_year,1/(1+x_rc)^(AG$4-sale_year+1),0)</f>
        <v/>
      </c>
      <c r="AH77" s="22">
        <f>IF(AH$4&gt;=sale_year,1/(1+x_rc)^(AH$4-sale_year+1),0)</f>
        <v/>
      </c>
      <c r="AI77" s="22">
        <f>IF(AI$4&gt;=sale_year,1/(1+x_rc)^(AI$4-sale_year+1),0)</f>
        <v/>
      </c>
      <c r="AJ77" s="22">
        <f>IF(AJ$4&gt;=sale_year,1/(1+x_rc)^(AJ$4-sale_year+1),0)</f>
        <v/>
      </c>
      <c r="AK77" s="22">
        <f>IF(AK$4&gt;=sale_year,1/(1+x_rc)^(AK$4-sale_year+1),0)</f>
        <v/>
      </c>
      <c r="AL77" s="22">
        <f>IF(AL$4&gt;=sale_year,1/(1+x_rc)^(AL$4-sale_year+1),0)</f>
        <v/>
      </c>
    </row>
    <row r="78">
      <c r="B78" s="7" t="inlineStr">
        <is>
          <t>Discount factor to the later sale date, merchant rate</t>
        </is>
      </c>
      <c r="D78" s="22">
        <f>IF(D$4&gt;=sale_year,1/(1+x_rm)^(D$4-sale_year+1),0)</f>
        <v/>
      </c>
      <c r="E78" s="22">
        <f>IF(E$4&gt;=sale_year,1/(1+x_rm)^(E$4-sale_year+1),0)</f>
        <v/>
      </c>
      <c r="F78" s="22">
        <f>IF(F$4&gt;=sale_year,1/(1+x_rm)^(F$4-sale_year+1),0)</f>
        <v/>
      </c>
      <c r="G78" s="22">
        <f>IF(G$4&gt;=sale_year,1/(1+x_rm)^(G$4-sale_year+1),0)</f>
        <v/>
      </c>
      <c r="H78" s="22">
        <f>IF(H$4&gt;=sale_year,1/(1+x_rm)^(H$4-sale_year+1),0)</f>
        <v/>
      </c>
      <c r="I78" s="22">
        <f>IF(I$4&gt;=sale_year,1/(1+x_rm)^(I$4-sale_year+1),0)</f>
        <v/>
      </c>
      <c r="J78" s="22">
        <f>IF(J$4&gt;=sale_year,1/(1+x_rm)^(J$4-sale_year+1),0)</f>
        <v/>
      </c>
      <c r="K78" s="22">
        <f>IF(K$4&gt;=sale_year,1/(1+x_rm)^(K$4-sale_year+1),0)</f>
        <v/>
      </c>
      <c r="L78" s="22">
        <f>IF(L$4&gt;=sale_year,1/(1+x_rm)^(L$4-sale_year+1),0)</f>
        <v/>
      </c>
      <c r="M78" s="22">
        <f>IF(M$4&gt;=sale_year,1/(1+x_rm)^(M$4-sale_year+1),0)</f>
        <v/>
      </c>
      <c r="N78" s="22">
        <f>IF(N$4&gt;=sale_year,1/(1+x_rm)^(N$4-sale_year+1),0)</f>
        <v/>
      </c>
      <c r="O78" s="22">
        <f>IF(O$4&gt;=sale_year,1/(1+x_rm)^(O$4-sale_year+1),0)</f>
        <v/>
      </c>
      <c r="P78" s="22">
        <f>IF(P$4&gt;=sale_year,1/(1+x_rm)^(P$4-sale_year+1),0)</f>
        <v/>
      </c>
      <c r="Q78" s="22">
        <f>IF(Q$4&gt;=sale_year,1/(1+x_rm)^(Q$4-sale_year+1),0)</f>
        <v/>
      </c>
      <c r="R78" s="22">
        <f>IF(R$4&gt;=sale_year,1/(1+x_rm)^(R$4-sale_year+1),0)</f>
        <v/>
      </c>
      <c r="S78" s="22">
        <f>IF(S$4&gt;=sale_year,1/(1+x_rm)^(S$4-sale_year+1),0)</f>
        <v/>
      </c>
      <c r="T78" s="22">
        <f>IF(T$4&gt;=sale_year,1/(1+x_rm)^(T$4-sale_year+1),0)</f>
        <v/>
      </c>
      <c r="U78" s="22">
        <f>IF(U$4&gt;=sale_year,1/(1+x_rm)^(U$4-sale_year+1),0)</f>
        <v/>
      </c>
      <c r="V78" s="22">
        <f>IF(V$4&gt;=sale_year,1/(1+x_rm)^(V$4-sale_year+1),0)</f>
        <v/>
      </c>
      <c r="W78" s="22">
        <f>IF(W$4&gt;=sale_year,1/(1+x_rm)^(W$4-sale_year+1),0)</f>
        <v/>
      </c>
      <c r="X78" s="22">
        <f>IF(X$4&gt;=sale_year,1/(1+x_rm)^(X$4-sale_year+1),0)</f>
        <v/>
      </c>
      <c r="Y78" s="22">
        <f>IF(Y$4&gt;=sale_year,1/(1+x_rm)^(Y$4-sale_year+1),0)</f>
        <v/>
      </c>
      <c r="Z78" s="22">
        <f>IF(Z$4&gt;=sale_year,1/(1+x_rm)^(Z$4-sale_year+1),0)</f>
        <v/>
      </c>
      <c r="AA78" s="22">
        <f>IF(AA$4&gt;=sale_year,1/(1+x_rm)^(AA$4-sale_year+1),0)</f>
        <v/>
      </c>
      <c r="AB78" s="22">
        <f>IF(AB$4&gt;=sale_year,1/(1+x_rm)^(AB$4-sale_year+1),0)</f>
        <v/>
      </c>
      <c r="AC78" s="22">
        <f>IF(AC$4&gt;=sale_year,1/(1+x_rm)^(AC$4-sale_year+1),0)</f>
        <v/>
      </c>
      <c r="AD78" s="22">
        <f>IF(AD$4&gt;=sale_year,1/(1+x_rm)^(AD$4-sale_year+1),0)</f>
        <v/>
      </c>
      <c r="AE78" s="22">
        <f>IF(AE$4&gt;=sale_year,1/(1+x_rm)^(AE$4-sale_year+1),0)</f>
        <v/>
      </c>
      <c r="AF78" s="22">
        <f>IF(AF$4&gt;=sale_year,1/(1+x_rm)^(AF$4-sale_year+1),0)</f>
        <v/>
      </c>
      <c r="AG78" s="22">
        <f>IF(AG$4&gt;=sale_year,1/(1+x_rm)^(AG$4-sale_year+1),0)</f>
        <v/>
      </c>
      <c r="AH78" s="22">
        <f>IF(AH$4&gt;=sale_year,1/(1+x_rm)^(AH$4-sale_year+1),0)</f>
        <v/>
      </c>
      <c r="AI78" s="22">
        <f>IF(AI$4&gt;=sale_year,1/(1+x_rm)^(AI$4-sale_year+1),0)</f>
        <v/>
      </c>
      <c r="AJ78" s="22">
        <f>IF(AJ$4&gt;=sale_year,1/(1+x_rm)^(AJ$4-sale_year+1),0)</f>
        <v/>
      </c>
      <c r="AK78" s="22">
        <f>IF(AK$4&gt;=sale_year,1/(1+x_rm)^(AK$4-sale_year+1),0)</f>
        <v/>
      </c>
      <c r="AL78" s="22">
        <f>IF(AL$4&gt;=sale_year,1/(1+x_rm)^(AL$4-sale_year+1),0)</f>
        <v/>
      </c>
    </row>
    <row r="79">
      <c r="B79" s="7" t="inlineStr">
        <is>
          <t>Value on 1 January 2027 of the flows from 2028 (split rates) ($)</t>
        </is>
      </c>
      <c r="C79" s="25">
        <f>SUMPRODUCT($D$66:$AL$66,$D$72:$AL$72)+SUMPRODUCT($D$70:$AL$70,$D$72:$AL$72)-SUMPRODUCT($D$68:$AL$68,$D$72:$AL$72)-SUMPRODUCT($D$69:$AL$69,$D$72:$AL$72)+SUMPRODUCT($D$67:$AL$67,$D$73:$AL$73)-decom_end/(1+x_rc)^(life_years+1)</f>
        <v/>
      </c>
    </row>
    <row r="80">
      <c r="B80" s="14" t="inlineStr">
        <is>
          <t>Development value on 1 January 2027: value less the capital cost ($)</t>
        </is>
      </c>
      <c r="C80" s="26">
        <f>C79-C61/(1+x_rc)</f>
        <v/>
      </c>
    </row>
    <row r="81">
      <c r="B81" s="7" t="inlineStr">
        <is>
          <t>Highest premium Ashgrove can pay at NTP ($)</t>
        </is>
      </c>
      <c r="C81" s="25">
        <f>C80-reimb+reimb/(1+x_rc)</f>
        <v/>
      </c>
    </row>
    <row r="82">
      <c r="B82" s="7" t="inlineStr">
        <is>
          <t>Value of the operating project on 1 January 2028 ($)</t>
        </is>
      </c>
      <c r="C82" s="25">
        <f>SUMPRODUCT($D$66:$AL$66,$D$75:$AL$75)+SUMPRODUCT($D$70:$AL$70,$D$75:$AL$75)-SUMPRODUCT($D$68:$AL$68,$D$75:$AL$75)-SUMPRODUCT($D$69:$AL$69,$D$75:$AL$75)+SUMPRODUCT($D$67:$AL$67,$D$76:$AL$76)-decom_end/(1+x_rc)^life_years</f>
        <v/>
      </c>
    </row>
    <row r="83">
      <c r="B83" s="7" t="inlineStr">
        <is>
          <t>Per Wac ($)</t>
        </is>
      </c>
      <c r="C83" s="27">
        <f>C82/(mwac*1000000)</f>
        <v/>
      </c>
    </row>
    <row r="84">
      <c r="B84" s="7" t="inlineStr">
        <is>
          <t>Value on 1 January of the later sale date ($)</t>
        </is>
      </c>
      <c r="C84" s="25">
        <f>SUMPRODUCT($D$66:$AL$66,$D$77:$AL$77)+SUMPRODUCT($D$70:$AL$70,$D$77:$AL$77)-SUMPRODUCT($D$68:$AL$68,$D$77:$AL$77)-SUMPRODUCT($D$69:$AL$69,$D$77:$AL$77)+SUMPRODUCT($D$67:$AL$67,$D$78:$AL$78)-decom_end/(1+x_rc)^(cod_year+life_years-sale_year)</f>
        <v/>
      </c>
    </row>
    <row r="85">
      <c r="B85" s="7" t="inlineStr">
        <is>
          <t>Per Wac ($)</t>
        </is>
      </c>
      <c r="C85" s="27">
        <f>C84/(mwac*1000000)</f>
        <v/>
      </c>
    </row>
    <row r="86">
      <c r="B86" s="7" t="inlineStr">
        <is>
          <t>Development value per Wac ($)</t>
        </is>
      </c>
      <c r="C86" s="36">
        <f>C80/(mwac*1000000)</f>
        <v/>
      </c>
    </row>
    <row r="88">
      <c r="B88" s="14" t="inlineStr">
        <is>
          <t>Development value bridge (present values on 1 January 2027)</t>
        </is>
      </c>
    </row>
    <row r="89">
      <c r="B89" s="7" t="inlineStr">
        <is>
          <t>Contracted revenue</t>
        </is>
      </c>
      <c r="C89" s="25">
        <f>SUMPRODUCT($D$66:$AL$66,$D$72:$AL$72)</f>
        <v/>
      </c>
    </row>
    <row r="90">
      <c r="B90" s="7" t="inlineStr">
        <is>
          <t>Merchant revenue</t>
        </is>
      </c>
      <c r="C90" s="25">
        <f>SUMPRODUCT($D$67:$AL$67,$D$73:$AL$73)</f>
        <v/>
      </c>
    </row>
    <row r="91">
      <c r="B91" s="7" t="inlineStr">
        <is>
          <t>Credit cash</t>
        </is>
      </c>
      <c r="C91" s="25">
        <f>SUMPRODUCT($D$70:$AL$70,$D$72:$AL$72)</f>
        <v/>
      </c>
    </row>
    <row r="92">
      <c r="B92" s="7" t="inlineStr">
        <is>
          <t>Operating cost (deducted)</t>
        </is>
      </c>
      <c r="C92" s="25">
        <f>SUMPRODUCT($D$69:$AL$69,$D$72:$AL$72)</f>
        <v/>
      </c>
    </row>
    <row r="93">
      <c r="B93" s="7" t="inlineStr">
        <is>
          <t>Basis cost (deducted)</t>
        </is>
      </c>
      <c r="C93" s="25">
        <f>SUMPRODUCT($D$68:$AL$68,$D$72:$AL$72)</f>
        <v/>
      </c>
    </row>
    <row r="94">
      <c r="B94" s="7" t="inlineStr">
        <is>
          <t>Decommissioning (deducted)</t>
        </is>
      </c>
      <c r="C94" s="25">
        <f>decom_end/(1+x_rc)^(life_years+1)</f>
        <v/>
      </c>
    </row>
    <row r="95">
      <c r="B95" s="7" t="inlineStr">
        <is>
          <t>Capital cost (deducted)</t>
        </is>
      </c>
      <c r="C95" s="25">
        <f>C61/(1+x_rc)</f>
        <v/>
      </c>
    </row>
    <row r="96">
      <c r="B96" s="14" t="inlineStr">
        <is>
          <t>Development value from the bridge</t>
        </is>
      </c>
      <c r="C96" s="26">
        <f>C89+C90+C91-C92-C93-C94-C95</f>
        <v/>
      </c>
    </row>
    <row r="98">
      <c r="B98" s="7" t="inlineStr">
        <is>
          <t>Period k (years after 1 January 2027): 0 = NTP price, 1 = capital cost less reimbursement (end 2027), 2 = end 2028 ... 36 = end 2062</t>
        </is>
      </c>
      <c r="C98" s="30" t="n">
        <v>0</v>
      </c>
      <c r="D98" s="30" t="n">
        <v>1</v>
      </c>
      <c r="E98" s="30" t="n">
        <v>2</v>
      </c>
      <c r="F98" s="30" t="n">
        <v>3</v>
      </c>
      <c r="G98" s="30" t="n">
        <v>4</v>
      </c>
      <c r="H98" s="30" t="n">
        <v>5</v>
      </c>
      <c r="I98" s="30" t="n">
        <v>6</v>
      </c>
      <c r="J98" s="30" t="n">
        <v>7</v>
      </c>
      <c r="K98" s="30" t="n">
        <v>8</v>
      </c>
      <c r="L98" s="30" t="n">
        <v>9</v>
      </c>
      <c r="M98" s="30" t="n">
        <v>10</v>
      </c>
      <c r="N98" s="30" t="n">
        <v>11</v>
      </c>
      <c r="O98" s="30" t="n">
        <v>12</v>
      </c>
      <c r="P98" s="30" t="n">
        <v>13</v>
      </c>
      <c r="Q98" s="30" t="n">
        <v>14</v>
      </c>
      <c r="R98" s="30" t="n">
        <v>15</v>
      </c>
      <c r="S98" s="30" t="n">
        <v>16</v>
      </c>
      <c r="T98" s="30" t="n">
        <v>17</v>
      </c>
      <c r="U98" s="30" t="n">
        <v>18</v>
      </c>
      <c r="V98" s="30" t="n">
        <v>19</v>
      </c>
      <c r="W98" s="30" t="n">
        <v>20</v>
      </c>
      <c r="X98" s="30" t="n">
        <v>21</v>
      </c>
      <c r="Y98" s="30" t="n">
        <v>22</v>
      </c>
      <c r="Z98" s="30" t="n">
        <v>23</v>
      </c>
      <c r="AA98" s="30" t="n">
        <v>24</v>
      </c>
      <c r="AB98" s="30" t="n">
        <v>25</v>
      </c>
      <c r="AC98" s="30" t="n">
        <v>26</v>
      </c>
      <c r="AD98" s="30" t="n">
        <v>27</v>
      </c>
      <c r="AE98" s="30" t="n">
        <v>28</v>
      </c>
      <c r="AF98" s="30" t="n">
        <v>29</v>
      </c>
      <c r="AG98" s="30" t="n">
        <v>30</v>
      </c>
      <c r="AH98" s="30" t="n">
        <v>31</v>
      </c>
      <c r="AI98" s="30" t="n">
        <v>32</v>
      </c>
      <c r="AJ98" s="30" t="n">
        <v>33</v>
      </c>
      <c r="AK98" s="30" t="n">
        <v>34</v>
      </c>
      <c r="AL98" s="30" t="n">
        <v>35</v>
      </c>
      <c r="AM98" s="30" t="n">
        <v>36</v>
      </c>
    </row>
    <row r="99">
      <c r="B99" s="14" t="inlineStr">
        <is>
          <t>Unlevered pre-tax flows, price included ($)</t>
        </is>
      </c>
      <c r="C99" s="25">
        <f>-ntp_price</f>
        <v/>
      </c>
      <c r="D99" s="25">
        <f>-(C61-reimb)</f>
        <v/>
      </c>
      <c r="E99" s="25">
        <f>D71+D70</f>
        <v/>
      </c>
      <c r="F99" s="25">
        <f>E71+E70</f>
        <v/>
      </c>
      <c r="G99" s="25">
        <f>F71+F70</f>
        <v/>
      </c>
      <c r="H99" s="25">
        <f>G71+G70</f>
        <v/>
      </c>
      <c r="I99" s="25">
        <f>H71+H70</f>
        <v/>
      </c>
      <c r="J99" s="25">
        <f>I71+I70</f>
        <v/>
      </c>
      <c r="K99" s="25">
        <f>J71+J70</f>
        <v/>
      </c>
      <c r="L99" s="25">
        <f>K71+K70</f>
        <v/>
      </c>
      <c r="M99" s="25">
        <f>L71+L70</f>
        <v/>
      </c>
      <c r="N99" s="25">
        <f>M71+M70</f>
        <v/>
      </c>
      <c r="O99" s="25">
        <f>N71+N70</f>
        <v/>
      </c>
      <c r="P99" s="25">
        <f>O71+O70</f>
        <v/>
      </c>
      <c r="Q99" s="25">
        <f>P71+P70</f>
        <v/>
      </c>
      <c r="R99" s="25">
        <f>Q71+Q70</f>
        <v/>
      </c>
      <c r="S99" s="25">
        <f>R71+R70</f>
        <v/>
      </c>
      <c r="T99" s="25">
        <f>S71+S70</f>
        <v/>
      </c>
      <c r="U99" s="25">
        <f>T71+T70</f>
        <v/>
      </c>
      <c r="V99" s="25">
        <f>U71+U70</f>
        <v/>
      </c>
      <c r="W99" s="25">
        <f>V71+V70</f>
        <v/>
      </c>
      <c r="X99" s="25">
        <f>W71+W70</f>
        <v/>
      </c>
      <c r="Y99" s="25">
        <f>X71+X70</f>
        <v/>
      </c>
      <c r="Z99" s="25">
        <f>Y71+Y70</f>
        <v/>
      </c>
      <c r="AA99" s="25">
        <f>Z71+Z70</f>
        <v/>
      </c>
      <c r="AB99" s="25">
        <f>AA71+AA70</f>
        <v/>
      </c>
      <c r="AC99" s="25">
        <f>AB71+AB70</f>
        <v/>
      </c>
      <c r="AD99" s="25">
        <f>AC71+AC70</f>
        <v/>
      </c>
      <c r="AE99" s="25">
        <f>AD71+AD70</f>
        <v/>
      </c>
      <c r="AF99" s="25">
        <f>AE71+AE70</f>
        <v/>
      </c>
      <c r="AG99" s="25">
        <f>AF71+AF70</f>
        <v/>
      </c>
      <c r="AH99" s="25">
        <f>AG71+AG70</f>
        <v/>
      </c>
      <c r="AI99" s="25">
        <f>AH71+AH70</f>
        <v/>
      </c>
      <c r="AJ99" s="25">
        <f>AI71+AI70</f>
        <v/>
      </c>
      <c r="AK99" s="25">
        <f>AJ71+AJ70</f>
        <v/>
      </c>
      <c r="AL99" s="25">
        <f>AK71+AK70</f>
        <v/>
      </c>
      <c r="AM99" s="25">
        <f>AL71+AL70-decom_end</f>
        <v/>
      </c>
    </row>
    <row r="100">
      <c r="B100" s="14" t="inlineStr">
        <is>
          <t>Unlevered pre-tax IRR at total cost (price included)</t>
        </is>
      </c>
      <c r="C100" s="37">
        <f>IRR(C99:AM99,0.08)</f>
        <v/>
      </c>
    </row>
    <row r="101">
      <c r="B101" s="7" t="inlineStr">
        <is>
          <t>Check: net present value at the IRR</t>
        </is>
      </c>
      <c r="C101" s="32">
        <f>C99+NPV(C100,D99:AM99)</f>
        <v/>
      </c>
    </row>
    <row r="104">
      <c r="B104" s="6" t="inlineStr">
        <is>
          <t>Case M: fully merchant</t>
        </is>
      </c>
    </row>
    <row r="105">
      <c r="B105" s="7" t="inlineStr">
        <is>
          <t>Capital cost ($)</t>
        </is>
      </c>
      <c r="C105" s="25">
        <f>((x_module+x_tracker+x_bos)*mwdc*1000000+x_inverter*mwac*1000000+x_sub)*(1+contingency)+x_ic+owner</f>
        <v/>
      </c>
    </row>
    <row r="106">
      <c r="B106" s="7" t="inlineStr">
        <is>
          <t>ITC eligible basis ($)</t>
        </is>
      </c>
      <c r="C106" s="25">
        <f>((x_module+x_tracker+x_bos)*mwdc*1000000+x_inverter*mwac*1000000+x_sub)*(1+contingency)-gentie_share*x_sub</f>
        <v/>
      </c>
    </row>
    <row r="107">
      <c r="B107" s="7" t="inlineStr">
        <is>
          <t>ITC cash at the end of 2028, if elected ($)</t>
        </is>
      </c>
      <c r="C107" s="25">
        <f>IF(sw_credit="ITC",C106*(itc_rate+sw_bonus)*transfer_itc,0)</f>
        <v/>
      </c>
    </row>
    <row r="108">
      <c r="B108" s="7" t="inlineStr">
        <is>
          <t>Energy (MWh)</t>
        </is>
      </c>
      <c r="D108" s="23">
        <f>mwac*hours*cf_p50*Energy!D$7*x_scale</f>
        <v/>
      </c>
      <c r="E108" s="23">
        <f>mwac*hours*cf_p50*Energy!E$7*x_scale</f>
        <v/>
      </c>
      <c r="F108" s="23">
        <f>mwac*hours*cf_p50*Energy!F$7*x_scale</f>
        <v/>
      </c>
      <c r="G108" s="23">
        <f>mwac*hours*cf_p50*Energy!G$7*x_scale</f>
        <v/>
      </c>
      <c r="H108" s="23">
        <f>mwac*hours*cf_p50*Energy!H$7*x_scale</f>
        <v/>
      </c>
      <c r="I108" s="23">
        <f>mwac*hours*cf_p50*Energy!I$7*x_scale</f>
        <v/>
      </c>
      <c r="J108" s="23">
        <f>mwac*hours*cf_p50*Energy!J$7*x_scale</f>
        <v/>
      </c>
      <c r="K108" s="23">
        <f>mwac*hours*cf_p50*Energy!K$7*x_scale</f>
        <v/>
      </c>
      <c r="L108" s="23">
        <f>mwac*hours*cf_p50*Energy!L$7*x_scale</f>
        <v/>
      </c>
      <c r="M108" s="23">
        <f>mwac*hours*cf_p50*Energy!M$7*x_scale</f>
        <v/>
      </c>
      <c r="N108" s="23">
        <f>mwac*hours*cf_p50*Energy!N$7*x_scale</f>
        <v/>
      </c>
      <c r="O108" s="23">
        <f>mwac*hours*cf_p50*Energy!O$7*x_scale</f>
        <v/>
      </c>
      <c r="P108" s="23">
        <f>mwac*hours*cf_p50*Energy!P$7*x_scale</f>
        <v/>
      </c>
      <c r="Q108" s="23">
        <f>mwac*hours*cf_p50*Energy!Q$7*x_scale</f>
        <v/>
      </c>
      <c r="R108" s="23">
        <f>mwac*hours*cf_p50*Energy!R$7*x_scale</f>
        <v/>
      </c>
      <c r="S108" s="23">
        <f>mwac*hours*cf_p50*Energy!S$7*x_scale</f>
        <v/>
      </c>
      <c r="T108" s="23">
        <f>mwac*hours*cf_p50*Energy!T$7*x_scale</f>
        <v/>
      </c>
      <c r="U108" s="23">
        <f>mwac*hours*cf_p50*Energy!U$7*x_scale</f>
        <v/>
      </c>
      <c r="V108" s="23">
        <f>mwac*hours*cf_p50*Energy!V$7*x_scale</f>
        <v/>
      </c>
      <c r="W108" s="23">
        <f>mwac*hours*cf_p50*Energy!W$7*x_scale</f>
        <v/>
      </c>
      <c r="X108" s="23">
        <f>mwac*hours*cf_p50*Energy!X$7*x_scale</f>
        <v/>
      </c>
      <c r="Y108" s="23">
        <f>mwac*hours*cf_p50*Energy!Y$7*x_scale</f>
        <v/>
      </c>
      <c r="Z108" s="23">
        <f>mwac*hours*cf_p50*Energy!Z$7*x_scale</f>
        <v/>
      </c>
      <c r="AA108" s="23">
        <f>mwac*hours*cf_p50*Energy!AA$7*x_scale</f>
        <v/>
      </c>
      <c r="AB108" s="23">
        <f>mwac*hours*cf_p50*Energy!AB$7*x_scale</f>
        <v/>
      </c>
      <c r="AC108" s="23">
        <f>mwac*hours*cf_p50*Energy!AC$7*x_scale</f>
        <v/>
      </c>
      <c r="AD108" s="23">
        <f>mwac*hours*cf_p50*Energy!AD$7*x_scale</f>
        <v/>
      </c>
      <c r="AE108" s="23">
        <f>mwac*hours*cf_p50*Energy!AE$7*x_scale</f>
        <v/>
      </c>
      <c r="AF108" s="23">
        <f>mwac*hours*cf_p50*Energy!AF$7*x_scale</f>
        <v/>
      </c>
      <c r="AG108" s="23">
        <f>mwac*hours*cf_p50*Energy!AG$7*x_scale</f>
        <v/>
      </c>
      <c r="AH108" s="23">
        <f>mwac*hours*cf_p50*Energy!AH$7*x_scale</f>
        <v/>
      </c>
      <c r="AI108" s="23">
        <f>mwac*hours*cf_p50*Energy!AI$7*x_scale</f>
        <v/>
      </c>
      <c r="AJ108" s="23">
        <f>mwac*hours*cf_p50*Energy!AJ$7*x_scale</f>
        <v/>
      </c>
      <c r="AK108" s="23">
        <f>mwac*hours*cf_p50*Energy!AK$7*x_scale</f>
        <v/>
      </c>
      <c r="AL108" s="23">
        <f>mwac*hours*cf_p50*Energy!AL$7*x_scale</f>
        <v/>
      </c>
    </row>
    <row r="109">
      <c r="B109" s="7" t="inlineStr">
        <is>
          <t>Node price, hub switch applied ($/MWh)</t>
        </is>
      </c>
      <c r="D109" s="32">
        <f>Market!D$7*(1+sw_hub)*Market!D$8+Market!D$10</f>
        <v/>
      </c>
      <c r="E109" s="32">
        <f>Market!E$7*(1+sw_hub)*Market!E$8+Market!E$10</f>
        <v/>
      </c>
      <c r="F109" s="32">
        <f>Market!F$7*(1+sw_hub)*Market!F$8+Market!F$10</f>
        <v/>
      </c>
      <c r="G109" s="32">
        <f>Market!G$7*(1+sw_hub)*Market!G$8+Market!G$10</f>
        <v/>
      </c>
      <c r="H109" s="32">
        <f>Market!H$7*(1+sw_hub)*Market!H$8+Market!H$10</f>
        <v/>
      </c>
      <c r="I109" s="32">
        <f>Market!I$7*(1+sw_hub)*Market!I$8+Market!I$10</f>
        <v/>
      </c>
      <c r="J109" s="32">
        <f>Market!J$7*(1+sw_hub)*Market!J$8+Market!J$10</f>
        <v/>
      </c>
      <c r="K109" s="32">
        <f>Market!K$7*(1+sw_hub)*Market!K$8+Market!K$10</f>
        <v/>
      </c>
      <c r="L109" s="32">
        <f>Market!L$7*(1+sw_hub)*Market!L$8+Market!L$10</f>
        <v/>
      </c>
      <c r="M109" s="32">
        <f>Market!M$7*(1+sw_hub)*Market!M$8+Market!M$10</f>
        <v/>
      </c>
      <c r="N109" s="32">
        <f>Market!N$7*(1+sw_hub)*Market!N$8+Market!N$10</f>
        <v/>
      </c>
      <c r="O109" s="32">
        <f>Market!O$7*(1+sw_hub)*Market!O$8+Market!O$10</f>
        <v/>
      </c>
      <c r="P109" s="32">
        <f>Market!P$7*(1+sw_hub)*Market!P$8+Market!P$10</f>
        <v/>
      </c>
      <c r="Q109" s="32">
        <f>Market!Q$7*(1+sw_hub)*Market!Q$8+Market!Q$10</f>
        <v/>
      </c>
      <c r="R109" s="32">
        <f>Market!R$7*(1+sw_hub)*Market!R$8+Market!R$10</f>
        <v/>
      </c>
      <c r="S109" s="32">
        <f>Market!S$7*(1+sw_hub)*Market!S$8+Market!S$10</f>
        <v/>
      </c>
      <c r="T109" s="32">
        <f>Market!T$7*(1+sw_hub)*Market!T$8+Market!T$10</f>
        <v/>
      </c>
      <c r="U109" s="32">
        <f>Market!U$7*(1+sw_hub)*Market!U$8+Market!U$10</f>
        <v/>
      </c>
      <c r="V109" s="32">
        <f>Market!V$7*(1+sw_hub)*Market!V$8+Market!V$10</f>
        <v/>
      </c>
      <c r="W109" s="32">
        <f>Market!W$7*(1+sw_hub)*Market!W$8+Market!W$10</f>
        <v/>
      </c>
      <c r="X109" s="32">
        <f>Market!X$7*(1+sw_hub)*Market!X$8+Market!X$10</f>
        <v/>
      </c>
      <c r="Y109" s="32">
        <f>Market!Y$7*(1+sw_hub)*Market!Y$8+Market!Y$10</f>
        <v/>
      </c>
      <c r="Z109" s="32">
        <f>Market!Z$7*(1+sw_hub)*Market!Z$8+Market!Z$10</f>
        <v/>
      </c>
      <c r="AA109" s="32">
        <f>Market!AA$7*(1+sw_hub)*Market!AA$8+Market!AA$10</f>
        <v/>
      </c>
      <c r="AB109" s="32">
        <f>Market!AB$7*(1+sw_hub)*Market!AB$8+Market!AB$10</f>
        <v/>
      </c>
      <c r="AC109" s="32">
        <f>Market!AC$7*(1+sw_hub)*Market!AC$8+Market!AC$10</f>
        <v/>
      </c>
      <c r="AD109" s="32">
        <f>Market!AD$7*(1+sw_hub)*Market!AD$8+Market!AD$10</f>
        <v/>
      </c>
      <c r="AE109" s="32">
        <f>Market!AE$7*(1+sw_hub)*Market!AE$8+Market!AE$10</f>
        <v/>
      </c>
      <c r="AF109" s="32">
        <f>Market!AF$7*(1+sw_hub)*Market!AF$8+Market!AF$10</f>
        <v/>
      </c>
      <c r="AG109" s="32">
        <f>Market!AG$7*(1+sw_hub)*Market!AG$8+Market!AG$10</f>
        <v/>
      </c>
      <c r="AH109" s="32">
        <f>Market!AH$7*(1+sw_hub)*Market!AH$8+Market!AH$10</f>
        <v/>
      </c>
      <c r="AI109" s="32">
        <f>Market!AI$7*(1+sw_hub)*Market!AI$8+Market!AI$10</f>
        <v/>
      </c>
      <c r="AJ109" s="32">
        <f>Market!AJ$7*(1+sw_hub)*Market!AJ$8+Market!AJ$10</f>
        <v/>
      </c>
      <c r="AK109" s="32">
        <f>Market!AK$7*(1+sw_hub)*Market!AK$8+Market!AK$10</f>
        <v/>
      </c>
      <c r="AL109" s="32">
        <f>Market!AL$7*(1+sw_hub)*Market!AL$8+Market!AL$10</f>
        <v/>
      </c>
    </row>
    <row r="110">
      <c r="B110" s="7" t="inlineStr">
        <is>
          <t>Contracted revenue ($)</t>
        </is>
      </c>
      <c r="D110" s="25" t="n">
        <v>0</v>
      </c>
      <c r="E110" s="25" t="n">
        <v>0</v>
      </c>
      <c r="F110" s="25" t="n">
        <v>0</v>
      </c>
      <c r="G110" s="25" t="n">
        <v>0</v>
      </c>
      <c r="H110" s="25" t="n">
        <v>0</v>
      </c>
      <c r="I110" s="25" t="n">
        <v>0</v>
      </c>
      <c r="J110" s="25" t="n">
        <v>0</v>
      </c>
      <c r="K110" s="25" t="n">
        <v>0</v>
      </c>
      <c r="L110" s="25" t="n">
        <v>0</v>
      </c>
      <c r="M110" s="25" t="n">
        <v>0</v>
      </c>
      <c r="N110" s="25" t="n">
        <v>0</v>
      </c>
      <c r="O110" s="25" t="n">
        <v>0</v>
      </c>
      <c r="P110" s="25" t="n">
        <v>0</v>
      </c>
      <c r="Q110" s="25" t="n">
        <v>0</v>
      </c>
      <c r="R110" s="25" t="n">
        <v>0</v>
      </c>
      <c r="S110" s="25" t="n">
        <v>0</v>
      </c>
      <c r="T110" s="25" t="n">
        <v>0</v>
      </c>
      <c r="U110" s="25" t="n">
        <v>0</v>
      </c>
      <c r="V110" s="25" t="n">
        <v>0</v>
      </c>
      <c r="W110" s="25" t="n">
        <v>0</v>
      </c>
      <c r="X110" s="25" t="n">
        <v>0</v>
      </c>
      <c r="Y110" s="25" t="n">
        <v>0</v>
      </c>
      <c r="Z110" s="25" t="n">
        <v>0</v>
      </c>
      <c r="AA110" s="25" t="n">
        <v>0</v>
      </c>
      <c r="AB110" s="25" t="n">
        <v>0</v>
      </c>
      <c r="AC110" s="25" t="n">
        <v>0</v>
      </c>
      <c r="AD110" s="25" t="n">
        <v>0</v>
      </c>
      <c r="AE110" s="25" t="n">
        <v>0</v>
      </c>
      <c r="AF110" s="25" t="n">
        <v>0</v>
      </c>
      <c r="AG110" s="25" t="n">
        <v>0</v>
      </c>
      <c r="AH110" s="25" t="n">
        <v>0</v>
      </c>
      <c r="AI110" s="25" t="n">
        <v>0</v>
      </c>
      <c r="AJ110" s="25" t="n">
        <v>0</v>
      </c>
      <c r="AK110" s="25" t="n">
        <v>0</v>
      </c>
      <c r="AL110" s="25" t="n">
        <v>0</v>
      </c>
    </row>
    <row r="111">
      <c r="B111" s="7" t="inlineStr">
        <is>
          <t>Merchant revenue ($)</t>
        </is>
      </c>
      <c r="D111" s="25">
        <f>D108*(D109+rec_price)+Market!D$13</f>
        <v/>
      </c>
      <c r="E111" s="25">
        <f>E108*(E109+rec_price)+Market!E$13</f>
        <v/>
      </c>
      <c r="F111" s="25">
        <f>F108*(F109+rec_price)+Market!F$13</f>
        <v/>
      </c>
      <c r="G111" s="25">
        <f>G108*(G109+rec_price)+Market!G$13</f>
        <v/>
      </c>
      <c r="H111" s="25">
        <f>H108*(H109+rec_price)+Market!H$13</f>
        <v/>
      </c>
      <c r="I111" s="25">
        <f>I108*(I109+rec_price)+Market!I$13</f>
        <v/>
      </c>
      <c r="J111" s="25">
        <f>J108*(J109+rec_price)+Market!J$13</f>
        <v/>
      </c>
      <c r="K111" s="25">
        <f>K108*(K109+rec_price)+Market!K$13</f>
        <v/>
      </c>
      <c r="L111" s="25">
        <f>L108*(L109+rec_price)+Market!L$13</f>
        <v/>
      </c>
      <c r="M111" s="25">
        <f>M108*(M109+rec_price)+Market!M$13</f>
        <v/>
      </c>
      <c r="N111" s="25">
        <f>N108*(N109+rec_price)+Market!N$13</f>
        <v/>
      </c>
      <c r="O111" s="25">
        <f>O108*(O109+rec_price)+Market!O$13</f>
        <v/>
      </c>
      <c r="P111" s="25">
        <f>P108*(P109+rec_price)+Market!P$13</f>
        <v/>
      </c>
      <c r="Q111" s="25">
        <f>Q108*(Q109+rec_price)+Market!Q$13</f>
        <v/>
      </c>
      <c r="R111" s="25">
        <f>R108*(R109+rec_price)+Market!R$13</f>
        <v/>
      </c>
      <c r="S111" s="25">
        <f>S108*(S109+rec_price)+Market!S$13</f>
        <v/>
      </c>
      <c r="T111" s="25">
        <f>T108*(T109+rec_price)+Market!T$13</f>
        <v/>
      </c>
      <c r="U111" s="25">
        <f>U108*(U109+rec_price)+Market!U$13</f>
        <v/>
      </c>
      <c r="V111" s="25">
        <f>V108*(V109+rec_price)+Market!V$13</f>
        <v/>
      </c>
      <c r="W111" s="25">
        <f>W108*(W109+rec_price)+Market!W$13</f>
        <v/>
      </c>
      <c r="X111" s="25">
        <f>X108*(X109+rec_price)+Market!X$13</f>
        <v/>
      </c>
      <c r="Y111" s="25">
        <f>Y108*(Y109+rec_price)+Market!Y$13</f>
        <v/>
      </c>
      <c r="Z111" s="25">
        <f>Z108*(Z109+rec_price)+Market!Z$13</f>
        <v/>
      </c>
      <c r="AA111" s="25">
        <f>AA108*(AA109+rec_price)+Market!AA$13</f>
        <v/>
      </c>
      <c r="AB111" s="25">
        <f>AB108*(AB109+rec_price)+Market!AB$13</f>
        <v/>
      </c>
      <c r="AC111" s="25">
        <f>AC108*(AC109+rec_price)+Market!AC$13</f>
        <v/>
      </c>
      <c r="AD111" s="25">
        <f>AD108*(AD109+rec_price)+Market!AD$13</f>
        <v/>
      </c>
      <c r="AE111" s="25">
        <f>AE108*(AE109+rec_price)+Market!AE$13</f>
        <v/>
      </c>
      <c r="AF111" s="25">
        <f>AF108*(AF109+rec_price)+Market!AF$13</f>
        <v/>
      </c>
      <c r="AG111" s="25">
        <f>AG108*(AG109+rec_price)+Market!AG$13</f>
        <v/>
      </c>
      <c r="AH111" s="25">
        <f>AH108*(AH109+rec_price)+Market!AH$13</f>
        <v/>
      </c>
      <c r="AI111" s="25">
        <f>AI108*(AI109+rec_price)+Market!AI$13</f>
        <v/>
      </c>
      <c r="AJ111" s="25">
        <f>AJ108*(AJ109+rec_price)+Market!AJ$13</f>
        <v/>
      </c>
      <c r="AK111" s="25">
        <f>AK108*(AK109+rec_price)+Market!AK$13</f>
        <v/>
      </c>
      <c r="AL111" s="25">
        <f>AL108*(AL109+rec_price)+Market!AL$13</f>
        <v/>
      </c>
    </row>
    <row r="112">
      <c r="B112" s="7" t="inlineStr">
        <is>
          <t>Basis cost kept by the project ($)</t>
        </is>
      </c>
      <c r="D112" s="25" t="n">
        <v>0</v>
      </c>
      <c r="E112" s="25" t="n">
        <v>0</v>
      </c>
      <c r="F112" s="25" t="n">
        <v>0</v>
      </c>
      <c r="G112" s="25" t="n">
        <v>0</v>
      </c>
      <c r="H112" s="25" t="n">
        <v>0</v>
      </c>
      <c r="I112" s="25" t="n">
        <v>0</v>
      </c>
      <c r="J112" s="25" t="n">
        <v>0</v>
      </c>
      <c r="K112" s="25" t="n">
        <v>0</v>
      </c>
      <c r="L112" s="25" t="n">
        <v>0</v>
      </c>
      <c r="M112" s="25" t="n">
        <v>0</v>
      </c>
      <c r="N112" s="25" t="n">
        <v>0</v>
      </c>
      <c r="O112" s="25" t="n">
        <v>0</v>
      </c>
      <c r="P112" s="25" t="n">
        <v>0</v>
      </c>
      <c r="Q112" s="25" t="n">
        <v>0</v>
      </c>
      <c r="R112" s="25" t="n">
        <v>0</v>
      </c>
      <c r="S112" s="25" t="n">
        <v>0</v>
      </c>
      <c r="T112" s="25" t="n">
        <v>0</v>
      </c>
      <c r="U112" s="25" t="n">
        <v>0</v>
      </c>
      <c r="V112" s="25" t="n">
        <v>0</v>
      </c>
      <c r="W112" s="25" t="n">
        <v>0</v>
      </c>
      <c r="X112" s="25" t="n">
        <v>0</v>
      </c>
      <c r="Y112" s="25" t="n">
        <v>0</v>
      </c>
      <c r="Z112" s="25" t="n">
        <v>0</v>
      </c>
      <c r="AA112" s="25" t="n">
        <v>0</v>
      </c>
      <c r="AB112" s="25" t="n">
        <v>0</v>
      </c>
      <c r="AC112" s="25" t="n">
        <v>0</v>
      </c>
      <c r="AD112" s="25" t="n">
        <v>0</v>
      </c>
      <c r="AE112" s="25" t="n">
        <v>0</v>
      </c>
      <c r="AF112" s="25" t="n">
        <v>0</v>
      </c>
      <c r="AG112" s="25" t="n">
        <v>0</v>
      </c>
      <c r="AH112" s="25" t="n">
        <v>0</v>
      </c>
      <c r="AI112" s="25" t="n">
        <v>0</v>
      </c>
      <c r="AJ112" s="25" t="n">
        <v>0</v>
      </c>
      <c r="AK112" s="25" t="n">
        <v>0</v>
      </c>
      <c r="AL112" s="25" t="n">
        <v>0</v>
      </c>
    </row>
    <row r="113">
      <c r="B113" s="7" t="inlineStr">
        <is>
          <t>Operating cost ($)</t>
        </is>
      </c>
      <c r="D113" s="25">
        <f>(om_kw*mwac*1000+ins_rate*$C$105+am_cost+prop_tax+misc_cost)*Opex!D$7+rent_acre*acres_lease*Opex!D$8</f>
        <v/>
      </c>
      <c r="E113" s="25">
        <f>(om_kw*mwac*1000+ins_rate*$C$105+am_cost+prop_tax+misc_cost)*Opex!E$7+rent_acre*acres_lease*Opex!E$8</f>
        <v/>
      </c>
      <c r="F113" s="25">
        <f>(om_kw*mwac*1000+ins_rate*$C$105+am_cost+prop_tax+misc_cost)*Opex!F$7+rent_acre*acres_lease*Opex!F$8</f>
        <v/>
      </c>
      <c r="G113" s="25">
        <f>(om_kw*mwac*1000+ins_rate*$C$105+am_cost+prop_tax+misc_cost)*Opex!G$7+rent_acre*acres_lease*Opex!G$8</f>
        <v/>
      </c>
      <c r="H113" s="25">
        <f>(om_kw*mwac*1000+ins_rate*$C$105+am_cost+prop_tax+misc_cost)*Opex!H$7+rent_acre*acres_lease*Opex!H$8</f>
        <v/>
      </c>
      <c r="I113" s="25">
        <f>(om_kw*mwac*1000+ins_rate*$C$105+am_cost+prop_tax+misc_cost)*Opex!I$7+rent_acre*acres_lease*Opex!I$8</f>
        <v/>
      </c>
      <c r="J113" s="25">
        <f>(om_kw*mwac*1000+ins_rate*$C$105+am_cost+prop_tax+misc_cost)*Opex!J$7+rent_acre*acres_lease*Opex!J$8</f>
        <v/>
      </c>
      <c r="K113" s="25">
        <f>(om_kw*mwac*1000+ins_rate*$C$105+am_cost+prop_tax+misc_cost)*Opex!K$7+rent_acre*acres_lease*Opex!K$8</f>
        <v/>
      </c>
      <c r="L113" s="25">
        <f>(om_kw*mwac*1000+ins_rate*$C$105+am_cost+prop_tax+misc_cost)*Opex!L$7+rent_acre*acres_lease*Opex!L$8</f>
        <v/>
      </c>
      <c r="M113" s="25">
        <f>(om_kw*mwac*1000+ins_rate*$C$105+am_cost+prop_tax+misc_cost)*Opex!M$7+rent_acre*acres_lease*Opex!M$8</f>
        <v/>
      </c>
      <c r="N113" s="25">
        <f>(om_kw*mwac*1000+ins_rate*$C$105+am_cost+prop_tax+misc_cost)*Opex!N$7+rent_acre*acres_lease*Opex!N$8</f>
        <v/>
      </c>
      <c r="O113" s="25">
        <f>(om_kw*mwac*1000+ins_rate*$C$105+am_cost+prop_tax+misc_cost)*Opex!O$7+rent_acre*acres_lease*Opex!O$8</f>
        <v/>
      </c>
      <c r="P113" s="25">
        <f>(om_kw*mwac*1000+ins_rate*$C$105+am_cost+prop_tax+misc_cost)*Opex!P$7+rent_acre*acres_lease*Opex!P$8</f>
        <v/>
      </c>
      <c r="Q113" s="25">
        <f>(om_kw*mwac*1000+ins_rate*$C$105+am_cost+prop_tax+misc_cost)*Opex!Q$7+rent_acre*acres_lease*Opex!Q$8</f>
        <v/>
      </c>
      <c r="R113" s="25">
        <f>(om_kw*mwac*1000+ins_rate*$C$105+am_cost+prop_tax+misc_cost)*Opex!R$7+rent_acre*acres_lease*Opex!R$8</f>
        <v/>
      </c>
      <c r="S113" s="25">
        <f>(om_kw*mwac*1000+ins_rate*$C$105+am_cost+prop_tax+misc_cost)*Opex!S$7+rent_acre*acres_lease*Opex!S$8</f>
        <v/>
      </c>
      <c r="T113" s="25">
        <f>(om_kw*mwac*1000+ins_rate*$C$105+am_cost+prop_tax+misc_cost)*Opex!T$7+rent_acre*acres_lease*Opex!T$8</f>
        <v/>
      </c>
      <c r="U113" s="25">
        <f>(om_kw*mwac*1000+ins_rate*$C$105+am_cost+prop_tax+misc_cost)*Opex!U$7+rent_acre*acres_lease*Opex!U$8</f>
        <v/>
      </c>
      <c r="V113" s="25">
        <f>(om_kw*mwac*1000+ins_rate*$C$105+am_cost+prop_tax+misc_cost)*Opex!V$7+rent_acre*acres_lease*Opex!V$8</f>
        <v/>
      </c>
      <c r="W113" s="25">
        <f>(om_kw*mwac*1000+ins_rate*$C$105+am_cost+prop_tax+misc_cost)*Opex!W$7+rent_acre*acres_lease*Opex!W$8</f>
        <v/>
      </c>
      <c r="X113" s="25">
        <f>(om_kw*mwac*1000+ins_rate*$C$105+am_cost+prop_tax+misc_cost)*Opex!X$7+rent_acre*acres_lease*Opex!X$8</f>
        <v/>
      </c>
      <c r="Y113" s="25">
        <f>(om_kw*mwac*1000+ins_rate*$C$105+am_cost+prop_tax+misc_cost)*Opex!Y$7+rent_acre*acres_lease*Opex!Y$8</f>
        <v/>
      </c>
      <c r="Z113" s="25">
        <f>(om_kw*mwac*1000+ins_rate*$C$105+am_cost+prop_tax+misc_cost)*Opex!Z$7+rent_acre*acres_lease*Opex!Z$8</f>
        <v/>
      </c>
      <c r="AA113" s="25">
        <f>(om_kw*mwac*1000+ins_rate*$C$105+am_cost+prop_tax+misc_cost)*Opex!AA$7+rent_acre*acres_lease*Opex!AA$8</f>
        <v/>
      </c>
      <c r="AB113" s="25">
        <f>(om_kw*mwac*1000+ins_rate*$C$105+am_cost+prop_tax+misc_cost)*Opex!AB$7+rent_acre*acres_lease*Opex!AB$8</f>
        <v/>
      </c>
      <c r="AC113" s="25">
        <f>(om_kw*mwac*1000+ins_rate*$C$105+am_cost+prop_tax+misc_cost)*Opex!AC$7+rent_acre*acres_lease*Opex!AC$8</f>
        <v/>
      </c>
      <c r="AD113" s="25">
        <f>(om_kw*mwac*1000+ins_rate*$C$105+am_cost+prop_tax+misc_cost)*Opex!AD$7+rent_acre*acres_lease*Opex!AD$8</f>
        <v/>
      </c>
      <c r="AE113" s="25">
        <f>(om_kw*mwac*1000+ins_rate*$C$105+am_cost+prop_tax+misc_cost)*Opex!AE$7+rent_acre*acres_lease*Opex!AE$8</f>
        <v/>
      </c>
      <c r="AF113" s="25">
        <f>(om_kw*mwac*1000+ins_rate*$C$105+am_cost+prop_tax+misc_cost)*Opex!AF$7+rent_acre*acres_lease*Opex!AF$8</f>
        <v/>
      </c>
      <c r="AG113" s="25">
        <f>(om_kw*mwac*1000+ins_rate*$C$105+am_cost+prop_tax+misc_cost)*Opex!AG$7+rent_acre*acres_lease*Opex!AG$8</f>
        <v/>
      </c>
      <c r="AH113" s="25">
        <f>(om_kw*mwac*1000+ins_rate*$C$105+am_cost+prop_tax+misc_cost)*Opex!AH$7+rent_acre*acres_lease*Opex!AH$8</f>
        <v/>
      </c>
      <c r="AI113" s="25">
        <f>(om_kw*mwac*1000+ins_rate*$C$105+am_cost+prop_tax+misc_cost)*Opex!AI$7+rent_acre*acres_lease*Opex!AI$8</f>
        <v/>
      </c>
      <c r="AJ113" s="25">
        <f>(om_kw*mwac*1000+ins_rate*$C$105+am_cost+prop_tax+misc_cost)*Opex!AJ$7+rent_acre*acres_lease*Opex!AJ$8</f>
        <v/>
      </c>
      <c r="AK113" s="25">
        <f>(om_kw*mwac*1000+ins_rate*$C$105+am_cost+prop_tax+misc_cost)*Opex!AK$7+rent_acre*acres_lease*Opex!AK$8</f>
        <v/>
      </c>
      <c r="AL113" s="25">
        <f>(om_kw*mwac*1000+ins_rate*$C$105+am_cost+prop_tax+misc_cost)*Opex!AL$7+rent_acre*acres_lease*Opex!AL$8</f>
        <v/>
      </c>
    </row>
    <row r="114">
      <c r="B114" s="7" t="inlineStr">
        <is>
          <t>Credit cash ($)</t>
        </is>
      </c>
      <c r="D114" s="25">
        <f>IF(sw_credit="PTC",IF(D$5&lt;ptc_years,D108*Credits!D$8*(1+sw_bonus)*transfer_ptc,0),0)+IF(D$5=0,$C$107,0)</f>
        <v/>
      </c>
      <c r="E114" s="25">
        <f>IF(sw_credit="PTC",IF(E$5&lt;ptc_years,E108*Credits!E$8*(1+sw_bonus)*transfer_ptc,0),0)+IF(E$5=0,$C$107,0)</f>
        <v/>
      </c>
      <c r="F114" s="25">
        <f>IF(sw_credit="PTC",IF(F$5&lt;ptc_years,F108*Credits!F$8*(1+sw_bonus)*transfer_ptc,0),0)+IF(F$5=0,$C$107,0)</f>
        <v/>
      </c>
      <c r="G114" s="25">
        <f>IF(sw_credit="PTC",IF(G$5&lt;ptc_years,G108*Credits!G$8*(1+sw_bonus)*transfer_ptc,0),0)+IF(G$5=0,$C$107,0)</f>
        <v/>
      </c>
      <c r="H114" s="25">
        <f>IF(sw_credit="PTC",IF(H$5&lt;ptc_years,H108*Credits!H$8*(1+sw_bonus)*transfer_ptc,0),0)+IF(H$5=0,$C$107,0)</f>
        <v/>
      </c>
      <c r="I114" s="25">
        <f>IF(sw_credit="PTC",IF(I$5&lt;ptc_years,I108*Credits!I$8*(1+sw_bonus)*transfer_ptc,0),0)+IF(I$5=0,$C$107,0)</f>
        <v/>
      </c>
      <c r="J114" s="25">
        <f>IF(sw_credit="PTC",IF(J$5&lt;ptc_years,J108*Credits!J$8*(1+sw_bonus)*transfer_ptc,0),0)+IF(J$5=0,$C$107,0)</f>
        <v/>
      </c>
      <c r="K114" s="25">
        <f>IF(sw_credit="PTC",IF(K$5&lt;ptc_years,K108*Credits!K$8*(1+sw_bonus)*transfer_ptc,0),0)+IF(K$5=0,$C$107,0)</f>
        <v/>
      </c>
      <c r="L114" s="25">
        <f>IF(sw_credit="PTC",IF(L$5&lt;ptc_years,L108*Credits!L$8*(1+sw_bonus)*transfer_ptc,0),0)+IF(L$5=0,$C$107,0)</f>
        <v/>
      </c>
      <c r="M114" s="25">
        <f>IF(sw_credit="PTC",IF(M$5&lt;ptc_years,M108*Credits!M$8*(1+sw_bonus)*transfer_ptc,0),0)+IF(M$5=0,$C$107,0)</f>
        <v/>
      </c>
      <c r="N114" s="25">
        <f>IF(sw_credit="PTC",IF(N$5&lt;ptc_years,N108*Credits!N$8*(1+sw_bonus)*transfer_ptc,0),0)+IF(N$5=0,$C$107,0)</f>
        <v/>
      </c>
      <c r="O114" s="25">
        <f>IF(sw_credit="PTC",IF(O$5&lt;ptc_years,O108*Credits!O$8*(1+sw_bonus)*transfer_ptc,0),0)+IF(O$5=0,$C$107,0)</f>
        <v/>
      </c>
      <c r="P114" s="25">
        <f>IF(sw_credit="PTC",IF(P$5&lt;ptc_years,P108*Credits!P$8*(1+sw_bonus)*transfer_ptc,0),0)+IF(P$5=0,$C$107,0)</f>
        <v/>
      </c>
      <c r="Q114" s="25">
        <f>IF(sw_credit="PTC",IF(Q$5&lt;ptc_years,Q108*Credits!Q$8*(1+sw_bonus)*transfer_ptc,0),0)+IF(Q$5=0,$C$107,0)</f>
        <v/>
      </c>
      <c r="R114" s="25">
        <f>IF(sw_credit="PTC",IF(R$5&lt;ptc_years,R108*Credits!R$8*(1+sw_bonus)*transfer_ptc,0),0)+IF(R$5=0,$C$107,0)</f>
        <v/>
      </c>
      <c r="S114" s="25">
        <f>IF(sw_credit="PTC",IF(S$5&lt;ptc_years,S108*Credits!S$8*(1+sw_bonus)*transfer_ptc,0),0)+IF(S$5=0,$C$107,0)</f>
        <v/>
      </c>
      <c r="T114" s="25">
        <f>IF(sw_credit="PTC",IF(T$5&lt;ptc_years,T108*Credits!T$8*(1+sw_bonus)*transfer_ptc,0),0)+IF(T$5=0,$C$107,0)</f>
        <v/>
      </c>
      <c r="U114" s="25">
        <f>IF(sw_credit="PTC",IF(U$5&lt;ptc_years,U108*Credits!U$8*(1+sw_bonus)*transfer_ptc,0),0)+IF(U$5=0,$C$107,0)</f>
        <v/>
      </c>
      <c r="V114" s="25">
        <f>IF(sw_credit="PTC",IF(V$5&lt;ptc_years,V108*Credits!V$8*(1+sw_bonus)*transfer_ptc,0),0)+IF(V$5=0,$C$107,0)</f>
        <v/>
      </c>
      <c r="W114" s="25">
        <f>IF(sw_credit="PTC",IF(W$5&lt;ptc_years,W108*Credits!W$8*(1+sw_bonus)*transfer_ptc,0),0)+IF(W$5=0,$C$107,0)</f>
        <v/>
      </c>
      <c r="X114" s="25">
        <f>IF(sw_credit="PTC",IF(X$5&lt;ptc_years,X108*Credits!X$8*(1+sw_bonus)*transfer_ptc,0),0)+IF(X$5=0,$C$107,0)</f>
        <v/>
      </c>
      <c r="Y114" s="25">
        <f>IF(sw_credit="PTC",IF(Y$5&lt;ptc_years,Y108*Credits!Y$8*(1+sw_bonus)*transfer_ptc,0),0)+IF(Y$5=0,$C$107,0)</f>
        <v/>
      </c>
      <c r="Z114" s="25">
        <f>IF(sw_credit="PTC",IF(Z$5&lt;ptc_years,Z108*Credits!Z$8*(1+sw_bonus)*transfer_ptc,0),0)+IF(Z$5=0,$C$107,0)</f>
        <v/>
      </c>
      <c r="AA114" s="25">
        <f>IF(sw_credit="PTC",IF(AA$5&lt;ptc_years,AA108*Credits!AA$8*(1+sw_bonus)*transfer_ptc,0),0)+IF(AA$5=0,$C$107,0)</f>
        <v/>
      </c>
      <c r="AB114" s="25">
        <f>IF(sw_credit="PTC",IF(AB$5&lt;ptc_years,AB108*Credits!AB$8*(1+sw_bonus)*transfer_ptc,0),0)+IF(AB$5=0,$C$107,0)</f>
        <v/>
      </c>
      <c r="AC114" s="25">
        <f>IF(sw_credit="PTC",IF(AC$5&lt;ptc_years,AC108*Credits!AC$8*(1+sw_bonus)*transfer_ptc,0),0)+IF(AC$5=0,$C$107,0)</f>
        <v/>
      </c>
      <c r="AD114" s="25">
        <f>IF(sw_credit="PTC",IF(AD$5&lt;ptc_years,AD108*Credits!AD$8*(1+sw_bonus)*transfer_ptc,0),0)+IF(AD$5=0,$C$107,0)</f>
        <v/>
      </c>
      <c r="AE114" s="25">
        <f>IF(sw_credit="PTC",IF(AE$5&lt;ptc_years,AE108*Credits!AE$8*(1+sw_bonus)*transfer_ptc,0),0)+IF(AE$5=0,$C$107,0)</f>
        <v/>
      </c>
      <c r="AF114" s="25">
        <f>IF(sw_credit="PTC",IF(AF$5&lt;ptc_years,AF108*Credits!AF$8*(1+sw_bonus)*transfer_ptc,0),0)+IF(AF$5=0,$C$107,0)</f>
        <v/>
      </c>
      <c r="AG114" s="25">
        <f>IF(sw_credit="PTC",IF(AG$5&lt;ptc_years,AG108*Credits!AG$8*(1+sw_bonus)*transfer_ptc,0),0)+IF(AG$5=0,$C$107,0)</f>
        <v/>
      </c>
      <c r="AH114" s="25">
        <f>IF(sw_credit="PTC",IF(AH$5&lt;ptc_years,AH108*Credits!AH$8*(1+sw_bonus)*transfer_ptc,0),0)+IF(AH$5=0,$C$107,0)</f>
        <v/>
      </c>
      <c r="AI114" s="25">
        <f>IF(sw_credit="PTC",IF(AI$5&lt;ptc_years,AI108*Credits!AI$8*(1+sw_bonus)*transfer_ptc,0),0)+IF(AI$5=0,$C$107,0)</f>
        <v/>
      </c>
      <c r="AJ114" s="25">
        <f>IF(sw_credit="PTC",IF(AJ$5&lt;ptc_years,AJ108*Credits!AJ$8*(1+sw_bonus)*transfer_ptc,0),0)+IF(AJ$5=0,$C$107,0)</f>
        <v/>
      </c>
      <c r="AK114" s="25">
        <f>IF(sw_credit="PTC",IF(AK$5&lt;ptc_years,AK108*Credits!AK$8*(1+sw_bonus)*transfer_ptc,0),0)+IF(AK$5=0,$C$107,0)</f>
        <v/>
      </c>
      <c r="AL114" s="25">
        <f>IF(sw_credit="PTC",IF(AL$5&lt;ptc_years,AL108*Credits!AL$8*(1+sw_bonus)*transfer_ptc,0),0)+IF(AL$5=0,$C$107,0)</f>
        <v/>
      </c>
    </row>
    <row r="115">
      <c r="B115" s="14" t="inlineStr">
        <is>
          <t>EBITDA ($)</t>
        </is>
      </c>
      <c r="D115" s="26">
        <f>D110+D111-D112-D113</f>
        <v/>
      </c>
      <c r="E115" s="26">
        <f>E110+E111-E112-E113</f>
        <v/>
      </c>
      <c r="F115" s="26">
        <f>F110+F111-F112-F113</f>
        <v/>
      </c>
      <c r="G115" s="26">
        <f>G110+G111-G112-G113</f>
        <v/>
      </c>
      <c r="H115" s="26">
        <f>H110+H111-H112-H113</f>
        <v/>
      </c>
      <c r="I115" s="26">
        <f>I110+I111-I112-I113</f>
        <v/>
      </c>
      <c r="J115" s="26">
        <f>J110+J111-J112-J113</f>
        <v/>
      </c>
      <c r="K115" s="26">
        <f>K110+K111-K112-K113</f>
        <v/>
      </c>
      <c r="L115" s="26">
        <f>L110+L111-L112-L113</f>
        <v/>
      </c>
      <c r="M115" s="26">
        <f>M110+M111-M112-M113</f>
        <v/>
      </c>
      <c r="N115" s="26">
        <f>N110+N111-N112-N113</f>
        <v/>
      </c>
      <c r="O115" s="26">
        <f>O110+O111-O112-O113</f>
        <v/>
      </c>
      <c r="P115" s="26">
        <f>P110+P111-P112-P113</f>
        <v/>
      </c>
      <c r="Q115" s="26">
        <f>Q110+Q111-Q112-Q113</f>
        <v/>
      </c>
      <c r="R115" s="26">
        <f>R110+R111-R112-R113</f>
        <v/>
      </c>
      <c r="S115" s="26">
        <f>S110+S111-S112-S113</f>
        <v/>
      </c>
      <c r="T115" s="26">
        <f>T110+T111-T112-T113</f>
        <v/>
      </c>
      <c r="U115" s="26">
        <f>U110+U111-U112-U113</f>
        <v/>
      </c>
      <c r="V115" s="26">
        <f>V110+V111-V112-V113</f>
        <v/>
      </c>
      <c r="W115" s="26">
        <f>W110+W111-W112-W113</f>
        <v/>
      </c>
      <c r="X115" s="26">
        <f>X110+X111-X112-X113</f>
        <v/>
      </c>
      <c r="Y115" s="26">
        <f>Y110+Y111-Y112-Y113</f>
        <v/>
      </c>
      <c r="Z115" s="26">
        <f>Z110+Z111-Z112-Z113</f>
        <v/>
      </c>
      <c r="AA115" s="26">
        <f>AA110+AA111-AA112-AA113</f>
        <v/>
      </c>
      <c r="AB115" s="26">
        <f>AB110+AB111-AB112-AB113</f>
        <v/>
      </c>
      <c r="AC115" s="26">
        <f>AC110+AC111-AC112-AC113</f>
        <v/>
      </c>
      <c r="AD115" s="26">
        <f>AD110+AD111-AD112-AD113</f>
        <v/>
      </c>
      <c r="AE115" s="26">
        <f>AE110+AE111-AE112-AE113</f>
        <v/>
      </c>
      <c r="AF115" s="26">
        <f>AF110+AF111-AF112-AF113</f>
        <v/>
      </c>
      <c r="AG115" s="26">
        <f>AG110+AG111-AG112-AG113</f>
        <v/>
      </c>
      <c r="AH115" s="26">
        <f>AH110+AH111-AH112-AH113</f>
        <v/>
      </c>
      <c r="AI115" s="26">
        <f>AI110+AI111-AI112-AI113</f>
        <v/>
      </c>
      <c r="AJ115" s="26">
        <f>AJ110+AJ111-AJ112-AJ113</f>
        <v/>
      </c>
      <c r="AK115" s="26">
        <f>AK110+AK111-AK112-AK113</f>
        <v/>
      </c>
      <c r="AL115" s="26">
        <f>AL110+AL111-AL112-AL113</f>
        <v/>
      </c>
    </row>
    <row r="116">
      <c r="B116" s="7" t="inlineStr">
        <is>
          <t>Discount factor to 1 January 2027, contracted rate</t>
        </is>
      </c>
      <c r="D116" s="22">
        <f>1/(1+x_rc)^(D$5+2)</f>
        <v/>
      </c>
      <c r="E116" s="22">
        <f>1/(1+x_rc)^(E$5+2)</f>
        <v/>
      </c>
      <c r="F116" s="22">
        <f>1/(1+x_rc)^(F$5+2)</f>
        <v/>
      </c>
      <c r="G116" s="22">
        <f>1/(1+x_rc)^(G$5+2)</f>
        <v/>
      </c>
      <c r="H116" s="22">
        <f>1/(1+x_rc)^(H$5+2)</f>
        <v/>
      </c>
      <c r="I116" s="22">
        <f>1/(1+x_rc)^(I$5+2)</f>
        <v/>
      </c>
      <c r="J116" s="22">
        <f>1/(1+x_rc)^(J$5+2)</f>
        <v/>
      </c>
      <c r="K116" s="22">
        <f>1/(1+x_rc)^(K$5+2)</f>
        <v/>
      </c>
      <c r="L116" s="22">
        <f>1/(1+x_rc)^(L$5+2)</f>
        <v/>
      </c>
      <c r="M116" s="22">
        <f>1/(1+x_rc)^(M$5+2)</f>
        <v/>
      </c>
      <c r="N116" s="22">
        <f>1/(1+x_rc)^(N$5+2)</f>
        <v/>
      </c>
      <c r="O116" s="22">
        <f>1/(1+x_rc)^(O$5+2)</f>
        <v/>
      </c>
      <c r="P116" s="22">
        <f>1/(1+x_rc)^(P$5+2)</f>
        <v/>
      </c>
      <c r="Q116" s="22">
        <f>1/(1+x_rc)^(Q$5+2)</f>
        <v/>
      </c>
      <c r="R116" s="22">
        <f>1/(1+x_rc)^(R$5+2)</f>
        <v/>
      </c>
      <c r="S116" s="22">
        <f>1/(1+x_rc)^(S$5+2)</f>
        <v/>
      </c>
      <c r="T116" s="22">
        <f>1/(1+x_rc)^(T$5+2)</f>
        <v/>
      </c>
      <c r="U116" s="22">
        <f>1/(1+x_rc)^(U$5+2)</f>
        <v/>
      </c>
      <c r="V116" s="22">
        <f>1/(1+x_rc)^(V$5+2)</f>
        <v/>
      </c>
      <c r="W116" s="22">
        <f>1/(1+x_rc)^(W$5+2)</f>
        <v/>
      </c>
      <c r="X116" s="22">
        <f>1/(1+x_rc)^(X$5+2)</f>
        <v/>
      </c>
      <c r="Y116" s="22">
        <f>1/(1+x_rc)^(Y$5+2)</f>
        <v/>
      </c>
      <c r="Z116" s="22">
        <f>1/(1+x_rc)^(Z$5+2)</f>
        <v/>
      </c>
      <c r="AA116" s="22">
        <f>1/(1+x_rc)^(AA$5+2)</f>
        <v/>
      </c>
      <c r="AB116" s="22">
        <f>1/(1+x_rc)^(AB$5+2)</f>
        <v/>
      </c>
      <c r="AC116" s="22">
        <f>1/(1+x_rc)^(AC$5+2)</f>
        <v/>
      </c>
      <c r="AD116" s="22">
        <f>1/(1+x_rc)^(AD$5+2)</f>
        <v/>
      </c>
      <c r="AE116" s="22">
        <f>1/(1+x_rc)^(AE$5+2)</f>
        <v/>
      </c>
      <c r="AF116" s="22">
        <f>1/(1+x_rc)^(AF$5+2)</f>
        <v/>
      </c>
      <c r="AG116" s="22">
        <f>1/(1+x_rc)^(AG$5+2)</f>
        <v/>
      </c>
      <c r="AH116" s="22">
        <f>1/(1+x_rc)^(AH$5+2)</f>
        <v/>
      </c>
      <c r="AI116" s="22">
        <f>1/(1+x_rc)^(AI$5+2)</f>
        <v/>
      </c>
      <c r="AJ116" s="22">
        <f>1/(1+x_rc)^(AJ$5+2)</f>
        <v/>
      </c>
      <c r="AK116" s="22">
        <f>1/(1+x_rc)^(AK$5+2)</f>
        <v/>
      </c>
      <c r="AL116" s="22">
        <f>1/(1+x_rc)^(AL$5+2)</f>
        <v/>
      </c>
    </row>
    <row r="117">
      <c r="B117" s="7" t="inlineStr">
        <is>
          <t>Discount factor to 1 January 2027, merchant rate</t>
        </is>
      </c>
      <c r="D117" s="22">
        <f>1/(1+x_rm)^(D$5+2)</f>
        <v/>
      </c>
      <c r="E117" s="22">
        <f>1/(1+x_rm)^(E$5+2)</f>
        <v/>
      </c>
      <c r="F117" s="22">
        <f>1/(1+x_rm)^(F$5+2)</f>
        <v/>
      </c>
      <c r="G117" s="22">
        <f>1/(1+x_rm)^(G$5+2)</f>
        <v/>
      </c>
      <c r="H117" s="22">
        <f>1/(1+x_rm)^(H$5+2)</f>
        <v/>
      </c>
      <c r="I117" s="22">
        <f>1/(1+x_rm)^(I$5+2)</f>
        <v/>
      </c>
      <c r="J117" s="22">
        <f>1/(1+x_rm)^(J$5+2)</f>
        <v/>
      </c>
      <c r="K117" s="22">
        <f>1/(1+x_rm)^(K$5+2)</f>
        <v/>
      </c>
      <c r="L117" s="22">
        <f>1/(1+x_rm)^(L$5+2)</f>
        <v/>
      </c>
      <c r="M117" s="22">
        <f>1/(1+x_rm)^(M$5+2)</f>
        <v/>
      </c>
      <c r="N117" s="22">
        <f>1/(1+x_rm)^(N$5+2)</f>
        <v/>
      </c>
      <c r="O117" s="22">
        <f>1/(1+x_rm)^(O$5+2)</f>
        <v/>
      </c>
      <c r="P117" s="22">
        <f>1/(1+x_rm)^(P$5+2)</f>
        <v/>
      </c>
      <c r="Q117" s="22">
        <f>1/(1+x_rm)^(Q$5+2)</f>
        <v/>
      </c>
      <c r="R117" s="22">
        <f>1/(1+x_rm)^(R$5+2)</f>
        <v/>
      </c>
      <c r="S117" s="22">
        <f>1/(1+x_rm)^(S$5+2)</f>
        <v/>
      </c>
      <c r="T117" s="22">
        <f>1/(1+x_rm)^(T$5+2)</f>
        <v/>
      </c>
      <c r="U117" s="22">
        <f>1/(1+x_rm)^(U$5+2)</f>
        <v/>
      </c>
      <c r="V117" s="22">
        <f>1/(1+x_rm)^(V$5+2)</f>
        <v/>
      </c>
      <c r="W117" s="22">
        <f>1/(1+x_rm)^(W$5+2)</f>
        <v/>
      </c>
      <c r="X117" s="22">
        <f>1/(1+x_rm)^(X$5+2)</f>
        <v/>
      </c>
      <c r="Y117" s="22">
        <f>1/(1+x_rm)^(Y$5+2)</f>
        <v/>
      </c>
      <c r="Z117" s="22">
        <f>1/(1+x_rm)^(Z$5+2)</f>
        <v/>
      </c>
      <c r="AA117" s="22">
        <f>1/(1+x_rm)^(AA$5+2)</f>
        <v/>
      </c>
      <c r="AB117" s="22">
        <f>1/(1+x_rm)^(AB$5+2)</f>
        <v/>
      </c>
      <c r="AC117" s="22">
        <f>1/(1+x_rm)^(AC$5+2)</f>
        <v/>
      </c>
      <c r="AD117" s="22">
        <f>1/(1+x_rm)^(AD$5+2)</f>
        <v/>
      </c>
      <c r="AE117" s="22">
        <f>1/(1+x_rm)^(AE$5+2)</f>
        <v/>
      </c>
      <c r="AF117" s="22">
        <f>1/(1+x_rm)^(AF$5+2)</f>
        <v/>
      </c>
      <c r="AG117" s="22">
        <f>1/(1+x_rm)^(AG$5+2)</f>
        <v/>
      </c>
      <c r="AH117" s="22">
        <f>1/(1+x_rm)^(AH$5+2)</f>
        <v/>
      </c>
      <c r="AI117" s="22">
        <f>1/(1+x_rm)^(AI$5+2)</f>
        <v/>
      </c>
      <c r="AJ117" s="22">
        <f>1/(1+x_rm)^(AJ$5+2)</f>
        <v/>
      </c>
      <c r="AK117" s="22">
        <f>1/(1+x_rm)^(AK$5+2)</f>
        <v/>
      </c>
      <c r="AL117" s="22">
        <f>1/(1+x_rm)^(AL$5+2)</f>
        <v/>
      </c>
    </row>
    <row r="118">
      <c r="B118" s="14" t="inlineStr">
        <is>
          <t>Revenue: contracted + merchant - basis cost ($)</t>
        </is>
      </c>
      <c r="D118" s="26">
        <f>D110+D111-D112</f>
        <v/>
      </c>
      <c r="E118" s="26">
        <f>E110+E111-E112</f>
        <v/>
      </c>
      <c r="F118" s="26">
        <f>F110+F111-F112</f>
        <v/>
      </c>
      <c r="G118" s="26">
        <f>G110+G111-G112</f>
        <v/>
      </c>
      <c r="H118" s="26">
        <f>H110+H111-H112</f>
        <v/>
      </c>
      <c r="I118" s="26">
        <f>I110+I111-I112</f>
        <v/>
      </c>
      <c r="J118" s="26">
        <f>J110+J111-J112</f>
        <v/>
      </c>
      <c r="K118" s="26">
        <f>K110+K111-K112</f>
        <v/>
      </c>
      <c r="L118" s="26">
        <f>L110+L111-L112</f>
        <v/>
      </c>
      <c r="M118" s="26">
        <f>M110+M111-M112</f>
        <v/>
      </c>
      <c r="N118" s="26">
        <f>N110+N111-N112</f>
        <v/>
      </c>
      <c r="O118" s="26">
        <f>O110+O111-O112</f>
        <v/>
      </c>
      <c r="P118" s="26">
        <f>P110+P111-P112</f>
        <v/>
      </c>
      <c r="Q118" s="26">
        <f>Q110+Q111-Q112</f>
        <v/>
      </c>
      <c r="R118" s="26">
        <f>R110+R111-R112</f>
        <v/>
      </c>
      <c r="S118" s="26">
        <f>S110+S111-S112</f>
        <v/>
      </c>
      <c r="T118" s="26">
        <f>T110+T111-T112</f>
        <v/>
      </c>
      <c r="U118" s="26">
        <f>U110+U111-U112</f>
        <v/>
      </c>
      <c r="V118" s="26">
        <f>V110+V111-V112</f>
        <v/>
      </c>
      <c r="W118" s="26">
        <f>W110+W111-W112</f>
        <v/>
      </c>
      <c r="X118" s="26">
        <f>X110+X111-X112</f>
        <v/>
      </c>
      <c r="Y118" s="26">
        <f>Y110+Y111-Y112</f>
        <v/>
      </c>
      <c r="Z118" s="26">
        <f>Z110+Z111-Z112</f>
        <v/>
      </c>
      <c r="AA118" s="26">
        <f>AA110+AA111-AA112</f>
        <v/>
      </c>
      <c r="AB118" s="26">
        <f>AB110+AB111-AB112</f>
        <v/>
      </c>
      <c r="AC118" s="26">
        <f>AC110+AC111-AC112</f>
        <v/>
      </c>
      <c r="AD118" s="26">
        <f>AD110+AD111-AD112</f>
        <v/>
      </c>
      <c r="AE118" s="26">
        <f>AE110+AE111-AE112</f>
        <v/>
      </c>
      <c r="AF118" s="26">
        <f>AF110+AF111-AF112</f>
        <v/>
      </c>
      <c r="AG118" s="26">
        <f>AG110+AG111-AG112</f>
        <v/>
      </c>
      <c r="AH118" s="26">
        <f>AH110+AH111-AH112</f>
        <v/>
      </c>
      <c r="AI118" s="26">
        <f>AI110+AI111-AI112</f>
        <v/>
      </c>
      <c r="AJ118" s="26">
        <f>AJ110+AJ111-AJ112</f>
        <v/>
      </c>
      <c r="AK118" s="26">
        <f>AK110+AK111-AK112</f>
        <v/>
      </c>
      <c r="AL118" s="26">
        <f>AL110+AL111-AL112</f>
        <v/>
      </c>
    </row>
    <row r="119">
      <c r="B119" s="7" t="inlineStr">
        <is>
          <t>Discount factor to 1 January 2028, contracted rate</t>
        </is>
      </c>
      <c r="D119" s="22">
        <f>1/(1+x_rc)^(D$5+1)</f>
        <v/>
      </c>
      <c r="E119" s="22">
        <f>1/(1+x_rc)^(E$5+1)</f>
        <v/>
      </c>
      <c r="F119" s="22">
        <f>1/(1+x_rc)^(F$5+1)</f>
        <v/>
      </c>
      <c r="G119" s="22">
        <f>1/(1+x_rc)^(G$5+1)</f>
        <v/>
      </c>
      <c r="H119" s="22">
        <f>1/(1+x_rc)^(H$5+1)</f>
        <v/>
      </c>
      <c r="I119" s="22">
        <f>1/(1+x_rc)^(I$5+1)</f>
        <v/>
      </c>
      <c r="J119" s="22">
        <f>1/(1+x_rc)^(J$5+1)</f>
        <v/>
      </c>
      <c r="K119" s="22">
        <f>1/(1+x_rc)^(K$5+1)</f>
        <v/>
      </c>
      <c r="L119" s="22">
        <f>1/(1+x_rc)^(L$5+1)</f>
        <v/>
      </c>
      <c r="M119" s="22">
        <f>1/(1+x_rc)^(M$5+1)</f>
        <v/>
      </c>
      <c r="N119" s="22">
        <f>1/(1+x_rc)^(N$5+1)</f>
        <v/>
      </c>
      <c r="O119" s="22">
        <f>1/(1+x_rc)^(O$5+1)</f>
        <v/>
      </c>
      <c r="P119" s="22">
        <f>1/(1+x_rc)^(P$5+1)</f>
        <v/>
      </c>
      <c r="Q119" s="22">
        <f>1/(1+x_rc)^(Q$5+1)</f>
        <v/>
      </c>
      <c r="R119" s="22">
        <f>1/(1+x_rc)^(R$5+1)</f>
        <v/>
      </c>
      <c r="S119" s="22">
        <f>1/(1+x_rc)^(S$5+1)</f>
        <v/>
      </c>
      <c r="T119" s="22">
        <f>1/(1+x_rc)^(T$5+1)</f>
        <v/>
      </c>
      <c r="U119" s="22">
        <f>1/(1+x_rc)^(U$5+1)</f>
        <v/>
      </c>
      <c r="V119" s="22">
        <f>1/(1+x_rc)^(V$5+1)</f>
        <v/>
      </c>
      <c r="W119" s="22">
        <f>1/(1+x_rc)^(W$5+1)</f>
        <v/>
      </c>
      <c r="X119" s="22">
        <f>1/(1+x_rc)^(X$5+1)</f>
        <v/>
      </c>
      <c r="Y119" s="22">
        <f>1/(1+x_rc)^(Y$5+1)</f>
        <v/>
      </c>
      <c r="Z119" s="22">
        <f>1/(1+x_rc)^(Z$5+1)</f>
        <v/>
      </c>
      <c r="AA119" s="22">
        <f>1/(1+x_rc)^(AA$5+1)</f>
        <v/>
      </c>
      <c r="AB119" s="22">
        <f>1/(1+x_rc)^(AB$5+1)</f>
        <v/>
      </c>
      <c r="AC119" s="22">
        <f>1/(1+x_rc)^(AC$5+1)</f>
        <v/>
      </c>
      <c r="AD119" s="22">
        <f>1/(1+x_rc)^(AD$5+1)</f>
        <v/>
      </c>
      <c r="AE119" s="22">
        <f>1/(1+x_rc)^(AE$5+1)</f>
        <v/>
      </c>
      <c r="AF119" s="22">
        <f>1/(1+x_rc)^(AF$5+1)</f>
        <v/>
      </c>
      <c r="AG119" s="22">
        <f>1/(1+x_rc)^(AG$5+1)</f>
        <v/>
      </c>
      <c r="AH119" s="22">
        <f>1/(1+x_rc)^(AH$5+1)</f>
        <v/>
      </c>
      <c r="AI119" s="22">
        <f>1/(1+x_rc)^(AI$5+1)</f>
        <v/>
      </c>
      <c r="AJ119" s="22">
        <f>1/(1+x_rc)^(AJ$5+1)</f>
        <v/>
      </c>
      <c r="AK119" s="22">
        <f>1/(1+x_rc)^(AK$5+1)</f>
        <v/>
      </c>
      <c r="AL119" s="22">
        <f>1/(1+x_rc)^(AL$5+1)</f>
        <v/>
      </c>
    </row>
    <row r="120">
      <c r="B120" s="7" t="inlineStr">
        <is>
          <t>Discount factor to 1 January 2028, merchant rate</t>
        </is>
      </c>
      <c r="D120" s="22">
        <f>1/(1+x_rm)^(D$5+1)</f>
        <v/>
      </c>
      <c r="E120" s="22">
        <f>1/(1+x_rm)^(E$5+1)</f>
        <v/>
      </c>
      <c r="F120" s="22">
        <f>1/(1+x_rm)^(F$5+1)</f>
        <v/>
      </c>
      <c r="G120" s="22">
        <f>1/(1+x_rm)^(G$5+1)</f>
        <v/>
      </c>
      <c r="H120" s="22">
        <f>1/(1+x_rm)^(H$5+1)</f>
        <v/>
      </c>
      <c r="I120" s="22">
        <f>1/(1+x_rm)^(I$5+1)</f>
        <v/>
      </c>
      <c r="J120" s="22">
        <f>1/(1+x_rm)^(J$5+1)</f>
        <v/>
      </c>
      <c r="K120" s="22">
        <f>1/(1+x_rm)^(K$5+1)</f>
        <v/>
      </c>
      <c r="L120" s="22">
        <f>1/(1+x_rm)^(L$5+1)</f>
        <v/>
      </c>
      <c r="M120" s="22">
        <f>1/(1+x_rm)^(M$5+1)</f>
        <v/>
      </c>
      <c r="N120" s="22">
        <f>1/(1+x_rm)^(N$5+1)</f>
        <v/>
      </c>
      <c r="O120" s="22">
        <f>1/(1+x_rm)^(O$5+1)</f>
        <v/>
      </c>
      <c r="P120" s="22">
        <f>1/(1+x_rm)^(P$5+1)</f>
        <v/>
      </c>
      <c r="Q120" s="22">
        <f>1/(1+x_rm)^(Q$5+1)</f>
        <v/>
      </c>
      <c r="R120" s="22">
        <f>1/(1+x_rm)^(R$5+1)</f>
        <v/>
      </c>
      <c r="S120" s="22">
        <f>1/(1+x_rm)^(S$5+1)</f>
        <v/>
      </c>
      <c r="T120" s="22">
        <f>1/(1+x_rm)^(T$5+1)</f>
        <v/>
      </c>
      <c r="U120" s="22">
        <f>1/(1+x_rm)^(U$5+1)</f>
        <v/>
      </c>
      <c r="V120" s="22">
        <f>1/(1+x_rm)^(V$5+1)</f>
        <v/>
      </c>
      <c r="W120" s="22">
        <f>1/(1+x_rm)^(W$5+1)</f>
        <v/>
      </c>
      <c r="X120" s="22">
        <f>1/(1+x_rm)^(X$5+1)</f>
        <v/>
      </c>
      <c r="Y120" s="22">
        <f>1/(1+x_rm)^(Y$5+1)</f>
        <v/>
      </c>
      <c r="Z120" s="22">
        <f>1/(1+x_rm)^(Z$5+1)</f>
        <v/>
      </c>
      <c r="AA120" s="22">
        <f>1/(1+x_rm)^(AA$5+1)</f>
        <v/>
      </c>
      <c r="AB120" s="22">
        <f>1/(1+x_rm)^(AB$5+1)</f>
        <v/>
      </c>
      <c r="AC120" s="22">
        <f>1/(1+x_rm)^(AC$5+1)</f>
        <v/>
      </c>
      <c r="AD120" s="22">
        <f>1/(1+x_rm)^(AD$5+1)</f>
        <v/>
      </c>
      <c r="AE120" s="22">
        <f>1/(1+x_rm)^(AE$5+1)</f>
        <v/>
      </c>
      <c r="AF120" s="22">
        <f>1/(1+x_rm)^(AF$5+1)</f>
        <v/>
      </c>
      <c r="AG120" s="22">
        <f>1/(1+x_rm)^(AG$5+1)</f>
        <v/>
      </c>
      <c r="AH120" s="22">
        <f>1/(1+x_rm)^(AH$5+1)</f>
        <v/>
      </c>
      <c r="AI120" s="22">
        <f>1/(1+x_rm)^(AI$5+1)</f>
        <v/>
      </c>
      <c r="AJ120" s="22">
        <f>1/(1+x_rm)^(AJ$5+1)</f>
        <v/>
      </c>
      <c r="AK120" s="22">
        <f>1/(1+x_rm)^(AK$5+1)</f>
        <v/>
      </c>
      <c r="AL120" s="22">
        <f>1/(1+x_rm)^(AL$5+1)</f>
        <v/>
      </c>
    </row>
    <row r="121">
      <c r="B121" s="7" t="inlineStr">
        <is>
          <t>Discount factor to the later sale date, contracted rate</t>
        </is>
      </c>
      <c r="D121" s="22">
        <f>IF(D$4&gt;=sale_year,1/(1+x_rc)^(D$4-sale_year+1),0)</f>
        <v/>
      </c>
      <c r="E121" s="22">
        <f>IF(E$4&gt;=sale_year,1/(1+x_rc)^(E$4-sale_year+1),0)</f>
        <v/>
      </c>
      <c r="F121" s="22">
        <f>IF(F$4&gt;=sale_year,1/(1+x_rc)^(F$4-sale_year+1),0)</f>
        <v/>
      </c>
      <c r="G121" s="22">
        <f>IF(G$4&gt;=sale_year,1/(1+x_rc)^(G$4-sale_year+1),0)</f>
        <v/>
      </c>
      <c r="H121" s="22">
        <f>IF(H$4&gt;=sale_year,1/(1+x_rc)^(H$4-sale_year+1),0)</f>
        <v/>
      </c>
      <c r="I121" s="22">
        <f>IF(I$4&gt;=sale_year,1/(1+x_rc)^(I$4-sale_year+1),0)</f>
        <v/>
      </c>
      <c r="J121" s="22">
        <f>IF(J$4&gt;=sale_year,1/(1+x_rc)^(J$4-sale_year+1),0)</f>
        <v/>
      </c>
      <c r="K121" s="22">
        <f>IF(K$4&gt;=sale_year,1/(1+x_rc)^(K$4-sale_year+1),0)</f>
        <v/>
      </c>
      <c r="L121" s="22">
        <f>IF(L$4&gt;=sale_year,1/(1+x_rc)^(L$4-sale_year+1),0)</f>
        <v/>
      </c>
      <c r="M121" s="22">
        <f>IF(M$4&gt;=sale_year,1/(1+x_rc)^(M$4-sale_year+1),0)</f>
        <v/>
      </c>
      <c r="N121" s="22">
        <f>IF(N$4&gt;=sale_year,1/(1+x_rc)^(N$4-sale_year+1),0)</f>
        <v/>
      </c>
      <c r="O121" s="22">
        <f>IF(O$4&gt;=sale_year,1/(1+x_rc)^(O$4-sale_year+1),0)</f>
        <v/>
      </c>
      <c r="P121" s="22">
        <f>IF(P$4&gt;=sale_year,1/(1+x_rc)^(P$4-sale_year+1),0)</f>
        <v/>
      </c>
      <c r="Q121" s="22">
        <f>IF(Q$4&gt;=sale_year,1/(1+x_rc)^(Q$4-sale_year+1),0)</f>
        <v/>
      </c>
      <c r="R121" s="22">
        <f>IF(R$4&gt;=sale_year,1/(1+x_rc)^(R$4-sale_year+1),0)</f>
        <v/>
      </c>
      <c r="S121" s="22">
        <f>IF(S$4&gt;=sale_year,1/(1+x_rc)^(S$4-sale_year+1),0)</f>
        <v/>
      </c>
      <c r="T121" s="22">
        <f>IF(T$4&gt;=sale_year,1/(1+x_rc)^(T$4-sale_year+1),0)</f>
        <v/>
      </c>
      <c r="U121" s="22">
        <f>IF(U$4&gt;=sale_year,1/(1+x_rc)^(U$4-sale_year+1),0)</f>
        <v/>
      </c>
      <c r="V121" s="22">
        <f>IF(V$4&gt;=sale_year,1/(1+x_rc)^(V$4-sale_year+1),0)</f>
        <v/>
      </c>
      <c r="W121" s="22">
        <f>IF(W$4&gt;=sale_year,1/(1+x_rc)^(W$4-sale_year+1),0)</f>
        <v/>
      </c>
      <c r="X121" s="22">
        <f>IF(X$4&gt;=sale_year,1/(1+x_rc)^(X$4-sale_year+1),0)</f>
        <v/>
      </c>
      <c r="Y121" s="22">
        <f>IF(Y$4&gt;=sale_year,1/(1+x_rc)^(Y$4-sale_year+1),0)</f>
        <v/>
      </c>
      <c r="Z121" s="22">
        <f>IF(Z$4&gt;=sale_year,1/(1+x_rc)^(Z$4-sale_year+1),0)</f>
        <v/>
      </c>
      <c r="AA121" s="22">
        <f>IF(AA$4&gt;=sale_year,1/(1+x_rc)^(AA$4-sale_year+1),0)</f>
        <v/>
      </c>
      <c r="AB121" s="22">
        <f>IF(AB$4&gt;=sale_year,1/(1+x_rc)^(AB$4-sale_year+1),0)</f>
        <v/>
      </c>
      <c r="AC121" s="22">
        <f>IF(AC$4&gt;=sale_year,1/(1+x_rc)^(AC$4-sale_year+1),0)</f>
        <v/>
      </c>
      <c r="AD121" s="22">
        <f>IF(AD$4&gt;=sale_year,1/(1+x_rc)^(AD$4-sale_year+1),0)</f>
        <v/>
      </c>
      <c r="AE121" s="22">
        <f>IF(AE$4&gt;=sale_year,1/(1+x_rc)^(AE$4-sale_year+1),0)</f>
        <v/>
      </c>
      <c r="AF121" s="22">
        <f>IF(AF$4&gt;=sale_year,1/(1+x_rc)^(AF$4-sale_year+1),0)</f>
        <v/>
      </c>
      <c r="AG121" s="22">
        <f>IF(AG$4&gt;=sale_year,1/(1+x_rc)^(AG$4-sale_year+1),0)</f>
        <v/>
      </c>
      <c r="AH121" s="22">
        <f>IF(AH$4&gt;=sale_year,1/(1+x_rc)^(AH$4-sale_year+1),0)</f>
        <v/>
      </c>
      <c r="AI121" s="22">
        <f>IF(AI$4&gt;=sale_year,1/(1+x_rc)^(AI$4-sale_year+1),0)</f>
        <v/>
      </c>
      <c r="AJ121" s="22">
        <f>IF(AJ$4&gt;=sale_year,1/(1+x_rc)^(AJ$4-sale_year+1),0)</f>
        <v/>
      </c>
      <c r="AK121" s="22">
        <f>IF(AK$4&gt;=sale_year,1/(1+x_rc)^(AK$4-sale_year+1),0)</f>
        <v/>
      </c>
      <c r="AL121" s="22">
        <f>IF(AL$4&gt;=sale_year,1/(1+x_rc)^(AL$4-sale_year+1),0)</f>
        <v/>
      </c>
    </row>
    <row r="122">
      <c r="B122" s="7" t="inlineStr">
        <is>
          <t>Discount factor to the later sale date, merchant rate</t>
        </is>
      </c>
      <c r="D122" s="22">
        <f>IF(D$4&gt;=sale_year,1/(1+x_rm)^(D$4-sale_year+1),0)</f>
        <v/>
      </c>
      <c r="E122" s="22">
        <f>IF(E$4&gt;=sale_year,1/(1+x_rm)^(E$4-sale_year+1),0)</f>
        <v/>
      </c>
      <c r="F122" s="22">
        <f>IF(F$4&gt;=sale_year,1/(1+x_rm)^(F$4-sale_year+1),0)</f>
        <v/>
      </c>
      <c r="G122" s="22">
        <f>IF(G$4&gt;=sale_year,1/(1+x_rm)^(G$4-sale_year+1),0)</f>
        <v/>
      </c>
      <c r="H122" s="22">
        <f>IF(H$4&gt;=sale_year,1/(1+x_rm)^(H$4-sale_year+1),0)</f>
        <v/>
      </c>
      <c r="I122" s="22">
        <f>IF(I$4&gt;=sale_year,1/(1+x_rm)^(I$4-sale_year+1),0)</f>
        <v/>
      </c>
      <c r="J122" s="22">
        <f>IF(J$4&gt;=sale_year,1/(1+x_rm)^(J$4-sale_year+1),0)</f>
        <v/>
      </c>
      <c r="K122" s="22">
        <f>IF(K$4&gt;=sale_year,1/(1+x_rm)^(K$4-sale_year+1),0)</f>
        <v/>
      </c>
      <c r="L122" s="22">
        <f>IF(L$4&gt;=sale_year,1/(1+x_rm)^(L$4-sale_year+1),0)</f>
        <v/>
      </c>
      <c r="M122" s="22">
        <f>IF(M$4&gt;=sale_year,1/(1+x_rm)^(M$4-sale_year+1),0)</f>
        <v/>
      </c>
      <c r="N122" s="22">
        <f>IF(N$4&gt;=sale_year,1/(1+x_rm)^(N$4-sale_year+1),0)</f>
        <v/>
      </c>
      <c r="O122" s="22">
        <f>IF(O$4&gt;=sale_year,1/(1+x_rm)^(O$4-sale_year+1),0)</f>
        <v/>
      </c>
      <c r="P122" s="22">
        <f>IF(P$4&gt;=sale_year,1/(1+x_rm)^(P$4-sale_year+1),0)</f>
        <v/>
      </c>
      <c r="Q122" s="22">
        <f>IF(Q$4&gt;=sale_year,1/(1+x_rm)^(Q$4-sale_year+1),0)</f>
        <v/>
      </c>
      <c r="R122" s="22">
        <f>IF(R$4&gt;=sale_year,1/(1+x_rm)^(R$4-sale_year+1),0)</f>
        <v/>
      </c>
      <c r="S122" s="22">
        <f>IF(S$4&gt;=sale_year,1/(1+x_rm)^(S$4-sale_year+1),0)</f>
        <v/>
      </c>
      <c r="T122" s="22">
        <f>IF(T$4&gt;=sale_year,1/(1+x_rm)^(T$4-sale_year+1),0)</f>
        <v/>
      </c>
      <c r="U122" s="22">
        <f>IF(U$4&gt;=sale_year,1/(1+x_rm)^(U$4-sale_year+1),0)</f>
        <v/>
      </c>
      <c r="V122" s="22">
        <f>IF(V$4&gt;=sale_year,1/(1+x_rm)^(V$4-sale_year+1),0)</f>
        <v/>
      </c>
      <c r="W122" s="22">
        <f>IF(W$4&gt;=sale_year,1/(1+x_rm)^(W$4-sale_year+1),0)</f>
        <v/>
      </c>
      <c r="X122" s="22">
        <f>IF(X$4&gt;=sale_year,1/(1+x_rm)^(X$4-sale_year+1),0)</f>
        <v/>
      </c>
      <c r="Y122" s="22">
        <f>IF(Y$4&gt;=sale_year,1/(1+x_rm)^(Y$4-sale_year+1),0)</f>
        <v/>
      </c>
      <c r="Z122" s="22">
        <f>IF(Z$4&gt;=sale_year,1/(1+x_rm)^(Z$4-sale_year+1),0)</f>
        <v/>
      </c>
      <c r="AA122" s="22">
        <f>IF(AA$4&gt;=sale_year,1/(1+x_rm)^(AA$4-sale_year+1),0)</f>
        <v/>
      </c>
      <c r="AB122" s="22">
        <f>IF(AB$4&gt;=sale_year,1/(1+x_rm)^(AB$4-sale_year+1),0)</f>
        <v/>
      </c>
      <c r="AC122" s="22">
        <f>IF(AC$4&gt;=sale_year,1/(1+x_rm)^(AC$4-sale_year+1),0)</f>
        <v/>
      </c>
      <c r="AD122" s="22">
        <f>IF(AD$4&gt;=sale_year,1/(1+x_rm)^(AD$4-sale_year+1),0)</f>
        <v/>
      </c>
      <c r="AE122" s="22">
        <f>IF(AE$4&gt;=sale_year,1/(1+x_rm)^(AE$4-sale_year+1),0)</f>
        <v/>
      </c>
      <c r="AF122" s="22">
        <f>IF(AF$4&gt;=sale_year,1/(1+x_rm)^(AF$4-sale_year+1),0)</f>
        <v/>
      </c>
      <c r="AG122" s="22">
        <f>IF(AG$4&gt;=sale_year,1/(1+x_rm)^(AG$4-sale_year+1),0)</f>
        <v/>
      </c>
      <c r="AH122" s="22">
        <f>IF(AH$4&gt;=sale_year,1/(1+x_rm)^(AH$4-sale_year+1),0)</f>
        <v/>
      </c>
      <c r="AI122" s="22">
        <f>IF(AI$4&gt;=sale_year,1/(1+x_rm)^(AI$4-sale_year+1),0)</f>
        <v/>
      </c>
      <c r="AJ122" s="22">
        <f>IF(AJ$4&gt;=sale_year,1/(1+x_rm)^(AJ$4-sale_year+1),0)</f>
        <v/>
      </c>
      <c r="AK122" s="22">
        <f>IF(AK$4&gt;=sale_year,1/(1+x_rm)^(AK$4-sale_year+1),0)</f>
        <v/>
      </c>
      <c r="AL122" s="22">
        <f>IF(AL$4&gt;=sale_year,1/(1+x_rm)^(AL$4-sale_year+1),0)</f>
        <v/>
      </c>
    </row>
    <row r="123">
      <c r="B123" s="7" t="inlineStr">
        <is>
          <t>Value on 1 January 2027 of the flows from 2028 (split rates) ($)</t>
        </is>
      </c>
      <c r="C123" s="25">
        <f>SUMPRODUCT($D$110:$AL$110,$D$116:$AL$116)+SUMPRODUCT($D$114:$AL$114,$D$116:$AL$116)-SUMPRODUCT($D$112:$AL$112,$D$116:$AL$116)-SUMPRODUCT($D$113:$AL$113,$D$116:$AL$116)+SUMPRODUCT($D$111:$AL$111,$D$117:$AL$117)-decom_end/(1+x_rc)^(life_years+1)</f>
        <v/>
      </c>
    </row>
    <row r="124">
      <c r="B124" s="14" t="inlineStr">
        <is>
          <t>Development value on 1 January 2027: value less the capital cost ($)</t>
        </is>
      </c>
      <c r="C124" s="26">
        <f>C123-C105/(1+x_rc)</f>
        <v/>
      </c>
    </row>
    <row r="125">
      <c r="B125" s="7" t="inlineStr">
        <is>
          <t>Highest premium Ashgrove can pay at NTP ($)</t>
        </is>
      </c>
      <c r="C125" s="25">
        <f>C124-reimb+reimb/(1+x_rc)</f>
        <v/>
      </c>
    </row>
    <row r="126">
      <c r="B126" s="7" t="inlineStr">
        <is>
          <t>Value of the operating project on 1 January 2028 ($)</t>
        </is>
      </c>
      <c r="C126" s="25">
        <f>SUMPRODUCT($D$110:$AL$110,$D$119:$AL$119)+SUMPRODUCT($D$114:$AL$114,$D$119:$AL$119)-SUMPRODUCT($D$112:$AL$112,$D$119:$AL$119)-SUMPRODUCT($D$113:$AL$113,$D$119:$AL$119)+SUMPRODUCT($D$111:$AL$111,$D$120:$AL$120)-decom_end/(1+x_rc)^life_years</f>
        <v/>
      </c>
    </row>
    <row r="127">
      <c r="B127" s="7" t="inlineStr">
        <is>
          <t>Per Wac ($)</t>
        </is>
      </c>
      <c r="C127" s="27">
        <f>C126/(mwac*1000000)</f>
        <v/>
      </c>
    </row>
    <row r="128">
      <c r="B128" s="7" t="inlineStr">
        <is>
          <t>Value on 1 January of the later sale date ($)</t>
        </is>
      </c>
      <c r="C128" s="25">
        <f>SUMPRODUCT($D$110:$AL$110,$D$121:$AL$121)+SUMPRODUCT($D$114:$AL$114,$D$121:$AL$121)-SUMPRODUCT($D$112:$AL$112,$D$121:$AL$121)-SUMPRODUCT($D$113:$AL$113,$D$121:$AL$121)+SUMPRODUCT($D$111:$AL$111,$D$122:$AL$122)-decom_end/(1+x_rc)^(cod_year+life_years-sale_year)</f>
        <v/>
      </c>
    </row>
    <row r="129">
      <c r="B129" s="7" t="inlineStr">
        <is>
          <t>Per Wac ($)</t>
        </is>
      </c>
      <c r="C129" s="27">
        <f>C128/(mwac*1000000)</f>
        <v/>
      </c>
    </row>
    <row r="130">
      <c r="B130" s="7" t="inlineStr">
        <is>
          <t>Development value per Wac ($)</t>
        </is>
      </c>
      <c r="C130" s="36">
        <f>C124/(mwac*1000000)</f>
        <v/>
      </c>
    </row>
    <row r="132">
      <c r="B132" s="14" t="inlineStr">
        <is>
          <t>Development value bridge (present values on 1 January 2027)</t>
        </is>
      </c>
    </row>
    <row r="133">
      <c r="B133" s="7" t="inlineStr">
        <is>
          <t>Contracted revenue</t>
        </is>
      </c>
      <c r="C133" s="25">
        <f>SUMPRODUCT($D$110:$AL$110,$D$116:$AL$116)</f>
        <v/>
      </c>
    </row>
    <row r="134">
      <c r="B134" s="7" t="inlineStr">
        <is>
          <t>Merchant revenue</t>
        </is>
      </c>
      <c r="C134" s="25">
        <f>SUMPRODUCT($D$111:$AL$111,$D$117:$AL$117)</f>
        <v/>
      </c>
    </row>
    <row r="135">
      <c r="B135" s="7" t="inlineStr">
        <is>
          <t>Credit cash</t>
        </is>
      </c>
      <c r="C135" s="25">
        <f>SUMPRODUCT($D$114:$AL$114,$D$116:$AL$116)</f>
        <v/>
      </c>
    </row>
    <row r="136">
      <c r="B136" s="7" t="inlineStr">
        <is>
          <t>Operating cost (deducted)</t>
        </is>
      </c>
      <c r="C136" s="25">
        <f>SUMPRODUCT($D$113:$AL$113,$D$116:$AL$116)</f>
        <v/>
      </c>
    </row>
    <row r="137">
      <c r="B137" s="7" t="inlineStr">
        <is>
          <t>Basis cost (deducted)</t>
        </is>
      </c>
      <c r="C137" s="25">
        <f>SUMPRODUCT($D$112:$AL$112,$D$116:$AL$116)</f>
        <v/>
      </c>
    </row>
    <row r="138">
      <c r="B138" s="7" t="inlineStr">
        <is>
          <t>Decommissioning (deducted)</t>
        </is>
      </c>
      <c r="C138" s="25">
        <f>decom_end/(1+x_rc)^(life_years+1)</f>
        <v/>
      </c>
    </row>
    <row r="139">
      <c r="B139" s="7" t="inlineStr">
        <is>
          <t>Capital cost (deducted)</t>
        </is>
      </c>
      <c r="C139" s="25">
        <f>C105/(1+x_rc)</f>
        <v/>
      </c>
    </row>
    <row r="140">
      <c r="B140" s="14" t="inlineStr">
        <is>
          <t>Development value from the bridge</t>
        </is>
      </c>
      <c r="C140" s="26">
        <f>C133+C134+C135-C136-C137-C138-C139</f>
        <v/>
      </c>
    </row>
    <row r="142">
      <c r="B142" s="7" t="inlineStr">
        <is>
          <t>Period k (years after 1 January 2027): 0 = NTP price, 1 = capital cost less reimbursement (end 2027), 2 = end 2028 ... 36 = end 2062</t>
        </is>
      </c>
      <c r="C142" s="30" t="n">
        <v>0</v>
      </c>
      <c r="D142" s="30" t="n">
        <v>1</v>
      </c>
      <c r="E142" s="30" t="n">
        <v>2</v>
      </c>
      <c r="F142" s="30" t="n">
        <v>3</v>
      </c>
      <c r="G142" s="30" t="n">
        <v>4</v>
      </c>
      <c r="H142" s="30" t="n">
        <v>5</v>
      </c>
      <c r="I142" s="30" t="n">
        <v>6</v>
      </c>
      <c r="J142" s="30" t="n">
        <v>7</v>
      </c>
      <c r="K142" s="30" t="n">
        <v>8</v>
      </c>
      <c r="L142" s="30" t="n">
        <v>9</v>
      </c>
      <c r="M142" s="30" t="n">
        <v>10</v>
      </c>
      <c r="N142" s="30" t="n">
        <v>11</v>
      </c>
      <c r="O142" s="30" t="n">
        <v>12</v>
      </c>
      <c r="P142" s="30" t="n">
        <v>13</v>
      </c>
      <c r="Q142" s="30" t="n">
        <v>14</v>
      </c>
      <c r="R142" s="30" t="n">
        <v>15</v>
      </c>
      <c r="S142" s="30" t="n">
        <v>16</v>
      </c>
      <c r="T142" s="30" t="n">
        <v>17</v>
      </c>
      <c r="U142" s="30" t="n">
        <v>18</v>
      </c>
      <c r="V142" s="30" t="n">
        <v>19</v>
      </c>
      <c r="W142" s="30" t="n">
        <v>20</v>
      </c>
      <c r="X142" s="30" t="n">
        <v>21</v>
      </c>
      <c r="Y142" s="30" t="n">
        <v>22</v>
      </c>
      <c r="Z142" s="30" t="n">
        <v>23</v>
      </c>
      <c r="AA142" s="30" t="n">
        <v>24</v>
      </c>
      <c r="AB142" s="30" t="n">
        <v>25</v>
      </c>
      <c r="AC142" s="30" t="n">
        <v>26</v>
      </c>
      <c r="AD142" s="30" t="n">
        <v>27</v>
      </c>
      <c r="AE142" s="30" t="n">
        <v>28</v>
      </c>
      <c r="AF142" s="30" t="n">
        <v>29</v>
      </c>
      <c r="AG142" s="30" t="n">
        <v>30</v>
      </c>
      <c r="AH142" s="30" t="n">
        <v>31</v>
      </c>
      <c r="AI142" s="30" t="n">
        <v>32</v>
      </c>
      <c r="AJ142" s="30" t="n">
        <v>33</v>
      </c>
      <c r="AK142" s="30" t="n">
        <v>34</v>
      </c>
      <c r="AL142" s="30" t="n">
        <v>35</v>
      </c>
      <c r="AM142" s="30" t="n">
        <v>36</v>
      </c>
    </row>
    <row r="143">
      <c r="B143" s="14" t="inlineStr">
        <is>
          <t>Unlevered pre-tax flows, price included ($)</t>
        </is>
      </c>
      <c r="C143" s="25">
        <f>-ntp_price</f>
        <v/>
      </c>
      <c r="D143" s="25">
        <f>-(C105-reimb)</f>
        <v/>
      </c>
      <c r="E143" s="25">
        <f>D115+D114</f>
        <v/>
      </c>
      <c r="F143" s="25">
        <f>E115+E114</f>
        <v/>
      </c>
      <c r="G143" s="25">
        <f>F115+F114</f>
        <v/>
      </c>
      <c r="H143" s="25">
        <f>G115+G114</f>
        <v/>
      </c>
      <c r="I143" s="25">
        <f>H115+H114</f>
        <v/>
      </c>
      <c r="J143" s="25">
        <f>I115+I114</f>
        <v/>
      </c>
      <c r="K143" s="25">
        <f>J115+J114</f>
        <v/>
      </c>
      <c r="L143" s="25">
        <f>K115+K114</f>
        <v/>
      </c>
      <c r="M143" s="25">
        <f>L115+L114</f>
        <v/>
      </c>
      <c r="N143" s="25">
        <f>M115+M114</f>
        <v/>
      </c>
      <c r="O143" s="25">
        <f>N115+N114</f>
        <v/>
      </c>
      <c r="P143" s="25">
        <f>O115+O114</f>
        <v/>
      </c>
      <c r="Q143" s="25">
        <f>P115+P114</f>
        <v/>
      </c>
      <c r="R143" s="25">
        <f>Q115+Q114</f>
        <v/>
      </c>
      <c r="S143" s="25">
        <f>R115+R114</f>
        <v/>
      </c>
      <c r="T143" s="25">
        <f>S115+S114</f>
        <v/>
      </c>
      <c r="U143" s="25">
        <f>T115+T114</f>
        <v/>
      </c>
      <c r="V143" s="25">
        <f>U115+U114</f>
        <v/>
      </c>
      <c r="W143" s="25">
        <f>V115+V114</f>
        <v/>
      </c>
      <c r="X143" s="25">
        <f>W115+W114</f>
        <v/>
      </c>
      <c r="Y143" s="25">
        <f>X115+X114</f>
        <v/>
      </c>
      <c r="Z143" s="25">
        <f>Y115+Y114</f>
        <v/>
      </c>
      <c r="AA143" s="25">
        <f>Z115+Z114</f>
        <v/>
      </c>
      <c r="AB143" s="25">
        <f>AA115+AA114</f>
        <v/>
      </c>
      <c r="AC143" s="25">
        <f>AB115+AB114</f>
        <v/>
      </c>
      <c r="AD143" s="25">
        <f>AC115+AC114</f>
        <v/>
      </c>
      <c r="AE143" s="25">
        <f>AD115+AD114</f>
        <v/>
      </c>
      <c r="AF143" s="25">
        <f>AE115+AE114</f>
        <v/>
      </c>
      <c r="AG143" s="25">
        <f>AF115+AF114</f>
        <v/>
      </c>
      <c r="AH143" s="25">
        <f>AG115+AG114</f>
        <v/>
      </c>
      <c r="AI143" s="25">
        <f>AH115+AH114</f>
        <v/>
      </c>
      <c r="AJ143" s="25">
        <f>AI115+AI114</f>
        <v/>
      </c>
      <c r="AK143" s="25">
        <f>AJ115+AJ114</f>
        <v/>
      </c>
      <c r="AL143" s="25">
        <f>AK115+AK114</f>
        <v/>
      </c>
      <c r="AM143" s="25">
        <f>AL115+AL114-decom_end</f>
        <v/>
      </c>
    </row>
    <row r="144">
      <c r="B144" s="14" t="inlineStr">
        <is>
          <t>Unlevered pre-tax IRR at total cost (price included)</t>
        </is>
      </c>
      <c r="C144" s="37">
        <f>IRR(C143:AM143,0.08)</f>
        <v/>
      </c>
    </row>
    <row r="145">
      <c r="B145" s="7" t="inlineStr">
        <is>
          <t>Check: net present value at the IRR</t>
        </is>
      </c>
      <c r="C145" s="32">
        <f>C143+NPV(C144,D143:AM143)</f>
        <v/>
      </c>
    </row>
    <row r="149">
      <c r="B149" s="6" t="inlineStr">
        <is>
          <t>Chapter 7 and 10 figures</t>
        </is>
      </c>
    </row>
    <row r="150">
      <c r="B150" s="7" t="inlineStr">
        <is>
          <t>Utility PPA over virtual PPA, development value</t>
        </is>
      </c>
      <c r="C150" s="25">
        <f>Cases!$C$36-Cases!$C$80</f>
        <v/>
      </c>
    </row>
    <row r="151">
      <c r="B151" s="7" t="inlineStr">
        <is>
          <t>Utility PPA over merchant, development value</t>
        </is>
      </c>
      <c r="C151" s="25">
        <f>Cases!$C$36-Cases!$C$124</f>
        <v/>
      </c>
    </row>
    <row r="152">
      <c r="B152" s="7" t="inlineStr">
        <is>
          <t>Highest premium with the utility PPA less the premium paid</t>
        </is>
      </c>
      <c r="C152" s="25">
        <f>Cases!$C$37-premium</f>
        <v/>
      </c>
    </row>
    <row r="153">
      <c r="B153" s="7" t="inlineStr">
        <is>
          <t>Case U revenue 2028</t>
        </is>
      </c>
      <c r="C153" s="25">
        <f>Cases!D$30</f>
        <v/>
      </c>
    </row>
    <row r="154">
      <c r="B154" s="7" t="inlineStr">
        <is>
          <t>Case U revenue 2047</t>
        </is>
      </c>
      <c r="C154" s="25">
        <f>Cases!W$30</f>
        <v/>
      </c>
    </row>
    <row r="155">
      <c r="B155" s="7" t="inlineStr">
        <is>
          <t>Utility PPA price in 2047 ($/MWh)</t>
        </is>
      </c>
      <c r="C155" s="32">
        <f>u_price*(1+u_esc)^(u_years-1)</f>
        <v/>
      </c>
    </row>
    <row r="156">
      <c r="B156" s="7" t="inlineStr">
        <is>
          <t>2028 virtual PPA: energy sold at the node</t>
        </is>
      </c>
      <c r="C156" s="25">
        <f>Cases!D$64*Cases!D$65</f>
        <v/>
      </c>
    </row>
    <row r="157">
      <c r="B157" s="7" t="inlineStr">
        <is>
          <t>2028 virtual PPA: settlement from Quillon (price less solar-weighted hub, times energy)</t>
        </is>
      </c>
      <c r="C157" s="25">
        <f>Cases!D$64*(c_price-Market!D$7*(1+sw_hub)*Market!D$8)</f>
        <v/>
      </c>
    </row>
    <row r="158">
      <c r="B158" s="7" t="inlineStr">
        <is>
          <t>2028 virtual PPA: capacity</t>
        </is>
      </c>
      <c r="C158" s="25">
        <f>Market!D$13</f>
        <v/>
      </c>
    </row>
    <row r="159">
      <c r="B159" s="7" t="inlineStr">
        <is>
          <t>2028 virtual PPA: total revenue</t>
        </is>
      </c>
      <c r="C159" s="25">
        <f>Cases!D$74</f>
        <v/>
      </c>
    </row>
    <row r="160">
      <c r="B160" s="7" t="inlineStr">
        <is>
          <t>2028 basis cost under the virtual PPA</t>
        </is>
      </c>
      <c r="C160" s="25">
        <f>Cases!D$68</f>
        <v/>
      </c>
    </row>
    <row r="161">
      <c r="B161" s="7" t="inlineStr">
        <is>
          <t>Basis cost over the virtual PPA term (nominal)</t>
        </is>
      </c>
      <c r="C161" s="25">
        <f>SUM($D$68:$AL$68)</f>
        <v/>
      </c>
    </row>
    <row r="162">
      <c r="B162" s="7" t="inlineStr">
        <is>
          <t>Case M revenue 2028</t>
        </is>
      </c>
      <c r="C162" s="25">
        <f>Cases!D$118</f>
        <v/>
      </c>
    </row>
    <row r="163">
      <c r="B163" s="7" t="inlineStr">
        <is>
          <t>Case C revenue 2028</t>
        </is>
      </c>
      <c r="C163" s="25">
        <f>Cases!D$74</f>
        <v/>
      </c>
    </row>
    <row r="164">
      <c r="B164" s="7" t="inlineStr">
        <is>
          <t>Ashgrove's flow on 1 January 2027</t>
        </is>
      </c>
      <c r="C164" s="25">
        <f>C55</f>
        <v/>
      </c>
    </row>
    <row r="165">
      <c r="B165" s="7" t="inlineStr">
        <is>
          <t>Ashgrove's flow at the end of 2027</t>
        </is>
      </c>
      <c r="C165" s="25">
        <f>D55</f>
        <v/>
      </c>
    </row>
    <row r="166">
      <c r="B166" s="7" t="inlineStr">
        <is>
          <t>Case U 2028 EBITDA plus PTC cash</t>
        </is>
      </c>
      <c r="C166" s="25">
        <f>E55</f>
        <v/>
      </c>
    </row>
    <row r="167">
      <c r="B167" s="7" t="inlineStr">
        <is>
          <t>Value at COD (case U) less capital cost plus premium</t>
        </is>
      </c>
      <c r="C167" s="25">
        <f>Cases!$C$38-(Cases!$C$17+premium)</f>
        <v/>
      </c>
    </row>
    <row r="168">
      <c r="B168" s="7" t="inlineStr">
        <is>
          <t>Ashgrove's total cost: capital cost plus premium</t>
        </is>
      </c>
      <c r="C168" s="25">
        <f>Cases!$C$17+premium</f>
        <v/>
      </c>
    </row>
    <row r="169">
      <c r="B169" s="7" t="inlineStr">
        <is>
          <t>Premium per Wac ($)</t>
        </is>
      </c>
      <c r="C169" s="36">
        <f>premium/(mwac*1000000)</f>
        <v/>
      </c>
    </row>
    <row r="170">
      <c r="B170" s="7" t="inlineStr">
        <is>
          <t>Premium per Wdc ($)</t>
        </is>
      </c>
      <c r="C170" s="36">
        <f>premium/(mwdc*1000000)</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B2:AL40"/>
  <sheetViews>
    <sheetView showGridLines="0" workbookViewId="0">
      <selection activeCell="A1" sqref="A1"/>
    </sheetView>
  </sheetViews>
  <sheetFormatPr baseColWidth="8" defaultRowHeight="15"/>
  <cols>
    <col width="2" customWidth="1" min="1" max="1"/>
    <col width="66"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PPA price that leaves Ashgrove exactly at its discount rates after paying the premium (chapter 7)</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Present value of $1/MWh on the utility PPA, by year (energy x escalation x discount factor)</t>
        </is>
      </c>
      <c r="D7" s="25">
        <f>IF(D$5&lt;u_years,Cases!D$20*(1+u_esc)^D$5*Cases!D$28,0)</f>
        <v/>
      </c>
      <c r="E7" s="25">
        <f>IF(E$5&lt;u_years,Cases!E$20*(1+u_esc)^E$5*Cases!E$28,0)</f>
        <v/>
      </c>
      <c r="F7" s="25">
        <f>IF(F$5&lt;u_years,Cases!F$20*(1+u_esc)^F$5*Cases!F$28,0)</f>
        <v/>
      </c>
      <c r="G7" s="25">
        <f>IF(G$5&lt;u_years,Cases!G$20*(1+u_esc)^G$5*Cases!G$28,0)</f>
        <v/>
      </c>
      <c r="H7" s="25">
        <f>IF(H$5&lt;u_years,Cases!H$20*(1+u_esc)^H$5*Cases!H$28,0)</f>
        <v/>
      </c>
      <c r="I7" s="25">
        <f>IF(I$5&lt;u_years,Cases!I$20*(1+u_esc)^I$5*Cases!I$28,0)</f>
        <v/>
      </c>
      <c r="J7" s="25">
        <f>IF(J$5&lt;u_years,Cases!J$20*(1+u_esc)^J$5*Cases!J$28,0)</f>
        <v/>
      </c>
      <c r="K7" s="25">
        <f>IF(K$5&lt;u_years,Cases!K$20*(1+u_esc)^K$5*Cases!K$28,0)</f>
        <v/>
      </c>
      <c r="L7" s="25">
        <f>IF(L$5&lt;u_years,Cases!L$20*(1+u_esc)^L$5*Cases!L$28,0)</f>
        <v/>
      </c>
      <c r="M7" s="25">
        <f>IF(M$5&lt;u_years,Cases!M$20*(1+u_esc)^M$5*Cases!M$28,0)</f>
        <v/>
      </c>
      <c r="N7" s="25">
        <f>IF(N$5&lt;u_years,Cases!N$20*(1+u_esc)^N$5*Cases!N$28,0)</f>
        <v/>
      </c>
      <c r="O7" s="25">
        <f>IF(O$5&lt;u_years,Cases!O$20*(1+u_esc)^O$5*Cases!O$28,0)</f>
        <v/>
      </c>
      <c r="P7" s="25">
        <f>IF(P$5&lt;u_years,Cases!P$20*(1+u_esc)^P$5*Cases!P$28,0)</f>
        <v/>
      </c>
      <c r="Q7" s="25">
        <f>IF(Q$5&lt;u_years,Cases!Q$20*(1+u_esc)^Q$5*Cases!Q$28,0)</f>
        <v/>
      </c>
      <c r="R7" s="25">
        <f>IF(R$5&lt;u_years,Cases!R$20*(1+u_esc)^R$5*Cases!R$28,0)</f>
        <v/>
      </c>
      <c r="S7" s="25">
        <f>IF(S$5&lt;u_years,Cases!S$20*(1+u_esc)^S$5*Cases!S$28,0)</f>
        <v/>
      </c>
      <c r="T7" s="25">
        <f>IF(T$5&lt;u_years,Cases!T$20*(1+u_esc)^T$5*Cases!T$28,0)</f>
        <v/>
      </c>
      <c r="U7" s="25">
        <f>IF(U$5&lt;u_years,Cases!U$20*(1+u_esc)^U$5*Cases!U$28,0)</f>
        <v/>
      </c>
      <c r="V7" s="25">
        <f>IF(V$5&lt;u_years,Cases!V$20*(1+u_esc)^V$5*Cases!V$28,0)</f>
        <v/>
      </c>
      <c r="W7" s="25">
        <f>IF(W$5&lt;u_years,Cases!W$20*(1+u_esc)^W$5*Cases!W$28,0)</f>
        <v/>
      </c>
      <c r="X7" s="25">
        <f>IF(X$5&lt;u_years,Cases!X$20*(1+u_esc)^X$5*Cases!X$28,0)</f>
        <v/>
      </c>
      <c r="Y7" s="25">
        <f>IF(Y$5&lt;u_years,Cases!Y$20*(1+u_esc)^Y$5*Cases!Y$28,0)</f>
        <v/>
      </c>
      <c r="Z7" s="25">
        <f>IF(Z$5&lt;u_years,Cases!Z$20*(1+u_esc)^Z$5*Cases!Z$28,0)</f>
        <v/>
      </c>
      <c r="AA7" s="25">
        <f>IF(AA$5&lt;u_years,Cases!AA$20*(1+u_esc)^AA$5*Cases!AA$28,0)</f>
        <v/>
      </c>
      <c r="AB7" s="25">
        <f>IF(AB$5&lt;u_years,Cases!AB$20*(1+u_esc)^AB$5*Cases!AB$28,0)</f>
        <v/>
      </c>
      <c r="AC7" s="25">
        <f>IF(AC$5&lt;u_years,Cases!AC$20*(1+u_esc)^AC$5*Cases!AC$28,0)</f>
        <v/>
      </c>
      <c r="AD7" s="25">
        <f>IF(AD$5&lt;u_years,Cases!AD$20*(1+u_esc)^AD$5*Cases!AD$28,0)</f>
        <v/>
      </c>
      <c r="AE7" s="25">
        <f>IF(AE$5&lt;u_years,Cases!AE$20*(1+u_esc)^AE$5*Cases!AE$28,0)</f>
        <v/>
      </c>
      <c r="AF7" s="25">
        <f>IF(AF$5&lt;u_years,Cases!AF$20*(1+u_esc)^AF$5*Cases!AF$28,0)</f>
        <v/>
      </c>
      <c r="AG7" s="25">
        <f>IF(AG$5&lt;u_years,Cases!AG$20*(1+u_esc)^AG$5*Cases!AG$28,0)</f>
        <v/>
      </c>
      <c r="AH7" s="25">
        <f>IF(AH$5&lt;u_years,Cases!AH$20*(1+u_esc)^AH$5*Cases!AH$28,0)</f>
        <v/>
      </c>
      <c r="AI7" s="25">
        <f>IF(AI$5&lt;u_years,Cases!AI$20*(1+u_esc)^AI$5*Cases!AI$28,0)</f>
        <v/>
      </c>
      <c r="AJ7" s="25">
        <f>IF(AJ$5&lt;u_years,Cases!AJ$20*(1+u_esc)^AJ$5*Cases!AJ$28,0)</f>
        <v/>
      </c>
      <c r="AK7" s="25">
        <f>IF(AK$5&lt;u_years,Cases!AK$20*(1+u_esc)^AK$5*Cases!AK$28,0)</f>
        <v/>
      </c>
      <c r="AL7" s="25">
        <f>IF(AL$5&lt;u_years,Cases!AL$20*(1+u_esc)^AL$5*Cases!AL$28,0)</f>
        <v/>
      </c>
    </row>
    <row r="8">
      <c r="B8" s="7" t="inlineStr">
        <is>
          <t>Present value of $1/MWh on the virtual PPA, by year</t>
        </is>
      </c>
      <c r="D8" s="25">
        <f>IF(D$5&lt;c_years,Cases!D$64*Cases!D$72,0)</f>
        <v/>
      </c>
      <c r="E8" s="25">
        <f>IF(E$5&lt;c_years,Cases!E$64*Cases!E$72,0)</f>
        <v/>
      </c>
      <c r="F8" s="25">
        <f>IF(F$5&lt;c_years,Cases!F$64*Cases!F$72,0)</f>
        <v/>
      </c>
      <c r="G8" s="25">
        <f>IF(G$5&lt;c_years,Cases!G$64*Cases!G$72,0)</f>
        <v/>
      </c>
      <c r="H8" s="25">
        <f>IF(H$5&lt;c_years,Cases!H$64*Cases!H$72,0)</f>
        <v/>
      </c>
      <c r="I8" s="25">
        <f>IF(I$5&lt;c_years,Cases!I$64*Cases!I$72,0)</f>
        <v/>
      </c>
      <c r="J8" s="25">
        <f>IF(J$5&lt;c_years,Cases!J$64*Cases!J$72,0)</f>
        <v/>
      </c>
      <c r="K8" s="25">
        <f>IF(K$5&lt;c_years,Cases!K$64*Cases!K$72,0)</f>
        <v/>
      </c>
      <c r="L8" s="25">
        <f>IF(L$5&lt;c_years,Cases!L$64*Cases!L$72,0)</f>
        <v/>
      </c>
      <c r="M8" s="25">
        <f>IF(M$5&lt;c_years,Cases!M$64*Cases!M$72,0)</f>
        <v/>
      </c>
      <c r="N8" s="25">
        <f>IF(N$5&lt;c_years,Cases!N$64*Cases!N$72,0)</f>
        <v/>
      </c>
      <c r="O8" s="25">
        <f>IF(O$5&lt;c_years,Cases!O$64*Cases!O$72,0)</f>
        <v/>
      </c>
      <c r="P8" s="25">
        <f>IF(P$5&lt;c_years,Cases!P$64*Cases!P$72,0)</f>
        <v/>
      </c>
      <c r="Q8" s="25">
        <f>IF(Q$5&lt;c_years,Cases!Q$64*Cases!Q$72,0)</f>
        <v/>
      </c>
      <c r="R8" s="25">
        <f>IF(R$5&lt;c_years,Cases!R$64*Cases!R$72,0)</f>
        <v/>
      </c>
      <c r="S8" s="25">
        <f>IF(S$5&lt;c_years,Cases!S$64*Cases!S$72,0)</f>
        <v/>
      </c>
      <c r="T8" s="25">
        <f>IF(T$5&lt;c_years,Cases!T$64*Cases!T$72,0)</f>
        <v/>
      </c>
      <c r="U8" s="25">
        <f>IF(U$5&lt;c_years,Cases!U$64*Cases!U$72,0)</f>
        <v/>
      </c>
      <c r="V8" s="25">
        <f>IF(V$5&lt;c_years,Cases!V$64*Cases!V$72,0)</f>
        <v/>
      </c>
      <c r="W8" s="25">
        <f>IF(W$5&lt;c_years,Cases!W$64*Cases!W$72,0)</f>
        <v/>
      </c>
      <c r="X8" s="25">
        <f>IF(X$5&lt;c_years,Cases!X$64*Cases!X$72,0)</f>
        <v/>
      </c>
      <c r="Y8" s="25">
        <f>IF(Y$5&lt;c_years,Cases!Y$64*Cases!Y$72,0)</f>
        <v/>
      </c>
      <c r="Z8" s="25">
        <f>IF(Z$5&lt;c_years,Cases!Z$64*Cases!Z$72,0)</f>
        <v/>
      </c>
      <c r="AA8" s="25">
        <f>IF(AA$5&lt;c_years,Cases!AA$64*Cases!AA$72,0)</f>
        <v/>
      </c>
      <c r="AB8" s="25">
        <f>IF(AB$5&lt;c_years,Cases!AB$64*Cases!AB$72,0)</f>
        <v/>
      </c>
      <c r="AC8" s="25">
        <f>IF(AC$5&lt;c_years,Cases!AC$64*Cases!AC$72,0)</f>
        <v/>
      </c>
      <c r="AD8" s="25">
        <f>IF(AD$5&lt;c_years,Cases!AD$64*Cases!AD$72,0)</f>
        <v/>
      </c>
      <c r="AE8" s="25">
        <f>IF(AE$5&lt;c_years,Cases!AE$64*Cases!AE$72,0)</f>
        <v/>
      </c>
      <c r="AF8" s="25">
        <f>IF(AF$5&lt;c_years,Cases!AF$64*Cases!AF$72,0)</f>
        <v/>
      </c>
      <c r="AG8" s="25">
        <f>IF(AG$5&lt;c_years,Cases!AG$64*Cases!AG$72,0)</f>
        <v/>
      </c>
      <c r="AH8" s="25">
        <f>IF(AH$5&lt;c_years,Cases!AH$64*Cases!AH$72,0)</f>
        <v/>
      </c>
      <c r="AI8" s="25">
        <f>IF(AI$5&lt;c_years,Cases!AI$64*Cases!AI$72,0)</f>
        <v/>
      </c>
      <c r="AJ8" s="25">
        <f>IF(AJ$5&lt;c_years,Cases!AJ$64*Cases!AJ$72,0)</f>
        <v/>
      </c>
      <c r="AK8" s="25">
        <f>IF(AK$5&lt;c_years,Cases!AK$64*Cases!AK$72,0)</f>
        <v/>
      </c>
      <c r="AL8" s="25">
        <f>IF(AL$5&lt;c_years,Cases!AL$64*Cases!AL$72,0)</f>
        <v/>
      </c>
    </row>
    <row r="10">
      <c r="B10" s="7" t="inlineStr">
        <is>
          <t>Target development value: premium plus reimbursement less the reimbursement discounted one year</t>
        </is>
      </c>
      <c r="C10" s="25">
        <f>premium+reimb-reimb/(1+x_rc)</f>
        <v/>
      </c>
    </row>
    <row r="11">
      <c r="B11" s="7" t="inlineStr">
        <is>
          <t>Development value of $1.00/MWh on the utility PPA</t>
        </is>
      </c>
      <c r="C11" s="25">
        <f>SUM($D$7:$AL$7)*ppa_step</f>
        <v/>
      </c>
    </row>
    <row r="12">
      <c r="B12" s="7" t="inlineStr">
        <is>
          <t>Development value of $1.00/MWh on the virtual PPA</t>
        </is>
      </c>
      <c r="C12" s="25">
        <f>SUM($D$8:$AL$8)*ppa_step</f>
        <v/>
      </c>
    </row>
    <row r="13">
      <c r="B13" s="7" t="inlineStr">
        <is>
          <t>Break-even utility PPA price ($/MWh, escalating)</t>
        </is>
      </c>
      <c r="C13" s="33">
        <f>u_price+(C10-Cases!$C$36)/SUM($D$7:$AL$7)</f>
        <v/>
      </c>
    </row>
    <row r="14">
      <c r="B14" s="7" t="inlineStr">
        <is>
          <t>Break-even virtual PPA price ($/MWh, flat)</t>
        </is>
      </c>
      <c r="C14" s="33">
        <f>c_price+(C10-Cases!$C$80)/SUM($D$8:$AL$8)</f>
        <v/>
      </c>
    </row>
    <row r="16">
      <c r="B16" s="5" t="inlineStr">
        <is>
          <t>Goal Seek instead: Data, What-If Analysis, Goal Seek; set the case U development value (Cases sheet) to the target above by changing u_price on Inputs. Reset the price after.</t>
        </is>
      </c>
    </row>
    <row r="18">
      <c r="B18" s="14" t="inlineStr">
        <is>
          <t>Bracketing table (development value is linear in the PPA price)</t>
        </is>
      </c>
      <c r="C18" s="14" t="inlineStr">
        <is>
          <t>Utility PPA</t>
        </is>
      </c>
      <c r="D18" s="14" t="inlineStr">
        <is>
          <t>Value less target</t>
        </is>
      </c>
      <c r="E18" s="14" t="inlineStr">
        <is>
          <t>Virtual PPA</t>
        </is>
      </c>
      <c r="F18" s="14" t="inlineStr">
        <is>
          <t>Value less target</t>
        </is>
      </c>
    </row>
    <row r="19">
      <c r="B19" s="7" t="inlineStr">
        <is>
          <t>Offer price - 10 steps</t>
        </is>
      </c>
      <c r="C19" s="32">
        <f>u_price+(-10)*be_step</f>
        <v/>
      </c>
      <c r="D19" s="25">
        <f>Cases!$C$36+(C19-u_price)*SUM($D$7:$AL$7)-$C$10</f>
        <v/>
      </c>
      <c r="E19" s="32">
        <f>c_price+(-10)*be_step</f>
        <v/>
      </c>
      <c r="F19" s="25">
        <f>Cases!$C$80+(E19-c_price)*SUM($D$8:$AL$8)-$C$10</f>
        <v/>
      </c>
    </row>
    <row r="20">
      <c r="B20" s="7" t="inlineStr">
        <is>
          <t>Offer price - 9 steps</t>
        </is>
      </c>
      <c r="C20" s="32">
        <f>u_price+(-9)*be_step</f>
        <v/>
      </c>
      <c r="D20" s="25">
        <f>Cases!$C$36+(C20-u_price)*SUM($D$7:$AL$7)-$C$10</f>
        <v/>
      </c>
      <c r="E20" s="32">
        <f>c_price+(-9)*be_step</f>
        <v/>
      </c>
      <c r="F20" s="25">
        <f>Cases!$C$80+(E20-c_price)*SUM($D$8:$AL$8)-$C$10</f>
        <v/>
      </c>
    </row>
    <row r="21">
      <c r="B21" s="7" t="inlineStr">
        <is>
          <t>Offer price - 8 steps</t>
        </is>
      </c>
      <c r="C21" s="32">
        <f>u_price+(-8)*be_step</f>
        <v/>
      </c>
      <c r="D21" s="25">
        <f>Cases!$C$36+(C21-u_price)*SUM($D$7:$AL$7)-$C$10</f>
        <v/>
      </c>
      <c r="E21" s="32">
        <f>c_price+(-8)*be_step</f>
        <v/>
      </c>
      <c r="F21" s="25">
        <f>Cases!$C$80+(E21-c_price)*SUM($D$8:$AL$8)-$C$10</f>
        <v/>
      </c>
    </row>
    <row r="22">
      <c r="B22" s="7" t="inlineStr">
        <is>
          <t>Offer price - 7 steps</t>
        </is>
      </c>
      <c r="C22" s="32">
        <f>u_price+(-7)*be_step</f>
        <v/>
      </c>
      <c r="D22" s="25">
        <f>Cases!$C$36+(C22-u_price)*SUM($D$7:$AL$7)-$C$10</f>
        <v/>
      </c>
      <c r="E22" s="32">
        <f>c_price+(-7)*be_step</f>
        <v/>
      </c>
      <c r="F22" s="25">
        <f>Cases!$C$80+(E22-c_price)*SUM($D$8:$AL$8)-$C$10</f>
        <v/>
      </c>
    </row>
    <row r="23">
      <c r="B23" s="7" t="inlineStr">
        <is>
          <t>Offer price - 6 steps</t>
        </is>
      </c>
      <c r="C23" s="32">
        <f>u_price+(-6)*be_step</f>
        <v/>
      </c>
      <c r="D23" s="25">
        <f>Cases!$C$36+(C23-u_price)*SUM($D$7:$AL$7)-$C$10</f>
        <v/>
      </c>
      <c r="E23" s="32">
        <f>c_price+(-6)*be_step</f>
        <v/>
      </c>
      <c r="F23" s="25">
        <f>Cases!$C$80+(E23-c_price)*SUM($D$8:$AL$8)-$C$10</f>
        <v/>
      </c>
    </row>
    <row r="24">
      <c r="B24" s="7" t="inlineStr">
        <is>
          <t>Offer price - 5 steps</t>
        </is>
      </c>
      <c r="C24" s="32">
        <f>u_price+(-5)*be_step</f>
        <v/>
      </c>
      <c r="D24" s="25">
        <f>Cases!$C$36+(C24-u_price)*SUM($D$7:$AL$7)-$C$10</f>
        <v/>
      </c>
      <c r="E24" s="32">
        <f>c_price+(-5)*be_step</f>
        <v/>
      </c>
      <c r="F24" s="25">
        <f>Cases!$C$80+(E24-c_price)*SUM($D$8:$AL$8)-$C$10</f>
        <v/>
      </c>
    </row>
    <row r="25">
      <c r="B25" s="7" t="inlineStr">
        <is>
          <t>Offer price - 4 steps</t>
        </is>
      </c>
      <c r="C25" s="32">
        <f>u_price+(-4)*be_step</f>
        <v/>
      </c>
      <c r="D25" s="25">
        <f>Cases!$C$36+(C25-u_price)*SUM($D$7:$AL$7)-$C$10</f>
        <v/>
      </c>
      <c r="E25" s="32">
        <f>c_price+(-4)*be_step</f>
        <v/>
      </c>
      <c r="F25" s="25">
        <f>Cases!$C$80+(E25-c_price)*SUM($D$8:$AL$8)-$C$10</f>
        <v/>
      </c>
    </row>
    <row r="26">
      <c r="B26" s="7" t="inlineStr">
        <is>
          <t>Offer price - 3 steps</t>
        </is>
      </c>
      <c r="C26" s="32">
        <f>u_price+(-3)*be_step</f>
        <v/>
      </c>
      <c r="D26" s="25">
        <f>Cases!$C$36+(C26-u_price)*SUM($D$7:$AL$7)-$C$10</f>
        <v/>
      </c>
      <c r="E26" s="32">
        <f>c_price+(-3)*be_step</f>
        <v/>
      </c>
      <c r="F26" s="25">
        <f>Cases!$C$80+(E26-c_price)*SUM($D$8:$AL$8)-$C$10</f>
        <v/>
      </c>
    </row>
    <row r="27">
      <c r="B27" s="7" t="inlineStr">
        <is>
          <t>Offer price - 2 steps</t>
        </is>
      </c>
      <c r="C27" s="32">
        <f>u_price+(-2)*be_step</f>
        <v/>
      </c>
      <c r="D27" s="25">
        <f>Cases!$C$36+(C27-u_price)*SUM($D$7:$AL$7)-$C$10</f>
        <v/>
      </c>
      <c r="E27" s="32">
        <f>c_price+(-2)*be_step</f>
        <v/>
      </c>
      <c r="F27" s="25">
        <f>Cases!$C$80+(E27-c_price)*SUM($D$8:$AL$8)-$C$10</f>
        <v/>
      </c>
    </row>
    <row r="28">
      <c r="B28" s="7" t="inlineStr">
        <is>
          <t>Offer price - 1 steps</t>
        </is>
      </c>
      <c r="C28" s="32">
        <f>u_price+(-1)*be_step</f>
        <v/>
      </c>
      <c r="D28" s="25">
        <f>Cases!$C$36+(C28-u_price)*SUM($D$7:$AL$7)-$C$10</f>
        <v/>
      </c>
      <c r="E28" s="32">
        <f>c_price+(-1)*be_step</f>
        <v/>
      </c>
      <c r="F28" s="25">
        <f>Cases!$C$80+(E28-c_price)*SUM($D$8:$AL$8)-$C$10</f>
        <v/>
      </c>
    </row>
    <row r="29">
      <c r="B29" s="7" t="inlineStr">
        <is>
          <t>Offer price + 0 steps</t>
        </is>
      </c>
      <c r="C29" s="32">
        <f>u_price+(0)*be_step</f>
        <v/>
      </c>
      <c r="D29" s="25">
        <f>Cases!$C$36+(C29-u_price)*SUM($D$7:$AL$7)-$C$10</f>
        <v/>
      </c>
      <c r="E29" s="32">
        <f>c_price+(0)*be_step</f>
        <v/>
      </c>
      <c r="F29" s="25">
        <f>Cases!$C$80+(E29-c_price)*SUM($D$8:$AL$8)-$C$10</f>
        <v/>
      </c>
    </row>
    <row r="30">
      <c r="B30" s="7" t="inlineStr">
        <is>
          <t>Offer price + 1 steps</t>
        </is>
      </c>
      <c r="C30" s="32">
        <f>u_price+(1)*be_step</f>
        <v/>
      </c>
      <c r="D30" s="25">
        <f>Cases!$C$36+(C30-u_price)*SUM($D$7:$AL$7)-$C$10</f>
        <v/>
      </c>
      <c r="E30" s="32">
        <f>c_price+(1)*be_step</f>
        <v/>
      </c>
      <c r="F30" s="25">
        <f>Cases!$C$80+(E30-c_price)*SUM($D$8:$AL$8)-$C$10</f>
        <v/>
      </c>
    </row>
    <row r="31">
      <c r="B31" s="7" t="inlineStr">
        <is>
          <t>Offer price + 2 steps</t>
        </is>
      </c>
      <c r="C31" s="32">
        <f>u_price+(2)*be_step</f>
        <v/>
      </c>
      <c r="D31" s="25">
        <f>Cases!$C$36+(C31-u_price)*SUM($D$7:$AL$7)-$C$10</f>
        <v/>
      </c>
      <c r="E31" s="32">
        <f>c_price+(2)*be_step</f>
        <v/>
      </c>
      <c r="F31" s="25">
        <f>Cases!$C$80+(E31-c_price)*SUM($D$8:$AL$8)-$C$10</f>
        <v/>
      </c>
    </row>
    <row r="32">
      <c r="B32" s="7" t="inlineStr">
        <is>
          <t>Offer price + 3 steps</t>
        </is>
      </c>
      <c r="C32" s="32">
        <f>u_price+(3)*be_step</f>
        <v/>
      </c>
      <c r="D32" s="25">
        <f>Cases!$C$36+(C32-u_price)*SUM($D$7:$AL$7)-$C$10</f>
        <v/>
      </c>
      <c r="E32" s="32">
        <f>c_price+(3)*be_step</f>
        <v/>
      </c>
      <c r="F32" s="25">
        <f>Cases!$C$80+(E32-c_price)*SUM($D$8:$AL$8)-$C$10</f>
        <v/>
      </c>
    </row>
    <row r="33">
      <c r="B33" s="7" t="inlineStr">
        <is>
          <t>Offer price + 4 steps</t>
        </is>
      </c>
      <c r="C33" s="32">
        <f>u_price+(4)*be_step</f>
        <v/>
      </c>
      <c r="D33" s="25">
        <f>Cases!$C$36+(C33-u_price)*SUM($D$7:$AL$7)-$C$10</f>
        <v/>
      </c>
      <c r="E33" s="32">
        <f>c_price+(4)*be_step</f>
        <v/>
      </c>
      <c r="F33" s="25">
        <f>Cases!$C$80+(E33-c_price)*SUM($D$8:$AL$8)-$C$10</f>
        <v/>
      </c>
    </row>
    <row r="34">
      <c r="B34" s="7" t="inlineStr">
        <is>
          <t>Offer price + 5 steps</t>
        </is>
      </c>
      <c r="C34" s="32">
        <f>u_price+(5)*be_step</f>
        <v/>
      </c>
      <c r="D34" s="25">
        <f>Cases!$C$36+(C34-u_price)*SUM($D$7:$AL$7)-$C$10</f>
        <v/>
      </c>
      <c r="E34" s="32">
        <f>c_price+(5)*be_step</f>
        <v/>
      </c>
      <c r="F34" s="25">
        <f>Cases!$C$80+(E34-c_price)*SUM($D$8:$AL$8)-$C$10</f>
        <v/>
      </c>
    </row>
    <row r="35">
      <c r="B35" s="7" t="inlineStr">
        <is>
          <t>Offer price + 6 steps</t>
        </is>
      </c>
      <c r="C35" s="32">
        <f>u_price+(6)*be_step</f>
        <v/>
      </c>
      <c r="D35" s="25">
        <f>Cases!$C$36+(C35-u_price)*SUM($D$7:$AL$7)-$C$10</f>
        <v/>
      </c>
      <c r="E35" s="32">
        <f>c_price+(6)*be_step</f>
        <v/>
      </c>
      <c r="F35" s="25">
        <f>Cases!$C$80+(E35-c_price)*SUM($D$8:$AL$8)-$C$10</f>
        <v/>
      </c>
    </row>
    <row r="36">
      <c r="B36" s="7" t="inlineStr">
        <is>
          <t>Offer price + 7 steps</t>
        </is>
      </c>
      <c r="C36" s="32">
        <f>u_price+(7)*be_step</f>
        <v/>
      </c>
      <c r="D36" s="25">
        <f>Cases!$C$36+(C36-u_price)*SUM($D$7:$AL$7)-$C$10</f>
        <v/>
      </c>
      <c r="E36" s="32">
        <f>c_price+(7)*be_step</f>
        <v/>
      </c>
      <c r="F36" s="25">
        <f>Cases!$C$80+(E36-c_price)*SUM($D$8:$AL$8)-$C$10</f>
        <v/>
      </c>
    </row>
    <row r="37">
      <c r="B37" s="7" t="inlineStr">
        <is>
          <t>Offer price + 8 steps</t>
        </is>
      </c>
      <c r="C37" s="32">
        <f>u_price+(8)*be_step</f>
        <v/>
      </c>
      <c r="D37" s="25">
        <f>Cases!$C$36+(C37-u_price)*SUM($D$7:$AL$7)-$C$10</f>
        <v/>
      </c>
      <c r="E37" s="32">
        <f>c_price+(8)*be_step</f>
        <v/>
      </c>
      <c r="F37" s="25">
        <f>Cases!$C$80+(E37-c_price)*SUM($D$8:$AL$8)-$C$10</f>
        <v/>
      </c>
    </row>
    <row r="38">
      <c r="B38" s="7" t="inlineStr">
        <is>
          <t>Offer price + 9 steps</t>
        </is>
      </c>
      <c r="C38" s="32">
        <f>u_price+(9)*be_step</f>
        <v/>
      </c>
      <c r="D38" s="25">
        <f>Cases!$C$36+(C38-u_price)*SUM($D$7:$AL$7)-$C$10</f>
        <v/>
      </c>
      <c r="E38" s="32">
        <f>c_price+(9)*be_step</f>
        <v/>
      </c>
      <c r="F38" s="25">
        <f>Cases!$C$80+(E38-c_price)*SUM($D$8:$AL$8)-$C$10</f>
        <v/>
      </c>
    </row>
    <row r="39">
      <c r="B39" s="7" t="inlineStr">
        <is>
          <t>Offer price + 10 steps</t>
        </is>
      </c>
      <c r="C39" s="32">
        <f>u_price+(10)*be_step</f>
        <v/>
      </c>
      <c r="D39" s="25">
        <f>Cases!$C$36+(C39-u_price)*SUM($D$7:$AL$7)-$C$10</f>
        <v/>
      </c>
      <c r="E39" s="32">
        <f>c_price+(10)*be_step</f>
        <v/>
      </c>
      <c r="F39" s="25">
        <f>Cases!$C$80+(E39-c_price)*SUM($D$8:$AL$8)-$C$10</f>
        <v/>
      </c>
    </row>
    <row r="40">
      <c r="B40" s="5" t="inlineStr">
        <is>
          <t>The break-even price lies where the "value less target" column changes sign.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B2:AL479"/>
  <sheetViews>
    <sheetView showGridLines="0" workbookViewId="0">
      <selection activeCell="A1" sqref="A1"/>
    </sheetView>
  </sheetViews>
  <sheetFormatPr baseColWidth="8" defaultRowHeight="15"/>
  <cols>
    <col width="2" customWidth="1" min="1" max="1"/>
    <col width="66"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Sensitivities of the development value, each on top of the switches in use (chapters 3, 4, 6, 8, 10, 11)</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6" t="inlineStr">
        <is>
          <t>Tornado: development value on 1 January 2027</t>
        </is>
      </c>
      <c r="C7" s="14" t="inlineStr">
        <is>
          <t>Case U</t>
        </is>
      </c>
      <c r="D7" s="14" t="inlineStr">
        <is>
          <t>Change U</t>
        </is>
      </c>
      <c r="E7" s="14" t="inlineStr">
        <is>
          <t>Case C</t>
        </is>
      </c>
      <c r="F7" s="14" t="inlineStr">
        <is>
          <t>Change C</t>
        </is>
      </c>
    </row>
    <row r="8">
      <c r="B8" s="7" t="inlineStr">
        <is>
          <t>Development value with the inputs in use</t>
        </is>
      </c>
      <c r="C8" s="26">
        <f>Cases!$C$36</f>
        <v/>
      </c>
      <c r="E8" s="26">
        <f>Cases!$C$80</f>
        <v/>
      </c>
    </row>
    <row r="9">
      <c r="B9" s="7" t="inlineStr">
        <is>
          <t>Capital cost +10%</t>
        </is>
      </c>
      <c r="C9" s="25">
        <f>C41</f>
        <v/>
      </c>
      <c r="D9" s="25">
        <f>C9-C$8</f>
        <v/>
      </c>
      <c r="E9" s="25">
        <f>C60</f>
        <v/>
      </c>
      <c r="F9" s="25">
        <f>E9-E$8</f>
        <v/>
      </c>
    </row>
    <row r="10">
      <c r="B10" s="7" t="inlineStr">
        <is>
          <t>P90 ten-year energy</t>
        </is>
      </c>
      <c r="C10" s="25">
        <f>C79</f>
        <v/>
      </c>
      <c r="D10" s="25">
        <f>C10-C$8</f>
        <v/>
      </c>
      <c r="E10" s="25">
        <f>C98</f>
        <v/>
      </c>
      <c r="F10" s="25">
        <f>E10-E$8</f>
        <v/>
      </c>
    </row>
    <row r="11">
      <c r="B11" s="7" t="inlineStr">
        <is>
          <t>Network upgrades, first shock</t>
        </is>
      </c>
      <c r="C11" s="25">
        <f>C117</f>
        <v/>
      </c>
      <c r="D11" s="25">
        <f>C11-C$8</f>
        <v/>
      </c>
      <c r="E11" s="25">
        <f>C136</f>
        <v/>
      </c>
      <c r="F11" s="25">
        <f>E11-E$8</f>
        <v/>
      </c>
    </row>
    <row r="12">
      <c r="B12" s="7" t="inlineStr">
        <is>
          <t>Modules at the high price</t>
        </is>
      </c>
      <c r="C12" s="25">
        <f>C155</f>
        <v/>
      </c>
      <c r="D12" s="25">
        <f>C12-C$8</f>
        <v/>
      </c>
      <c r="E12" s="25">
        <f>C174</f>
        <v/>
      </c>
      <c r="F12" s="25">
        <f>E12-E$8</f>
        <v/>
      </c>
    </row>
    <row r="13">
      <c r="B13" s="7" t="inlineStr">
        <is>
          <t>Hub price change (merchant revenue)</t>
        </is>
      </c>
      <c r="C13" s="25">
        <f>C193</f>
        <v/>
      </c>
      <c r="D13" s="25">
        <f>C13-C$8</f>
        <v/>
      </c>
      <c r="E13" s="25">
        <f>C212</f>
        <v/>
      </c>
      <c r="F13" s="25">
        <f>E13-E$8</f>
        <v/>
      </c>
    </row>
    <row r="14">
      <c r="B14" s="7" t="inlineStr">
        <is>
          <t>ITC instead of PTC</t>
        </is>
      </c>
      <c r="C14" s="25">
        <f>C231</f>
        <v/>
      </c>
      <c r="D14" s="25">
        <f>C14-C$8</f>
        <v/>
      </c>
      <c r="E14" s="25">
        <f>C250</f>
        <v/>
      </c>
      <c r="F14" s="25">
        <f>E14-E$8</f>
        <v/>
      </c>
    </row>
    <row r="15">
      <c r="B15" s="7" t="inlineStr">
        <is>
          <t>No tax credit</t>
        </is>
      </c>
      <c r="C15" s="25">
        <f>C269</f>
        <v/>
      </c>
      <c r="D15" s="25">
        <f>C15-C$8</f>
        <v/>
      </c>
      <c r="E15" s="25">
        <f>C288</f>
        <v/>
      </c>
      <c r="F15" s="25">
        <f>E15-E$8</f>
        <v/>
      </c>
    </row>
    <row r="16">
      <c r="B16" s="7" t="inlineStr">
        <is>
          <t>Energy community bonus</t>
        </is>
      </c>
      <c r="C16" s="25">
        <f>C307</f>
        <v/>
      </c>
      <c r="D16" s="25">
        <f>C16-C$8</f>
        <v/>
      </c>
      <c r="E16" s="25">
        <f>C326</f>
        <v/>
      </c>
      <c r="F16" s="25">
        <f>E16-E$8</f>
        <v/>
      </c>
    </row>
    <row r="17">
      <c r="B17" s="7" t="inlineStr">
        <is>
          <t>Discount rates +1 point</t>
        </is>
      </c>
      <c r="C17" s="25">
        <f>C345</f>
        <v/>
      </c>
      <c r="D17" s="25">
        <f>C17-C$8</f>
        <v/>
      </c>
      <c r="E17" s="25">
        <f>C364</f>
        <v/>
      </c>
      <c r="F17" s="25">
        <f>E17-E$8</f>
        <v/>
      </c>
    </row>
    <row r="18">
      <c r="B18" s="7" t="inlineStr">
        <is>
          <t>Network upgrades, second shock</t>
        </is>
      </c>
      <c r="C18" s="25">
        <f>C383</f>
        <v/>
      </c>
      <c r="D18" s="25">
        <f>C18-C$8</f>
        <v/>
      </c>
    </row>
    <row r="19">
      <c r="B19" s="7" t="inlineStr">
        <is>
          <t>Modules at the low price</t>
        </is>
      </c>
      <c r="C19" s="25">
        <f>C402</f>
        <v/>
      </c>
      <c r="D19" s="25">
        <f>C19-C$8</f>
        <v/>
      </c>
    </row>
    <row r="20">
      <c r="B20" s="7" t="inlineStr">
        <is>
          <t>Fixed tilt instead of trackers</t>
        </is>
      </c>
      <c r="C20" s="25">
        <f>C421</f>
        <v/>
      </c>
      <c r="D20" s="25">
        <f>C20-C$8</f>
        <v/>
      </c>
    </row>
    <row r="21">
      <c r="B21" s="7" t="inlineStr">
        <is>
          <t>Rent +20%</t>
        </is>
      </c>
      <c r="C21" s="25">
        <f>C440</f>
        <v/>
      </c>
      <c r="D21" s="25">
        <f>C21-C$8</f>
        <v/>
      </c>
    </row>
    <row r="22">
      <c r="B22" s="7" t="inlineStr">
        <is>
          <t>P75 ten-year energy</t>
        </is>
      </c>
      <c r="C22" s="25">
        <f>C459</f>
        <v/>
      </c>
      <c r="D22" s="25">
        <f>C22-C$8</f>
        <v/>
      </c>
    </row>
    <row r="23">
      <c r="B23" s="7" t="inlineStr">
        <is>
          <t>Energy one percent lower</t>
        </is>
      </c>
      <c r="C23" s="25">
        <f>C478</f>
        <v/>
      </c>
      <c r="D23" s="25">
        <f>C23-C$8</f>
        <v/>
      </c>
    </row>
    <row r="24">
      <c r="B24" s="7" t="inlineStr">
        <is>
          <t>10 percent of the capital cost; extra spending in the +10% case (owner's costs unchanged)</t>
        </is>
      </c>
      <c r="C24" s="25">
        <f>sens_capex*capex_total</f>
        <v/>
      </c>
      <c r="E24" s="25">
        <f>Sensitivities!$C$27-capex_total</f>
        <v/>
      </c>
    </row>
    <row r="26">
      <c r="B26" s="6" t="inlineStr">
        <is>
          <t>Capital cost +10%, case U</t>
        </is>
      </c>
    </row>
    <row r="27">
      <c r="B27" s="7" t="inlineStr">
        <is>
          <t>Capital cost ($)</t>
        </is>
      </c>
      <c r="C27" s="25">
        <f>((x_module*(1+sens_capex)+x_tracker*(1+sens_capex)+x_bos*(1+sens_capex))*mwdc*1000000+x_inverter*(1+sens_capex)*mwac*1000000+x_sub*(1+sens_capex))*(1+contingency)+x_ic*(1+sens_capex)+owner</f>
        <v/>
      </c>
    </row>
    <row r="28">
      <c r="B28" s="7" t="inlineStr">
        <is>
          <t>ITC eligible basis ($)</t>
        </is>
      </c>
      <c r="C28" s="25">
        <f>((x_module*(1+sens_capex)+x_tracker*(1+sens_capex)+x_bos*(1+sens_capex))*mwdc*1000000+x_inverter*(1+sens_capex)*mwac*1000000+x_sub*(1+sens_capex))*(1+contingency)-gentie_share*x_sub*(1+sens_capex)</f>
        <v/>
      </c>
    </row>
    <row r="29">
      <c r="B29" s="7" t="inlineStr">
        <is>
          <t>ITC cash at the end of 2028, if elected ($)</t>
        </is>
      </c>
      <c r="C29" s="25">
        <f>IF(sw_credit="ITC",C28*(itc_rate+sw_bonus)*transfer_itc,0)</f>
        <v/>
      </c>
    </row>
    <row r="30">
      <c r="B30" s="7" t="inlineStr">
        <is>
          <t>Energy (MWh)</t>
        </is>
      </c>
      <c r="D30" s="23">
        <f>mwac*hours*cf_p50*Energy!D$7*x_scale</f>
        <v/>
      </c>
      <c r="E30" s="23">
        <f>mwac*hours*cf_p50*Energy!E$7*x_scale</f>
        <v/>
      </c>
      <c r="F30" s="23">
        <f>mwac*hours*cf_p50*Energy!F$7*x_scale</f>
        <v/>
      </c>
      <c r="G30" s="23">
        <f>mwac*hours*cf_p50*Energy!G$7*x_scale</f>
        <v/>
      </c>
      <c r="H30" s="23">
        <f>mwac*hours*cf_p50*Energy!H$7*x_scale</f>
        <v/>
      </c>
      <c r="I30" s="23">
        <f>mwac*hours*cf_p50*Energy!I$7*x_scale</f>
        <v/>
      </c>
      <c r="J30" s="23">
        <f>mwac*hours*cf_p50*Energy!J$7*x_scale</f>
        <v/>
      </c>
      <c r="K30" s="23">
        <f>mwac*hours*cf_p50*Energy!K$7*x_scale</f>
        <v/>
      </c>
      <c r="L30" s="23">
        <f>mwac*hours*cf_p50*Energy!L$7*x_scale</f>
        <v/>
      </c>
      <c r="M30" s="23">
        <f>mwac*hours*cf_p50*Energy!M$7*x_scale</f>
        <v/>
      </c>
      <c r="N30" s="23">
        <f>mwac*hours*cf_p50*Energy!N$7*x_scale</f>
        <v/>
      </c>
      <c r="O30" s="23">
        <f>mwac*hours*cf_p50*Energy!O$7*x_scale</f>
        <v/>
      </c>
      <c r="P30" s="23">
        <f>mwac*hours*cf_p50*Energy!P$7*x_scale</f>
        <v/>
      </c>
      <c r="Q30" s="23">
        <f>mwac*hours*cf_p50*Energy!Q$7*x_scale</f>
        <v/>
      </c>
      <c r="R30" s="23">
        <f>mwac*hours*cf_p50*Energy!R$7*x_scale</f>
        <v/>
      </c>
      <c r="S30" s="23">
        <f>mwac*hours*cf_p50*Energy!S$7*x_scale</f>
        <v/>
      </c>
      <c r="T30" s="23">
        <f>mwac*hours*cf_p50*Energy!T$7*x_scale</f>
        <v/>
      </c>
      <c r="U30" s="23">
        <f>mwac*hours*cf_p50*Energy!U$7*x_scale</f>
        <v/>
      </c>
      <c r="V30" s="23">
        <f>mwac*hours*cf_p50*Energy!V$7*x_scale</f>
        <v/>
      </c>
      <c r="W30" s="23">
        <f>mwac*hours*cf_p50*Energy!W$7*x_scale</f>
        <v/>
      </c>
      <c r="X30" s="23">
        <f>mwac*hours*cf_p50*Energy!X$7*x_scale</f>
        <v/>
      </c>
      <c r="Y30" s="23">
        <f>mwac*hours*cf_p50*Energy!Y$7*x_scale</f>
        <v/>
      </c>
      <c r="Z30" s="23">
        <f>mwac*hours*cf_p50*Energy!Z$7*x_scale</f>
        <v/>
      </c>
      <c r="AA30" s="23">
        <f>mwac*hours*cf_p50*Energy!AA$7*x_scale</f>
        <v/>
      </c>
      <c r="AB30" s="23">
        <f>mwac*hours*cf_p50*Energy!AB$7*x_scale</f>
        <v/>
      </c>
      <c r="AC30" s="23">
        <f>mwac*hours*cf_p50*Energy!AC$7*x_scale</f>
        <v/>
      </c>
      <c r="AD30" s="23">
        <f>mwac*hours*cf_p50*Energy!AD$7*x_scale</f>
        <v/>
      </c>
      <c r="AE30" s="23">
        <f>mwac*hours*cf_p50*Energy!AE$7*x_scale</f>
        <v/>
      </c>
      <c r="AF30" s="23">
        <f>mwac*hours*cf_p50*Energy!AF$7*x_scale</f>
        <v/>
      </c>
      <c r="AG30" s="23">
        <f>mwac*hours*cf_p50*Energy!AG$7*x_scale</f>
        <v/>
      </c>
      <c r="AH30" s="23">
        <f>mwac*hours*cf_p50*Energy!AH$7*x_scale</f>
        <v/>
      </c>
      <c r="AI30" s="23">
        <f>mwac*hours*cf_p50*Energy!AI$7*x_scale</f>
        <v/>
      </c>
      <c r="AJ30" s="23">
        <f>mwac*hours*cf_p50*Energy!AJ$7*x_scale</f>
        <v/>
      </c>
      <c r="AK30" s="23">
        <f>mwac*hours*cf_p50*Energy!AK$7*x_scale</f>
        <v/>
      </c>
      <c r="AL30" s="23">
        <f>mwac*hours*cf_p50*Energy!AL$7*x_scale</f>
        <v/>
      </c>
    </row>
    <row r="31">
      <c r="B31" s="7" t="inlineStr">
        <is>
          <t>Node price, hub switch applied ($/MWh)</t>
        </is>
      </c>
      <c r="D31" s="32">
        <f>Market!D$7*(1+sw_hub)*Market!D$8+Market!D$10</f>
        <v/>
      </c>
      <c r="E31" s="32">
        <f>Market!E$7*(1+sw_hub)*Market!E$8+Market!E$10</f>
        <v/>
      </c>
      <c r="F31" s="32">
        <f>Market!F$7*(1+sw_hub)*Market!F$8+Market!F$10</f>
        <v/>
      </c>
      <c r="G31" s="32">
        <f>Market!G$7*(1+sw_hub)*Market!G$8+Market!G$10</f>
        <v/>
      </c>
      <c r="H31" s="32">
        <f>Market!H$7*(1+sw_hub)*Market!H$8+Market!H$10</f>
        <v/>
      </c>
      <c r="I31" s="32">
        <f>Market!I$7*(1+sw_hub)*Market!I$8+Market!I$10</f>
        <v/>
      </c>
      <c r="J31" s="32">
        <f>Market!J$7*(1+sw_hub)*Market!J$8+Market!J$10</f>
        <v/>
      </c>
      <c r="K31" s="32">
        <f>Market!K$7*(1+sw_hub)*Market!K$8+Market!K$10</f>
        <v/>
      </c>
      <c r="L31" s="32">
        <f>Market!L$7*(1+sw_hub)*Market!L$8+Market!L$10</f>
        <v/>
      </c>
      <c r="M31" s="32">
        <f>Market!M$7*(1+sw_hub)*Market!M$8+Market!M$10</f>
        <v/>
      </c>
      <c r="N31" s="32">
        <f>Market!N$7*(1+sw_hub)*Market!N$8+Market!N$10</f>
        <v/>
      </c>
      <c r="O31" s="32">
        <f>Market!O$7*(1+sw_hub)*Market!O$8+Market!O$10</f>
        <v/>
      </c>
      <c r="P31" s="32">
        <f>Market!P$7*(1+sw_hub)*Market!P$8+Market!P$10</f>
        <v/>
      </c>
      <c r="Q31" s="32">
        <f>Market!Q$7*(1+sw_hub)*Market!Q$8+Market!Q$10</f>
        <v/>
      </c>
      <c r="R31" s="32">
        <f>Market!R$7*(1+sw_hub)*Market!R$8+Market!R$10</f>
        <v/>
      </c>
      <c r="S31" s="32">
        <f>Market!S$7*(1+sw_hub)*Market!S$8+Market!S$10</f>
        <v/>
      </c>
      <c r="T31" s="32">
        <f>Market!T$7*(1+sw_hub)*Market!T$8+Market!T$10</f>
        <v/>
      </c>
      <c r="U31" s="32">
        <f>Market!U$7*(1+sw_hub)*Market!U$8+Market!U$10</f>
        <v/>
      </c>
      <c r="V31" s="32">
        <f>Market!V$7*(1+sw_hub)*Market!V$8+Market!V$10</f>
        <v/>
      </c>
      <c r="W31" s="32">
        <f>Market!W$7*(1+sw_hub)*Market!W$8+Market!W$10</f>
        <v/>
      </c>
      <c r="X31" s="32">
        <f>Market!X$7*(1+sw_hub)*Market!X$8+Market!X$10</f>
        <v/>
      </c>
      <c r="Y31" s="32">
        <f>Market!Y$7*(1+sw_hub)*Market!Y$8+Market!Y$10</f>
        <v/>
      </c>
      <c r="Z31" s="32">
        <f>Market!Z$7*(1+sw_hub)*Market!Z$8+Market!Z$10</f>
        <v/>
      </c>
      <c r="AA31" s="32">
        <f>Market!AA$7*(1+sw_hub)*Market!AA$8+Market!AA$10</f>
        <v/>
      </c>
      <c r="AB31" s="32">
        <f>Market!AB$7*(1+sw_hub)*Market!AB$8+Market!AB$10</f>
        <v/>
      </c>
      <c r="AC31" s="32">
        <f>Market!AC$7*(1+sw_hub)*Market!AC$8+Market!AC$10</f>
        <v/>
      </c>
      <c r="AD31" s="32">
        <f>Market!AD$7*(1+sw_hub)*Market!AD$8+Market!AD$10</f>
        <v/>
      </c>
      <c r="AE31" s="32">
        <f>Market!AE$7*(1+sw_hub)*Market!AE$8+Market!AE$10</f>
        <v/>
      </c>
      <c r="AF31" s="32">
        <f>Market!AF$7*(1+sw_hub)*Market!AF$8+Market!AF$10</f>
        <v/>
      </c>
      <c r="AG31" s="32">
        <f>Market!AG$7*(1+sw_hub)*Market!AG$8+Market!AG$10</f>
        <v/>
      </c>
      <c r="AH31" s="32">
        <f>Market!AH$7*(1+sw_hub)*Market!AH$8+Market!AH$10</f>
        <v/>
      </c>
      <c r="AI31" s="32">
        <f>Market!AI$7*(1+sw_hub)*Market!AI$8+Market!AI$10</f>
        <v/>
      </c>
      <c r="AJ31" s="32">
        <f>Market!AJ$7*(1+sw_hub)*Market!AJ$8+Market!AJ$10</f>
        <v/>
      </c>
      <c r="AK31" s="32">
        <f>Market!AK$7*(1+sw_hub)*Market!AK$8+Market!AK$10</f>
        <v/>
      </c>
      <c r="AL31" s="32">
        <f>Market!AL$7*(1+sw_hub)*Market!AL$8+Market!AL$10</f>
        <v/>
      </c>
    </row>
    <row r="32">
      <c r="B32" s="7" t="inlineStr">
        <is>
          <t>Contracted revenue ($)</t>
        </is>
      </c>
      <c r="D32" s="25">
        <f>IF(D$5&lt;u_years,D30*u_price*(1+u_esc)^D$5,0)</f>
        <v/>
      </c>
      <c r="E32" s="25">
        <f>IF(E$5&lt;u_years,E30*u_price*(1+u_esc)^E$5,0)</f>
        <v/>
      </c>
      <c r="F32" s="25">
        <f>IF(F$5&lt;u_years,F30*u_price*(1+u_esc)^F$5,0)</f>
        <v/>
      </c>
      <c r="G32" s="25">
        <f>IF(G$5&lt;u_years,G30*u_price*(1+u_esc)^G$5,0)</f>
        <v/>
      </c>
      <c r="H32" s="25">
        <f>IF(H$5&lt;u_years,H30*u_price*(1+u_esc)^H$5,0)</f>
        <v/>
      </c>
      <c r="I32" s="25">
        <f>IF(I$5&lt;u_years,I30*u_price*(1+u_esc)^I$5,0)</f>
        <v/>
      </c>
      <c r="J32" s="25">
        <f>IF(J$5&lt;u_years,J30*u_price*(1+u_esc)^J$5,0)</f>
        <v/>
      </c>
      <c r="K32" s="25">
        <f>IF(K$5&lt;u_years,K30*u_price*(1+u_esc)^K$5,0)</f>
        <v/>
      </c>
      <c r="L32" s="25">
        <f>IF(L$5&lt;u_years,L30*u_price*(1+u_esc)^L$5,0)</f>
        <v/>
      </c>
      <c r="M32" s="25">
        <f>IF(M$5&lt;u_years,M30*u_price*(1+u_esc)^M$5,0)</f>
        <v/>
      </c>
      <c r="N32" s="25">
        <f>IF(N$5&lt;u_years,N30*u_price*(1+u_esc)^N$5,0)</f>
        <v/>
      </c>
      <c r="O32" s="25">
        <f>IF(O$5&lt;u_years,O30*u_price*(1+u_esc)^O$5,0)</f>
        <v/>
      </c>
      <c r="P32" s="25">
        <f>IF(P$5&lt;u_years,P30*u_price*(1+u_esc)^P$5,0)</f>
        <v/>
      </c>
      <c r="Q32" s="25">
        <f>IF(Q$5&lt;u_years,Q30*u_price*(1+u_esc)^Q$5,0)</f>
        <v/>
      </c>
      <c r="R32" s="25">
        <f>IF(R$5&lt;u_years,R30*u_price*(1+u_esc)^R$5,0)</f>
        <v/>
      </c>
      <c r="S32" s="25">
        <f>IF(S$5&lt;u_years,S30*u_price*(1+u_esc)^S$5,0)</f>
        <v/>
      </c>
      <c r="T32" s="25">
        <f>IF(T$5&lt;u_years,T30*u_price*(1+u_esc)^T$5,0)</f>
        <v/>
      </c>
      <c r="U32" s="25">
        <f>IF(U$5&lt;u_years,U30*u_price*(1+u_esc)^U$5,0)</f>
        <v/>
      </c>
      <c r="V32" s="25">
        <f>IF(V$5&lt;u_years,V30*u_price*(1+u_esc)^V$5,0)</f>
        <v/>
      </c>
      <c r="W32" s="25">
        <f>IF(W$5&lt;u_years,W30*u_price*(1+u_esc)^W$5,0)</f>
        <v/>
      </c>
      <c r="X32" s="25">
        <f>IF(X$5&lt;u_years,X30*u_price*(1+u_esc)^X$5,0)</f>
        <v/>
      </c>
      <c r="Y32" s="25">
        <f>IF(Y$5&lt;u_years,Y30*u_price*(1+u_esc)^Y$5,0)</f>
        <v/>
      </c>
      <c r="Z32" s="25">
        <f>IF(Z$5&lt;u_years,Z30*u_price*(1+u_esc)^Z$5,0)</f>
        <v/>
      </c>
      <c r="AA32" s="25">
        <f>IF(AA$5&lt;u_years,AA30*u_price*(1+u_esc)^AA$5,0)</f>
        <v/>
      </c>
      <c r="AB32" s="25">
        <f>IF(AB$5&lt;u_years,AB30*u_price*(1+u_esc)^AB$5,0)</f>
        <v/>
      </c>
      <c r="AC32" s="25">
        <f>IF(AC$5&lt;u_years,AC30*u_price*(1+u_esc)^AC$5,0)</f>
        <v/>
      </c>
      <c r="AD32" s="25">
        <f>IF(AD$5&lt;u_years,AD30*u_price*(1+u_esc)^AD$5,0)</f>
        <v/>
      </c>
      <c r="AE32" s="25">
        <f>IF(AE$5&lt;u_years,AE30*u_price*(1+u_esc)^AE$5,0)</f>
        <v/>
      </c>
      <c r="AF32" s="25">
        <f>IF(AF$5&lt;u_years,AF30*u_price*(1+u_esc)^AF$5,0)</f>
        <v/>
      </c>
      <c r="AG32" s="25">
        <f>IF(AG$5&lt;u_years,AG30*u_price*(1+u_esc)^AG$5,0)</f>
        <v/>
      </c>
      <c r="AH32" s="25">
        <f>IF(AH$5&lt;u_years,AH30*u_price*(1+u_esc)^AH$5,0)</f>
        <v/>
      </c>
      <c r="AI32" s="25">
        <f>IF(AI$5&lt;u_years,AI30*u_price*(1+u_esc)^AI$5,0)</f>
        <v/>
      </c>
      <c r="AJ32" s="25">
        <f>IF(AJ$5&lt;u_years,AJ30*u_price*(1+u_esc)^AJ$5,0)</f>
        <v/>
      </c>
      <c r="AK32" s="25">
        <f>IF(AK$5&lt;u_years,AK30*u_price*(1+u_esc)^AK$5,0)</f>
        <v/>
      </c>
      <c r="AL32" s="25">
        <f>IF(AL$5&lt;u_years,AL30*u_price*(1+u_esc)^AL$5,0)</f>
        <v/>
      </c>
    </row>
    <row r="33">
      <c r="B33" s="7" t="inlineStr">
        <is>
          <t>Merchant revenue ($)</t>
        </is>
      </c>
      <c r="D33" s="25">
        <f>IF(D$5&lt;u_years,0,D30*(D31+rec_price)+Market!D$13)</f>
        <v/>
      </c>
      <c r="E33" s="25">
        <f>IF(E$5&lt;u_years,0,E30*(E31+rec_price)+Market!E$13)</f>
        <v/>
      </c>
      <c r="F33" s="25">
        <f>IF(F$5&lt;u_years,0,F30*(F31+rec_price)+Market!F$13)</f>
        <v/>
      </c>
      <c r="G33" s="25">
        <f>IF(G$5&lt;u_years,0,G30*(G31+rec_price)+Market!G$13)</f>
        <v/>
      </c>
      <c r="H33" s="25">
        <f>IF(H$5&lt;u_years,0,H30*(H31+rec_price)+Market!H$13)</f>
        <v/>
      </c>
      <c r="I33" s="25">
        <f>IF(I$5&lt;u_years,0,I30*(I31+rec_price)+Market!I$13)</f>
        <v/>
      </c>
      <c r="J33" s="25">
        <f>IF(J$5&lt;u_years,0,J30*(J31+rec_price)+Market!J$13)</f>
        <v/>
      </c>
      <c r="K33" s="25">
        <f>IF(K$5&lt;u_years,0,K30*(K31+rec_price)+Market!K$13)</f>
        <v/>
      </c>
      <c r="L33" s="25">
        <f>IF(L$5&lt;u_years,0,L30*(L31+rec_price)+Market!L$13)</f>
        <v/>
      </c>
      <c r="M33" s="25">
        <f>IF(M$5&lt;u_years,0,M30*(M31+rec_price)+Market!M$13)</f>
        <v/>
      </c>
      <c r="N33" s="25">
        <f>IF(N$5&lt;u_years,0,N30*(N31+rec_price)+Market!N$13)</f>
        <v/>
      </c>
      <c r="O33" s="25">
        <f>IF(O$5&lt;u_years,0,O30*(O31+rec_price)+Market!O$13)</f>
        <v/>
      </c>
      <c r="P33" s="25">
        <f>IF(P$5&lt;u_years,0,P30*(P31+rec_price)+Market!P$13)</f>
        <v/>
      </c>
      <c r="Q33" s="25">
        <f>IF(Q$5&lt;u_years,0,Q30*(Q31+rec_price)+Market!Q$13)</f>
        <v/>
      </c>
      <c r="R33" s="25">
        <f>IF(R$5&lt;u_years,0,R30*(R31+rec_price)+Market!R$13)</f>
        <v/>
      </c>
      <c r="S33" s="25">
        <f>IF(S$5&lt;u_years,0,S30*(S31+rec_price)+Market!S$13)</f>
        <v/>
      </c>
      <c r="T33" s="25">
        <f>IF(T$5&lt;u_years,0,T30*(T31+rec_price)+Market!T$13)</f>
        <v/>
      </c>
      <c r="U33" s="25">
        <f>IF(U$5&lt;u_years,0,U30*(U31+rec_price)+Market!U$13)</f>
        <v/>
      </c>
      <c r="V33" s="25">
        <f>IF(V$5&lt;u_years,0,V30*(V31+rec_price)+Market!V$13)</f>
        <v/>
      </c>
      <c r="W33" s="25">
        <f>IF(W$5&lt;u_years,0,W30*(W31+rec_price)+Market!W$13)</f>
        <v/>
      </c>
      <c r="X33" s="25">
        <f>IF(X$5&lt;u_years,0,X30*(X31+rec_price)+Market!X$13)</f>
        <v/>
      </c>
      <c r="Y33" s="25">
        <f>IF(Y$5&lt;u_years,0,Y30*(Y31+rec_price)+Market!Y$13)</f>
        <v/>
      </c>
      <c r="Z33" s="25">
        <f>IF(Z$5&lt;u_years,0,Z30*(Z31+rec_price)+Market!Z$13)</f>
        <v/>
      </c>
      <c r="AA33" s="25">
        <f>IF(AA$5&lt;u_years,0,AA30*(AA31+rec_price)+Market!AA$13)</f>
        <v/>
      </c>
      <c r="AB33" s="25">
        <f>IF(AB$5&lt;u_years,0,AB30*(AB31+rec_price)+Market!AB$13)</f>
        <v/>
      </c>
      <c r="AC33" s="25">
        <f>IF(AC$5&lt;u_years,0,AC30*(AC31+rec_price)+Market!AC$13)</f>
        <v/>
      </c>
      <c r="AD33" s="25">
        <f>IF(AD$5&lt;u_years,0,AD30*(AD31+rec_price)+Market!AD$13)</f>
        <v/>
      </c>
      <c r="AE33" s="25">
        <f>IF(AE$5&lt;u_years,0,AE30*(AE31+rec_price)+Market!AE$13)</f>
        <v/>
      </c>
      <c r="AF33" s="25">
        <f>IF(AF$5&lt;u_years,0,AF30*(AF31+rec_price)+Market!AF$13)</f>
        <v/>
      </c>
      <c r="AG33" s="25">
        <f>IF(AG$5&lt;u_years,0,AG30*(AG31+rec_price)+Market!AG$13)</f>
        <v/>
      </c>
      <c r="AH33" s="25">
        <f>IF(AH$5&lt;u_years,0,AH30*(AH31+rec_price)+Market!AH$13)</f>
        <v/>
      </c>
      <c r="AI33" s="25">
        <f>IF(AI$5&lt;u_years,0,AI30*(AI31+rec_price)+Market!AI$13)</f>
        <v/>
      </c>
      <c r="AJ33" s="25">
        <f>IF(AJ$5&lt;u_years,0,AJ30*(AJ31+rec_price)+Market!AJ$13)</f>
        <v/>
      </c>
      <c r="AK33" s="25">
        <f>IF(AK$5&lt;u_years,0,AK30*(AK31+rec_price)+Market!AK$13)</f>
        <v/>
      </c>
      <c r="AL33" s="25">
        <f>IF(AL$5&lt;u_years,0,AL30*(AL31+rec_price)+Market!AL$13)</f>
        <v/>
      </c>
    </row>
    <row r="34">
      <c r="B34" s="7" t="inlineStr">
        <is>
          <t>Basis cost kept by the project ($)</t>
        </is>
      </c>
      <c r="D34" s="25" t="n">
        <v>0</v>
      </c>
      <c r="E34" s="25" t="n">
        <v>0</v>
      </c>
      <c r="F34" s="25" t="n">
        <v>0</v>
      </c>
      <c r="G34" s="25" t="n">
        <v>0</v>
      </c>
      <c r="H34" s="25" t="n">
        <v>0</v>
      </c>
      <c r="I34" s="25" t="n">
        <v>0</v>
      </c>
      <c r="J34" s="25" t="n">
        <v>0</v>
      </c>
      <c r="K34" s="25" t="n">
        <v>0</v>
      </c>
      <c r="L34" s="25" t="n">
        <v>0</v>
      </c>
      <c r="M34" s="25" t="n">
        <v>0</v>
      </c>
      <c r="N34" s="25" t="n">
        <v>0</v>
      </c>
      <c r="O34" s="25" t="n">
        <v>0</v>
      </c>
      <c r="P34" s="25" t="n">
        <v>0</v>
      </c>
      <c r="Q34" s="25" t="n">
        <v>0</v>
      </c>
      <c r="R34" s="25" t="n">
        <v>0</v>
      </c>
      <c r="S34" s="25" t="n">
        <v>0</v>
      </c>
      <c r="T34" s="25" t="n">
        <v>0</v>
      </c>
      <c r="U34" s="25" t="n">
        <v>0</v>
      </c>
      <c r="V34" s="25" t="n">
        <v>0</v>
      </c>
      <c r="W34" s="25" t="n">
        <v>0</v>
      </c>
      <c r="X34" s="25" t="n">
        <v>0</v>
      </c>
      <c r="Y34" s="25" t="n">
        <v>0</v>
      </c>
      <c r="Z34" s="25" t="n">
        <v>0</v>
      </c>
      <c r="AA34" s="25" t="n">
        <v>0</v>
      </c>
      <c r="AB34" s="25" t="n">
        <v>0</v>
      </c>
      <c r="AC34" s="25" t="n">
        <v>0</v>
      </c>
      <c r="AD34" s="25" t="n">
        <v>0</v>
      </c>
      <c r="AE34" s="25" t="n">
        <v>0</v>
      </c>
      <c r="AF34" s="25" t="n">
        <v>0</v>
      </c>
      <c r="AG34" s="25" t="n">
        <v>0</v>
      </c>
      <c r="AH34" s="25" t="n">
        <v>0</v>
      </c>
      <c r="AI34" s="25" t="n">
        <v>0</v>
      </c>
      <c r="AJ34" s="25" t="n">
        <v>0</v>
      </c>
      <c r="AK34" s="25" t="n">
        <v>0</v>
      </c>
      <c r="AL34" s="25" t="n">
        <v>0</v>
      </c>
    </row>
    <row r="35">
      <c r="B35" s="7" t="inlineStr">
        <is>
          <t>Operating cost ($)</t>
        </is>
      </c>
      <c r="D35" s="25">
        <f>(om_kw*mwac*1000+ins_rate*$C$27+am_cost+prop_tax+misc_cost)*Opex!D$7+rent_acre*acres_lease*Opex!D$8</f>
        <v/>
      </c>
      <c r="E35" s="25">
        <f>(om_kw*mwac*1000+ins_rate*$C$27+am_cost+prop_tax+misc_cost)*Opex!E$7+rent_acre*acres_lease*Opex!E$8</f>
        <v/>
      </c>
      <c r="F35" s="25">
        <f>(om_kw*mwac*1000+ins_rate*$C$27+am_cost+prop_tax+misc_cost)*Opex!F$7+rent_acre*acres_lease*Opex!F$8</f>
        <v/>
      </c>
      <c r="G35" s="25">
        <f>(om_kw*mwac*1000+ins_rate*$C$27+am_cost+prop_tax+misc_cost)*Opex!G$7+rent_acre*acres_lease*Opex!G$8</f>
        <v/>
      </c>
      <c r="H35" s="25">
        <f>(om_kw*mwac*1000+ins_rate*$C$27+am_cost+prop_tax+misc_cost)*Opex!H$7+rent_acre*acres_lease*Opex!H$8</f>
        <v/>
      </c>
      <c r="I35" s="25">
        <f>(om_kw*mwac*1000+ins_rate*$C$27+am_cost+prop_tax+misc_cost)*Opex!I$7+rent_acre*acres_lease*Opex!I$8</f>
        <v/>
      </c>
      <c r="J35" s="25">
        <f>(om_kw*mwac*1000+ins_rate*$C$27+am_cost+prop_tax+misc_cost)*Opex!J$7+rent_acre*acres_lease*Opex!J$8</f>
        <v/>
      </c>
      <c r="K35" s="25">
        <f>(om_kw*mwac*1000+ins_rate*$C$27+am_cost+prop_tax+misc_cost)*Opex!K$7+rent_acre*acres_lease*Opex!K$8</f>
        <v/>
      </c>
      <c r="L35" s="25">
        <f>(om_kw*mwac*1000+ins_rate*$C$27+am_cost+prop_tax+misc_cost)*Opex!L$7+rent_acre*acres_lease*Opex!L$8</f>
        <v/>
      </c>
      <c r="M35" s="25">
        <f>(om_kw*mwac*1000+ins_rate*$C$27+am_cost+prop_tax+misc_cost)*Opex!M$7+rent_acre*acres_lease*Opex!M$8</f>
        <v/>
      </c>
      <c r="N35" s="25">
        <f>(om_kw*mwac*1000+ins_rate*$C$27+am_cost+prop_tax+misc_cost)*Opex!N$7+rent_acre*acres_lease*Opex!N$8</f>
        <v/>
      </c>
      <c r="O35" s="25">
        <f>(om_kw*mwac*1000+ins_rate*$C$27+am_cost+prop_tax+misc_cost)*Opex!O$7+rent_acre*acres_lease*Opex!O$8</f>
        <v/>
      </c>
      <c r="P35" s="25">
        <f>(om_kw*mwac*1000+ins_rate*$C$27+am_cost+prop_tax+misc_cost)*Opex!P$7+rent_acre*acres_lease*Opex!P$8</f>
        <v/>
      </c>
      <c r="Q35" s="25">
        <f>(om_kw*mwac*1000+ins_rate*$C$27+am_cost+prop_tax+misc_cost)*Opex!Q$7+rent_acre*acres_lease*Opex!Q$8</f>
        <v/>
      </c>
      <c r="R35" s="25">
        <f>(om_kw*mwac*1000+ins_rate*$C$27+am_cost+prop_tax+misc_cost)*Opex!R$7+rent_acre*acres_lease*Opex!R$8</f>
        <v/>
      </c>
      <c r="S35" s="25">
        <f>(om_kw*mwac*1000+ins_rate*$C$27+am_cost+prop_tax+misc_cost)*Opex!S$7+rent_acre*acres_lease*Opex!S$8</f>
        <v/>
      </c>
      <c r="T35" s="25">
        <f>(om_kw*mwac*1000+ins_rate*$C$27+am_cost+prop_tax+misc_cost)*Opex!T$7+rent_acre*acres_lease*Opex!T$8</f>
        <v/>
      </c>
      <c r="U35" s="25">
        <f>(om_kw*mwac*1000+ins_rate*$C$27+am_cost+prop_tax+misc_cost)*Opex!U$7+rent_acre*acres_lease*Opex!U$8</f>
        <v/>
      </c>
      <c r="V35" s="25">
        <f>(om_kw*mwac*1000+ins_rate*$C$27+am_cost+prop_tax+misc_cost)*Opex!V$7+rent_acre*acres_lease*Opex!V$8</f>
        <v/>
      </c>
      <c r="W35" s="25">
        <f>(om_kw*mwac*1000+ins_rate*$C$27+am_cost+prop_tax+misc_cost)*Opex!W$7+rent_acre*acres_lease*Opex!W$8</f>
        <v/>
      </c>
      <c r="X35" s="25">
        <f>(om_kw*mwac*1000+ins_rate*$C$27+am_cost+prop_tax+misc_cost)*Opex!X$7+rent_acre*acres_lease*Opex!X$8</f>
        <v/>
      </c>
      <c r="Y35" s="25">
        <f>(om_kw*mwac*1000+ins_rate*$C$27+am_cost+prop_tax+misc_cost)*Opex!Y$7+rent_acre*acres_lease*Opex!Y$8</f>
        <v/>
      </c>
      <c r="Z35" s="25">
        <f>(om_kw*mwac*1000+ins_rate*$C$27+am_cost+prop_tax+misc_cost)*Opex!Z$7+rent_acre*acres_lease*Opex!Z$8</f>
        <v/>
      </c>
      <c r="AA35" s="25">
        <f>(om_kw*mwac*1000+ins_rate*$C$27+am_cost+prop_tax+misc_cost)*Opex!AA$7+rent_acre*acres_lease*Opex!AA$8</f>
        <v/>
      </c>
      <c r="AB35" s="25">
        <f>(om_kw*mwac*1000+ins_rate*$C$27+am_cost+prop_tax+misc_cost)*Opex!AB$7+rent_acre*acres_lease*Opex!AB$8</f>
        <v/>
      </c>
      <c r="AC35" s="25">
        <f>(om_kw*mwac*1000+ins_rate*$C$27+am_cost+prop_tax+misc_cost)*Opex!AC$7+rent_acre*acres_lease*Opex!AC$8</f>
        <v/>
      </c>
      <c r="AD35" s="25">
        <f>(om_kw*mwac*1000+ins_rate*$C$27+am_cost+prop_tax+misc_cost)*Opex!AD$7+rent_acre*acres_lease*Opex!AD$8</f>
        <v/>
      </c>
      <c r="AE35" s="25">
        <f>(om_kw*mwac*1000+ins_rate*$C$27+am_cost+prop_tax+misc_cost)*Opex!AE$7+rent_acre*acres_lease*Opex!AE$8</f>
        <v/>
      </c>
      <c r="AF35" s="25">
        <f>(om_kw*mwac*1000+ins_rate*$C$27+am_cost+prop_tax+misc_cost)*Opex!AF$7+rent_acre*acres_lease*Opex!AF$8</f>
        <v/>
      </c>
      <c r="AG35" s="25">
        <f>(om_kw*mwac*1000+ins_rate*$C$27+am_cost+prop_tax+misc_cost)*Opex!AG$7+rent_acre*acres_lease*Opex!AG$8</f>
        <v/>
      </c>
      <c r="AH35" s="25">
        <f>(om_kw*mwac*1000+ins_rate*$C$27+am_cost+prop_tax+misc_cost)*Opex!AH$7+rent_acre*acres_lease*Opex!AH$8</f>
        <v/>
      </c>
      <c r="AI35" s="25">
        <f>(om_kw*mwac*1000+ins_rate*$C$27+am_cost+prop_tax+misc_cost)*Opex!AI$7+rent_acre*acres_lease*Opex!AI$8</f>
        <v/>
      </c>
      <c r="AJ35" s="25">
        <f>(om_kw*mwac*1000+ins_rate*$C$27+am_cost+prop_tax+misc_cost)*Opex!AJ$7+rent_acre*acres_lease*Opex!AJ$8</f>
        <v/>
      </c>
      <c r="AK35" s="25">
        <f>(om_kw*mwac*1000+ins_rate*$C$27+am_cost+prop_tax+misc_cost)*Opex!AK$7+rent_acre*acres_lease*Opex!AK$8</f>
        <v/>
      </c>
      <c r="AL35" s="25">
        <f>(om_kw*mwac*1000+ins_rate*$C$27+am_cost+prop_tax+misc_cost)*Opex!AL$7+rent_acre*acres_lease*Opex!AL$8</f>
        <v/>
      </c>
    </row>
    <row r="36">
      <c r="B36" s="7" t="inlineStr">
        <is>
          <t>Credit cash ($)</t>
        </is>
      </c>
      <c r="D36" s="25">
        <f>IF(sw_credit="PTC",IF(D$5&lt;ptc_years,D30*Credits!D$8*(1+sw_bonus)*transfer_ptc,0),0)+IF(D$5=0,$C$29,0)</f>
        <v/>
      </c>
      <c r="E36" s="25">
        <f>IF(sw_credit="PTC",IF(E$5&lt;ptc_years,E30*Credits!E$8*(1+sw_bonus)*transfer_ptc,0),0)+IF(E$5=0,$C$29,0)</f>
        <v/>
      </c>
      <c r="F36" s="25">
        <f>IF(sw_credit="PTC",IF(F$5&lt;ptc_years,F30*Credits!F$8*(1+sw_bonus)*transfer_ptc,0),0)+IF(F$5=0,$C$29,0)</f>
        <v/>
      </c>
      <c r="G36" s="25">
        <f>IF(sw_credit="PTC",IF(G$5&lt;ptc_years,G30*Credits!G$8*(1+sw_bonus)*transfer_ptc,0),0)+IF(G$5=0,$C$29,0)</f>
        <v/>
      </c>
      <c r="H36" s="25">
        <f>IF(sw_credit="PTC",IF(H$5&lt;ptc_years,H30*Credits!H$8*(1+sw_bonus)*transfer_ptc,0),0)+IF(H$5=0,$C$29,0)</f>
        <v/>
      </c>
      <c r="I36" s="25">
        <f>IF(sw_credit="PTC",IF(I$5&lt;ptc_years,I30*Credits!I$8*(1+sw_bonus)*transfer_ptc,0),0)+IF(I$5=0,$C$29,0)</f>
        <v/>
      </c>
      <c r="J36" s="25">
        <f>IF(sw_credit="PTC",IF(J$5&lt;ptc_years,J30*Credits!J$8*(1+sw_bonus)*transfer_ptc,0),0)+IF(J$5=0,$C$29,0)</f>
        <v/>
      </c>
      <c r="K36" s="25">
        <f>IF(sw_credit="PTC",IF(K$5&lt;ptc_years,K30*Credits!K$8*(1+sw_bonus)*transfer_ptc,0),0)+IF(K$5=0,$C$29,0)</f>
        <v/>
      </c>
      <c r="L36" s="25">
        <f>IF(sw_credit="PTC",IF(L$5&lt;ptc_years,L30*Credits!L$8*(1+sw_bonus)*transfer_ptc,0),0)+IF(L$5=0,$C$29,0)</f>
        <v/>
      </c>
      <c r="M36" s="25">
        <f>IF(sw_credit="PTC",IF(M$5&lt;ptc_years,M30*Credits!M$8*(1+sw_bonus)*transfer_ptc,0),0)+IF(M$5=0,$C$29,0)</f>
        <v/>
      </c>
      <c r="N36" s="25">
        <f>IF(sw_credit="PTC",IF(N$5&lt;ptc_years,N30*Credits!N$8*(1+sw_bonus)*transfer_ptc,0),0)+IF(N$5=0,$C$29,0)</f>
        <v/>
      </c>
      <c r="O36" s="25">
        <f>IF(sw_credit="PTC",IF(O$5&lt;ptc_years,O30*Credits!O$8*(1+sw_bonus)*transfer_ptc,0),0)+IF(O$5=0,$C$29,0)</f>
        <v/>
      </c>
      <c r="P36" s="25">
        <f>IF(sw_credit="PTC",IF(P$5&lt;ptc_years,P30*Credits!P$8*(1+sw_bonus)*transfer_ptc,0),0)+IF(P$5=0,$C$29,0)</f>
        <v/>
      </c>
      <c r="Q36" s="25">
        <f>IF(sw_credit="PTC",IF(Q$5&lt;ptc_years,Q30*Credits!Q$8*(1+sw_bonus)*transfer_ptc,0),0)+IF(Q$5=0,$C$29,0)</f>
        <v/>
      </c>
      <c r="R36" s="25">
        <f>IF(sw_credit="PTC",IF(R$5&lt;ptc_years,R30*Credits!R$8*(1+sw_bonus)*transfer_ptc,0),0)+IF(R$5=0,$C$29,0)</f>
        <v/>
      </c>
      <c r="S36" s="25">
        <f>IF(sw_credit="PTC",IF(S$5&lt;ptc_years,S30*Credits!S$8*(1+sw_bonus)*transfer_ptc,0),0)+IF(S$5=0,$C$29,0)</f>
        <v/>
      </c>
      <c r="T36" s="25">
        <f>IF(sw_credit="PTC",IF(T$5&lt;ptc_years,T30*Credits!T$8*(1+sw_bonus)*transfer_ptc,0),0)+IF(T$5=0,$C$29,0)</f>
        <v/>
      </c>
      <c r="U36" s="25">
        <f>IF(sw_credit="PTC",IF(U$5&lt;ptc_years,U30*Credits!U$8*(1+sw_bonus)*transfer_ptc,0),0)+IF(U$5=0,$C$29,0)</f>
        <v/>
      </c>
      <c r="V36" s="25">
        <f>IF(sw_credit="PTC",IF(V$5&lt;ptc_years,V30*Credits!V$8*(1+sw_bonus)*transfer_ptc,0),0)+IF(V$5=0,$C$29,0)</f>
        <v/>
      </c>
      <c r="W36" s="25">
        <f>IF(sw_credit="PTC",IF(W$5&lt;ptc_years,W30*Credits!W$8*(1+sw_bonus)*transfer_ptc,0),0)+IF(W$5=0,$C$29,0)</f>
        <v/>
      </c>
      <c r="X36" s="25">
        <f>IF(sw_credit="PTC",IF(X$5&lt;ptc_years,X30*Credits!X$8*(1+sw_bonus)*transfer_ptc,0),0)+IF(X$5=0,$C$29,0)</f>
        <v/>
      </c>
      <c r="Y36" s="25">
        <f>IF(sw_credit="PTC",IF(Y$5&lt;ptc_years,Y30*Credits!Y$8*(1+sw_bonus)*transfer_ptc,0),0)+IF(Y$5=0,$C$29,0)</f>
        <v/>
      </c>
      <c r="Z36" s="25">
        <f>IF(sw_credit="PTC",IF(Z$5&lt;ptc_years,Z30*Credits!Z$8*(1+sw_bonus)*transfer_ptc,0),0)+IF(Z$5=0,$C$29,0)</f>
        <v/>
      </c>
      <c r="AA36" s="25">
        <f>IF(sw_credit="PTC",IF(AA$5&lt;ptc_years,AA30*Credits!AA$8*(1+sw_bonus)*transfer_ptc,0),0)+IF(AA$5=0,$C$29,0)</f>
        <v/>
      </c>
      <c r="AB36" s="25">
        <f>IF(sw_credit="PTC",IF(AB$5&lt;ptc_years,AB30*Credits!AB$8*(1+sw_bonus)*transfer_ptc,0),0)+IF(AB$5=0,$C$29,0)</f>
        <v/>
      </c>
      <c r="AC36" s="25">
        <f>IF(sw_credit="PTC",IF(AC$5&lt;ptc_years,AC30*Credits!AC$8*(1+sw_bonus)*transfer_ptc,0),0)+IF(AC$5=0,$C$29,0)</f>
        <v/>
      </c>
      <c r="AD36" s="25">
        <f>IF(sw_credit="PTC",IF(AD$5&lt;ptc_years,AD30*Credits!AD$8*(1+sw_bonus)*transfer_ptc,0),0)+IF(AD$5=0,$C$29,0)</f>
        <v/>
      </c>
      <c r="AE36" s="25">
        <f>IF(sw_credit="PTC",IF(AE$5&lt;ptc_years,AE30*Credits!AE$8*(1+sw_bonus)*transfer_ptc,0),0)+IF(AE$5=0,$C$29,0)</f>
        <v/>
      </c>
      <c r="AF36" s="25">
        <f>IF(sw_credit="PTC",IF(AF$5&lt;ptc_years,AF30*Credits!AF$8*(1+sw_bonus)*transfer_ptc,0),0)+IF(AF$5=0,$C$29,0)</f>
        <v/>
      </c>
      <c r="AG36" s="25">
        <f>IF(sw_credit="PTC",IF(AG$5&lt;ptc_years,AG30*Credits!AG$8*(1+sw_bonus)*transfer_ptc,0),0)+IF(AG$5=0,$C$29,0)</f>
        <v/>
      </c>
      <c r="AH36" s="25">
        <f>IF(sw_credit="PTC",IF(AH$5&lt;ptc_years,AH30*Credits!AH$8*(1+sw_bonus)*transfer_ptc,0),0)+IF(AH$5=0,$C$29,0)</f>
        <v/>
      </c>
      <c r="AI36" s="25">
        <f>IF(sw_credit="PTC",IF(AI$5&lt;ptc_years,AI30*Credits!AI$8*(1+sw_bonus)*transfer_ptc,0),0)+IF(AI$5=0,$C$29,0)</f>
        <v/>
      </c>
      <c r="AJ36" s="25">
        <f>IF(sw_credit="PTC",IF(AJ$5&lt;ptc_years,AJ30*Credits!AJ$8*(1+sw_bonus)*transfer_ptc,0),0)+IF(AJ$5=0,$C$29,0)</f>
        <v/>
      </c>
      <c r="AK36" s="25">
        <f>IF(sw_credit="PTC",IF(AK$5&lt;ptc_years,AK30*Credits!AK$8*(1+sw_bonus)*transfer_ptc,0),0)+IF(AK$5=0,$C$29,0)</f>
        <v/>
      </c>
      <c r="AL36" s="25">
        <f>IF(sw_credit="PTC",IF(AL$5&lt;ptc_years,AL30*Credits!AL$8*(1+sw_bonus)*transfer_ptc,0),0)+IF(AL$5=0,$C$29,0)</f>
        <v/>
      </c>
    </row>
    <row r="37">
      <c r="B37" s="14" t="inlineStr">
        <is>
          <t>EBITDA ($)</t>
        </is>
      </c>
      <c r="D37" s="26">
        <f>D32+D33-D34-D35</f>
        <v/>
      </c>
      <c r="E37" s="26">
        <f>E32+E33-E34-E35</f>
        <v/>
      </c>
      <c r="F37" s="26">
        <f>F32+F33-F34-F35</f>
        <v/>
      </c>
      <c r="G37" s="26">
        <f>G32+G33-G34-G35</f>
        <v/>
      </c>
      <c r="H37" s="26">
        <f>H32+H33-H34-H35</f>
        <v/>
      </c>
      <c r="I37" s="26">
        <f>I32+I33-I34-I35</f>
        <v/>
      </c>
      <c r="J37" s="26">
        <f>J32+J33-J34-J35</f>
        <v/>
      </c>
      <c r="K37" s="26">
        <f>K32+K33-K34-K35</f>
        <v/>
      </c>
      <c r="L37" s="26">
        <f>L32+L33-L34-L35</f>
        <v/>
      </c>
      <c r="M37" s="26">
        <f>M32+M33-M34-M35</f>
        <v/>
      </c>
      <c r="N37" s="26">
        <f>N32+N33-N34-N35</f>
        <v/>
      </c>
      <c r="O37" s="26">
        <f>O32+O33-O34-O35</f>
        <v/>
      </c>
      <c r="P37" s="26">
        <f>P32+P33-P34-P35</f>
        <v/>
      </c>
      <c r="Q37" s="26">
        <f>Q32+Q33-Q34-Q35</f>
        <v/>
      </c>
      <c r="R37" s="26">
        <f>R32+R33-R34-R35</f>
        <v/>
      </c>
      <c r="S37" s="26">
        <f>S32+S33-S34-S35</f>
        <v/>
      </c>
      <c r="T37" s="26">
        <f>T32+T33-T34-T35</f>
        <v/>
      </c>
      <c r="U37" s="26">
        <f>U32+U33-U34-U35</f>
        <v/>
      </c>
      <c r="V37" s="26">
        <f>V32+V33-V34-V35</f>
        <v/>
      </c>
      <c r="W37" s="26">
        <f>W32+W33-W34-W35</f>
        <v/>
      </c>
      <c r="X37" s="26">
        <f>X32+X33-X34-X35</f>
        <v/>
      </c>
      <c r="Y37" s="26">
        <f>Y32+Y33-Y34-Y35</f>
        <v/>
      </c>
      <c r="Z37" s="26">
        <f>Z32+Z33-Z34-Z35</f>
        <v/>
      </c>
      <c r="AA37" s="26">
        <f>AA32+AA33-AA34-AA35</f>
        <v/>
      </c>
      <c r="AB37" s="26">
        <f>AB32+AB33-AB34-AB35</f>
        <v/>
      </c>
      <c r="AC37" s="26">
        <f>AC32+AC33-AC34-AC35</f>
        <v/>
      </c>
      <c r="AD37" s="26">
        <f>AD32+AD33-AD34-AD35</f>
        <v/>
      </c>
      <c r="AE37" s="26">
        <f>AE32+AE33-AE34-AE35</f>
        <v/>
      </c>
      <c r="AF37" s="26">
        <f>AF32+AF33-AF34-AF35</f>
        <v/>
      </c>
      <c r="AG37" s="26">
        <f>AG32+AG33-AG34-AG35</f>
        <v/>
      </c>
      <c r="AH37" s="26">
        <f>AH32+AH33-AH34-AH35</f>
        <v/>
      </c>
      <c r="AI37" s="26">
        <f>AI32+AI33-AI34-AI35</f>
        <v/>
      </c>
      <c r="AJ37" s="26">
        <f>AJ32+AJ33-AJ34-AJ35</f>
        <v/>
      </c>
      <c r="AK37" s="26">
        <f>AK32+AK33-AK34-AK35</f>
        <v/>
      </c>
      <c r="AL37" s="26">
        <f>AL32+AL33-AL34-AL35</f>
        <v/>
      </c>
    </row>
    <row r="38">
      <c r="B38" s="7" t="inlineStr">
        <is>
          <t>Discount factor to 1 January 2027, contracted rate</t>
        </is>
      </c>
      <c r="D38" s="22">
        <f>1/(1+x_rc)^(D$5+2)</f>
        <v/>
      </c>
      <c r="E38" s="22">
        <f>1/(1+x_rc)^(E$5+2)</f>
        <v/>
      </c>
      <c r="F38" s="22">
        <f>1/(1+x_rc)^(F$5+2)</f>
        <v/>
      </c>
      <c r="G38" s="22">
        <f>1/(1+x_rc)^(G$5+2)</f>
        <v/>
      </c>
      <c r="H38" s="22">
        <f>1/(1+x_rc)^(H$5+2)</f>
        <v/>
      </c>
      <c r="I38" s="22">
        <f>1/(1+x_rc)^(I$5+2)</f>
        <v/>
      </c>
      <c r="J38" s="22">
        <f>1/(1+x_rc)^(J$5+2)</f>
        <v/>
      </c>
      <c r="K38" s="22">
        <f>1/(1+x_rc)^(K$5+2)</f>
        <v/>
      </c>
      <c r="L38" s="22">
        <f>1/(1+x_rc)^(L$5+2)</f>
        <v/>
      </c>
      <c r="M38" s="22">
        <f>1/(1+x_rc)^(M$5+2)</f>
        <v/>
      </c>
      <c r="N38" s="22">
        <f>1/(1+x_rc)^(N$5+2)</f>
        <v/>
      </c>
      <c r="O38" s="22">
        <f>1/(1+x_rc)^(O$5+2)</f>
        <v/>
      </c>
      <c r="P38" s="22">
        <f>1/(1+x_rc)^(P$5+2)</f>
        <v/>
      </c>
      <c r="Q38" s="22">
        <f>1/(1+x_rc)^(Q$5+2)</f>
        <v/>
      </c>
      <c r="R38" s="22">
        <f>1/(1+x_rc)^(R$5+2)</f>
        <v/>
      </c>
      <c r="S38" s="22">
        <f>1/(1+x_rc)^(S$5+2)</f>
        <v/>
      </c>
      <c r="T38" s="22">
        <f>1/(1+x_rc)^(T$5+2)</f>
        <v/>
      </c>
      <c r="U38" s="22">
        <f>1/(1+x_rc)^(U$5+2)</f>
        <v/>
      </c>
      <c r="V38" s="22">
        <f>1/(1+x_rc)^(V$5+2)</f>
        <v/>
      </c>
      <c r="W38" s="22">
        <f>1/(1+x_rc)^(W$5+2)</f>
        <v/>
      </c>
      <c r="X38" s="22">
        <f>1/(1+x_rc)^(X$5+2)</f>
        <v/>
      </c>
      <c r="Y38" s="22">
        <f>1/(1+x_rc)^(Y$5+2)</f>
        <v/>
      </c>
      <c r="Z38" s="22">
        <f>1/(1+x_rc)^(Z$5+2)</f>
        <v/>
      </c>
      <c r="AA38" s="22">
        <f>1/(1+x_rc)^(AA$5+2)</f>
        <v/>
      </c>
      <c r="AB38" s="22">
        <f>1/(1+x_rc)^(AB$5+2)</f>
        <v/>
      </c>
      <c r="AC38" s="22">
        <f>1/(1+x_rc)^(AC$5+2)</f>
        <v/>
      </c>
      <c r="AD38" s="22">
        <f>1/(1+x_rc)^(AD$5+2)</f>
        <v/>
      </c>
      <c r="AE38" s="22">
        <f>1/(1+x_rc)^(AE$5+2)</f>
        <v/>
      </c>
      <c r="AF38" s="22">
        <f>1/(1+x_rc)^(AF$5+2)</f>
        <v/>
      </c>
      <c r="AG38" s="22">
        <f>1/(1+x_rc)^(AG$5+2)</f>
        <v/>
      </c>
      <c r="AH38" s="22">
        <f>1/(1+x_rc)^(AH$5+2)</f>
        <v/>
      </c>
      <c r="AI38" s="22">
        <f>1/(1+x_rc)^(AI$5+2)</f>
        <v/>
      </c>
      <c r="AJ38" s="22">
        <f>1/(1+x_rc)^(AJ$5+2)</f>
        <v/>
      </c>
      <c r="AK38" s="22">
        <f>1/(1+x_rc)^(AK$5+2)</f>
        <v/>
      </c>
      <c r="AL38" s="22">
        <f>1/(1+x_rc)^(AL$5+2)</f>
        <v/>
      </c>
    </row>
    <row r="39">
      <c r="B39" s="7" t="inlineStr">
        <is>
          <t>Discount factor to 1 January 2027, merchant rate</t>
        </is>
      </c>
      <c r="D39" s="22">
        <f>1/(1+x_rm)^(D$5+2)</f>
        <v/>
      </c>
      <c r="E39" s="22">
        <f>1/(1+x_rm)^(E$5+2)</f>
        <v/>
      </c>
      <c r="F39" s="22">
        <f>1/(1+x_rm)^(F$5+2)</f>
        <v/>
      </c>
      <c r="G39" s="22">
        <f>1/(1+x_rm)^(G$5+2)</f>
        <v/>
      </c>
      <c r="H39" s="22">
        <f>1/(1+x_rm)^(H$5+2)</f>
        <v/>
      </c>
      <c r="I39" s="22">
        <f>1/(1+x_rm)^(I$5+2)</f>
        <v/>
      </c>
      <c r="J39" s="22">
        <f>1/(1+x_rm)^(J$5+2)</f>
        <v/>
      </c>
      <c r="K39" s="22">
        <f>1/(1+x_rm)^(K$5+2)</f>
        <v/>
      </c>
      <c r="L39" s="22">
        <f>1/(1+x_rm)^(L$5+2)</f>
        <v/>
      </c>
      <c r="M39" s="22">
        <f>1/(1+x_rm)^(M$5+2)</f>
        <v/>
      </c>
      <c r="N39" s="22">
        <f>1/(1+x_rm)^(N$5+2)</f>
        <v/>
      </c>
      <c r="O39" s="22">
        <f>1/(1+x_rm)^(O$5+2)</f>
        <v/>
      </c>
      <c r="P39" s="22">
        <f>1/(1+x_rm)^(P$5+2)</f>
        <v/>
      </c>
      <c r="Q39" s="22">
        <f>1/(1+x_rm)^(Q$5+2)</f>
        <v/>
      </c>
      <c r="R39" s="22">
        <f>1/(1+x_rm)^(R$5+2)</f>
        <v/>
      </c>
      <c r="S39" s="22">
        <f>1/(1+x_rm)^(S$5+2)</f>
        <v/>
      </c>
      <c r="T39" s="22">
        <f>1/(1+x_rm)^(T$5+2)</f>
        <v/>
      </c>
      <c r="U39" s="22">
        <f>1/(1+x_rm)^(U$5+2)</f>
        <v/>
      </c>
      <c r="V39" s="22">
        <f>1/(1+x_rm)^(V$5+2)</f>
        <v/>
      </c>
      <c r="W39" s="22">
        <f>1/(1+x_rm)^(W$5+2)</f>
        <v/>
      </c>
      <c r="X39" s="22">
        <f>1/(1+x_rm)^(X$5+2)</f>
        <v/>
      </c>
      <c r="Y39" s="22">
        <f>1/(1+x_rm)^(Y$5+2)</f>
        <v/>
      </c>
      <c r="Z39" s="22">
        <f>1/(1+x_rm)^(Z$5+2)</f>
        <v/>
      </c>
      <c r="AA39" s="22">
        <f>1/(1+x_rm)^(AA$5+2)</f>
        <v/>
      </c>
      <c r="AB39" s="22">
        <f>1/(1+x_rm)^(AB$5+2)</f>
        <v/>
      </c>
      <c r="AC39" s="22">
        <f>1/(1+x_rm)^(AC$5+2)</f>
        <v/>
      </c>
      <c r="AD39" s="22">
        <f>1/(1+x_rm)^(AD$5+2)</f>
        <v/>
      </c>
      <c r="AE39" s="22">
        <f>1/(1+x_rm)^(AE$5+2)</f>
        <v/>
      </c>
      <c r="AF39" s="22">
        <f>1/(1+x_rm)^(AF$5+2)</f>
        <v/>
      </c>
      <c r="AG39" s="22">
        <f>1/(1+x_rm)^(AG$5+2)</f>
        <v/>
      </c>
      <c r="AH39" s="22">
        <f>1/(1+x_rm)^(AH$5+2)</f>
        <v/>
      </c>
      <c r="AI39" s="22">
        <f>1/(1+x_rm)^(AI$5+2)</f>
        <v/>
      </c>
      <c r="AJ39" s="22">
        <f>1/(1+x_rm)^(AJ$5+2)</f>
        <v/>
      </c>
      <c r="AK39" s="22">
        <f>1/(1+x_rm)^(AK$5+2)</f>
        <v/>
      </c>
      <c r="AL39" s="22">
        <f>1/(1+x_rm)^(AL$5+2)</f>
        <v/>
      </c>
    </row>
    <row r="40">
      <c r="B40" s="7" t="inlineStr">
        <is>
          <t>Value on 1 January 2027 of the flows from 2028 (split rates) ($)</t>
        </is>
      </c>
      <c r="C40" s="25">
        <f>SUMPRODUCT($D$32:$AL$32,$D$38:$AL$38)+SUMPRODUCT($D$36:$AL$36,$D$38:$AL$38)-SUMPRODUCT($D$34:$AL$34,$D$38:$AL$38)-SUMPRODUCT($D$35:$AL$35,$D$38:$AL$38)+SUMPRODUCT($D$33:$AL$33,$D$39:$AL$39)-decom_end/(1+x_rc)^(life_years+1)</f>
        <v/>
      </c>
    </row>
    <row r="41">
      <c r="B41" s="14" t="inlineStr">
        <is>
          <t>Development value on 1 January 2027: value less the capital cost ($)</t>
        </is>
      </c>
      <c r="C41" s="26">
        <f>C40-C27/(1+x_rc)</f>
        <v/>
      </c>
    </row>
    <row r="42">
      <c r="B42" s="7" t="inlineStr">
        <is>
          <t>Highest premium Ashgrove can pay at NTP ($)</t>
        </is>
      </c>
      <c r="C42" s="25">
        <f>C41-reimb+reimb/(1+x_rc)</f>
        <v/>
      </c>
    </row>
    <row r="45">
      <c r="B45" s="6" t="inlineStr">
        <is>
          <t>Capital cost +10%, case C</t>
        </is>
      </c>
    </row>
    <row r="46">
      <c r="B46" s="7" t="inlineStr">
        <is>
          <t>Capital cost ($)</t>
        </is>
      </c>
      <c r="C46" s="25">
        <f>((x_module*(1+sens_capex)+x_tracker*(1+sens_capex)+x_bos*(1+sens_capex))*mwdc*1000000+x_inverter*(1+sens_capex)*mwac*1000000+x_sub*(1+sens_capex))*(1+contingency)+x_ic*(1+sens_capex)+owner</f>
        <v/>
      </c>
    </row>
    <row r="47">
      <c r="B47" s="7" t="inlineStr">
        <is>
          <t>ITC eligible basis ($)</t>
        </is>
      </c>
      <c r="C47" s="25">
        <f>((x_module*(1+sens_capex)+x_tracker*(1+sens_capex)+x_bos*(1+sens_capex))*mwdc*1000000+x_inverter*(1+sens_capex)*mwac*1000000+x_sub*(1+sens_capex))*(1+contingency)-gentie_share*x_sub*(1+sens_capex)</f>
        <v/>
      </c>
    </row>
    <row r="48">
      <c r="B48" s="7" t="inlineStr">
        <is>
          <t>ITC cash at the end of 2028, if elected ($)</t>
        </is>
      </c>
      <c r="C48" s="25">
        <f>IF(sw_credit="ITC",C47*(itc_rate+sw_bonus)*transfer_itc,0)</f>
        <v/>
      </c>
    </row>
    <row r="49">
      <c r="B49" s="7" t="inlineStr">
        <is>
          <t>Energy (MWh)</t>
        </is>
      </c>
      <c r="D49" s="23">
        <f>mwac*hours*cf_p50*Energy!D$7*x_scale</f>
        <v/>
      </c>
      <c r="E49" s="23">
        <f>mwac*hours*cf_p50*Energy!E$7*x_scale</f>
        <v/>
      </c>
      <c r="F49" s="23">
        <f>mwac*hours*cf_p50*Energy!F$7*x_scale</f>
        <v/>
      </c>
      <c r="G49" s="23">
        <f>mwac*hours*cf_p50*Energy!G$7*x_scale</f>
        <v/>
      </c>
      <c r="H49" s="23">
        <f>mwac*hours*cf_p50*Energy!H$7*x_scale</f>
        <v/>
      </c>
      <c r="I49" s="23">
        <f>mwac*hours*cf_p50*Energy!I$7*x_scale</f>
        <v/>
      </c>
      <c r="J49" s="23">
        <f>mwac*hours*cf_p50*Energy!J$7*x_scale</f>
        <v/>
      </c>
      <c r="K49" s="23">
        <f>mwac*hours*cf_p50*Energy!K$7*x_scale</f>
        <v/>
      </c>
      <c r="L49" s="23">
        <f>mwac*hours*cf_p50*Energy!L$7*x_scale</f>
        <v/>
      </c>
      <c r="M49" s="23">
        <f>mwac*hours*cf_p50*Energy!M$7*x_scale</f>
        <v/>
      </c>
      <c r="N49" s="23">
        <f>mwac*hours*cf_p50*Energy!N$7*x_scale</f>
        <v/>
      </c>
      <c r="O49" s="23">
        <f>mwac*hours*cf_p50*Energy!O$7*x_scale</f>
        <v/>
      </c>
      <c r="P49" s="23">
        <f>mwac*hours*cf_p50*Energy!P$7*x_scale</f>
        <v/>
      </c>
      <c r="Q49" s="23">
        <f>mwac*hours*cf_p50*Energy!Q$7*x_scale</f>
        <v/>
      </c>
      <c r="R49" s="23">
        <f>mwac*hours*cf_p50*Energy!R$7*x_scale</f>
        <v/>
      </c>
      <c r="S49" s="23">
        <f>mwac*hours*cf_p50*Energy!S$7*x_scale</f>
        <v/>
      </c>
      <c r="T49" s="23">
        <f>mwac*hours*cf_p50*Energy!T$7*x_scale</f>
        <v/>
      </c>
      <c r="U49" s="23">
        <f>mwac*hours*cf_p50*Energy!U$7*x_scale</f>
        <v/>
      </c>
      <c r="V49" s="23">
        <f>mwac*hours*cf_p50*Energy!V$7*x_scale</f>
        <v/>
      </c>
      <c r="W49" s="23">
        <f>mwac*hours*cf_p50*Energy!W$7*x_scale</f>
        <v/>
      </c>
      <c r="X49" s="23">
        <f>mwac*hours*cf_p50*Energy!X$7*x_scale</f>
        <v/>
      </c>
      <c r="Y49" s="23">
        <f>mwac*hours*cf_p50*Energy!Y$7*x_scale</f>
        <v/>
      </c>
      <c r="Z49" s="23">
        <f>mwac*hours*cf_p50*Energy!Z$7*x_scale</f>
        <v/>
      </c>
      <c r="AA49" s="23">
        <f>mwac*hours*cf_p50*Energy!AA$7*x_scale</f>
        <v/>
      </c>
      <c r="AB49" s="23">
        <f>mwac*hours*cf_p50*Energy!AB$7*x_scale</f>
        <v/>
      </c>
      <c r="AC49" s="23">
        <f>mwac*hours*cf_p50*Energy!AC$7*x_scale</f>
        <v/>
      </c>
      <c r="AD49" s="23">
        <f>mwac*hours*cf_p50*Energy!AD$7*x_scale</f>
        <v/>
      </c>
      <c r="AE49" s="23">
        <f>mwac*hours*cf_p50*Energy!AE$7*x_scale</f>
        <v/>
      </c>
      <c r="AF49" s="23">
        <f>mwac*hours*cf_p50*Energy!AF$7*x_scale</f>
        <v/>
      </c>
      <c r="AG49" s="23">
        <f>mwac*hours*cf_p50*Energy!AG$7*x_scale</f>
        <v/>
      </c>
      <c r="AH49" s="23">
        <f>mwac*hours*cf_p50*Energy!AH$7*x_scale</f>
        <v/>
      </c>
      <c r="AI49" s="23">
        <f>mwac*hours*cf_p50*Energy!AI$7*x_scale</f>
        <v/>
      </c>
      <c r="AJ49" s="23">
        <f>mwac*hours*cf_p50*Energy!AJ$7*x_scale</f>
        <v/>
      </c>
      <c r="AK49" s="23">
        <f>mwac*hours*cf_p50*Energy!AK$7*x_scale</f>
        <v/>
      </c>
      <c r="AL49" s="23">
        <f>mwac*hours*cf_p50*Energy!AL$7*x_scale</f>
        <v/>
      </c>
    </row>
    <row r="50">
      <c r="B50" s="7" t="inlineStr">
        <is>
          <t>Node price, hub switch applied ($/MWh)</t>
        </is>
      </c>
      <c r="D50" s="32">
        <f>Market!D$7*(1+sw_hub)*Market!D$8+Market!D$10</f>
        <v/>
      </c>
      <c r="E50" s="32">
        <f>Market!E$7*(1+sw_hub)*Market!E$8+Market!E$10</f>
        <v/>
      </c>
      <c r="F50" s="32">
        <f>Market!F$7*(1+sw_hub)*Market!F$8+Market!F$10</f>
        <v/>
      </c>
      <c r="G50" s="32">
        <f>Market!G$7*(1+sw_hub)*Market!G$8+Market!G$10</f>
        <v/>
      </c>
      <c r="H50" s="32">
        <f>Market!H$7*(1+sw_hub)*Market!H$8+Market!H$10</f>
        <v/>
      </c>
      <c r="I50" s="32">
        <f>Market!I$7*(1+sw_hub)*Market!I$8+Market!I$10</f>
        <v/>
      </c>
      <c r="J50" s="32">
        <f>Market!J$7*(1+sw_hub)*Market!J$8+Market!J$10</f>
        <v/>
      </c>
      <c r="K50" s="32">
        <f>Market!K$7*(1+sw_hub)*Market!K$8+Market!K$10</f>
        <v/>
      </c>
      <c r="L50" s="32">
        <f>Market!L$7*(1+sw_hub)*Market!L$8+Market!L$10</f>
        <v/>
      </c>
      <c r="M50" s="32">
        <f>Market!M$7*(1+sw_hub)*Market!M$8+Market!M$10</f>
        <v/>
      </c>
      <c r="N50" s="32">
        <f>Market!N$7*(1+sw_hub)*Market!N$8+Market!N$10</f>
        <v/>
      </c>
      <c r="O50" s="32">
        <f>Market!O$7*(1+sw_hub)*Market!O$8+Market!O$10</f>
        <v/>
      </c>
      <c r="P50" s="32">
        <f>Market!P$7*(1+sw_hub)*Market!P$8+Market!P$10</f>
        <v/>
      </c>
      <c r="Q50" s="32">
        <f>Market!Q$7*(1+sw_hub)*Market!Q$8+Market!Q$10</f>
        <v/>
      </c>
      <c r="R50" s="32">
        <f>Market!R$7*(1+sw_hub)*Market!R$8+Market!R$10</f>
        <v/>
      </c>
      <c r="S50" s="32">
        <f>Market!S$7*(1+sw_hub)*Market!S$8+Market!S$10</f>
        <v/>
      </c>
      <c r="T50" s="32">
        <f>Market!T$7*(1+sw_hub)*Market!T$8+Market!T$10</f>
        <v/>
      </c>
      <c r="U50" s="32">
        <f>Market!U$7*(1+sw_hub)*Market!U$8+Market!U$10</f>
        <v/>
      </c>
      <c r="V50" s="32">
        <f>Market!V$7*(1+sw_hub)*Market!V$8+Market!V$10</f>
        <v/>
      </c>
      <c r="W50" s="32">
        <f>Market!W$7*(1+sw_hub)*Market!W$8+Market!W$10</f>
        <v/>
      </c>
      <c r="X50" s="32">
        <f>Market!X$7*(1+sw_hub)*Market!X$8+Market!X$10</f>
        <v/>
      </c>
      <c r="Y50" s="32">
        <f>Market!Y$7*(1+sw_hub)*Market!Y$8+Market!Y$10</f>
        <v/>
      </c>
      <c r="Z50" s="32">
        <f>Market!Z$7*(1+sw_hub)*Market!Z$8+Market!Z$10</f>
        <v/>
      </c>
      <c r="AA50" s="32">
        <f>Market!AA$7*(1+sw_hub)*Market!AA$8+Market!AA$10</f>
        <v/>
      </c>
      <c r="AB50" s="32">
        <f>Market!AB$7*(1+sw_hub)*Market!AB$8+Market!AB$10</f>
        <v/>
      </c>
      <c r="AC50" s="32">
        <f>Market!AC$7*(1+sw_hub)*Market!AC$8+Market!AC$10</f>
        <v/>
      </c>
      <c r="AD50" s="32">
        <f>Market!AD$7*(1+sw_hub)*Market!AD$8+Market!AD$10</f>
        <v/>
      </c>
      <c r="AE50" s="32">
        <f>Market!AE$7*(1+sw_hub)*Market!AE$8+Market!AE$10</f>
        <v/>
      </c>
      <c r="AF50" s="32">
        <f>Market!AF$7*(1+sw_hub)*Market!AF$8+Market!AF$10</f>
        <v/>
      </c>
      <c r="AG50" s="32">
        <f>Market!AG$7*(1+sw_hub)*Market!AG$8+Market!AG$10</f>
        <v/>
      </c>
      <c r="AH50" s="32">
        <f>Market!AH$7*(1+sw_hub)*Market!AH$8+Market!AH$10</f>
        <v/>
      </c>
      <c r="AI50" s="32">
        <f>Market!AI$7*(1+sw_hub)*Market!AI$8+Market!AI$10</f>
        <v/>
      </c>
      <c r="AJ50" s="32">
        <f>Market!AJ$7*(1+sw_hub)*Market!AJ$8+Market!AJ$10</f>
        <v/>
      </c>
      <c r="AK50" s="32">
        <f>Market!AK$7*(1+sw_hub)*Market!AK$8+Market!AK$10</f>
        <v/>
      </c>
      <c r="AL50" s="32">
        <f>Market!AL$7*(1+sw_hub)*Market!AL$8+Market!AL$10</f>
        <v/>
      </c>
    </row>
    <row r="51">
      <c r="B51" s="7" t="inlineStr">
        <is>
          <t>Contracted revenue ($)</t>
        </is>
      </c>
      <c r="D51" s="25">
        <f>IF(D$5&lt;c_years,D49*c_price,0)</f>
        <v/>
      </c>
      <c r="E51" s="25">
        <f>IF(E$5&lt;c_years,E49*c_price,0)</f>
        <v/>
      </c>
      <c r="F51" s="25">
        <f>IF(F$5&lt;c_years,F49*c_price,0)</f>
        <v/>
      </c>
      <c r="G51" s="25">
        <f>IF(G$5&lt;c_years,G49*c_price,0)</f>
        <v/>
      </c>
      <c r="H51" s="25">
        <f>IF(H$5&lt;c_years,H49*c_price,0)</f>
        <v/>
      </c>
      <c r="I51" s="25">
        <f>IF(I$5&lt;c_years,I49*c_price,0)</f>
        <v/>
      </c>
      <c r="J51" s="25">
        <f>IF(J$5&lt;c_years,J49*c_price,0)</f>
        <v/>
      </c>
      <c r="K51" s="25">
        <f>IF(K$5&lt;c_years,K49*c_price,0)</f>
        <v/>
      </c>
      <c r="L51" s="25">
        <f>IF(L$5&lt;c_years,L49*c_price,0)</f>
        <v/>
      </c>
      <c r="M51" s="25">
        <f>IF(M$5&lt;c_years,M49*c_price,0)</f>
        <v/>
      </c>
      <c r="N51" s="25">
        <f>IF(N$5&lt;c_years,N49*c_price,0)</f>
        <v/>
      </c>
      <c r="O51" s="25">
        <f>IF(O$5&lt;c_years,O49*c_price,0)</f>
        <v/>
      </c>
      <c r="P51" s="25">
        <f>IF(P$5&lt;c_years,P49*c_price,0)</f>
        <v/>
      </c>
      <c r="Q51" s="25">
        <f>IF(Q$5&lt;c_years,Q49*c_price,0)</f>
        <v/>
      </c>
      <c r="R51" s="25">
        <f>IF(R$5&lt;c_years,R49*c_price,0)</f>
        <v/>
      </c>
      <c r="S51" s="25">
        <f>IF(S$5&lt;c_years,S49*c_price,0)</f>
        <v/>
      </c>
      <c r="T51" s="25">
        <f>IF(T$5&lt;c_years,T49*c_price,0)</f>
        <v/>
      </c>
      <c r="U51" s="25">
        <f>IF(U$5&lt;c_years,U49*c_price,0)</f>
        <v/>
      </c>
      <c r="V51" s="25">
        <f>IF(V$5&lt;c_years,V49*c_price,0)</f>
        <v/>
      </c>
      <c r="W51" s="25">
        <f>IF(W$5&lt;c_years,W49*c_price,0)</f>
        <v/>
      </c>
      <c r="X51" s="25">
        <f>IF(X$5&lt;c_years,X49*c_price,0)</f>
        <v/>
      </c>
      <c r="Y51" s="25">
        <f>IF(Y$5&lt;c_years,Y49*c_price,0)</f>
        <v/>
      </c>
      <c r="Z51" s="25">
        <f>IF(Z$5&lt;c_years,Z49*c_price,0)</f>
        <v/>
      </c>
      <c r="AA51" s="25">
        <f>IF(AA$5&lt;c_years,AA49*c_price,0)</f>
        <v/>
      </c>
      <c r="AB51" s="25">
        <f>IF(AB$5&lt;c_years,AB49*c_price,0)</f>
        <v/>
      </c>
      <c r="AC51" s="25">
        <f>IF(AC$5&lt;c_years,AC49*c_price,0)</f>
        <v/>
      </c>
      <c r="AD51" s="25">
        <f>IF(AD$5&lt;c_years,AD49*c_price,0)</f>
        <v/>
      </c>
      <c r="AE51" s="25">
        <f>IF(AE$5&lt;c_years,AE49*c_price,0)</f>
        <v/>
      </c>
      <c r="AF51" s="25">
        <f>IF(AF$5&lt;c_years,AF49*c_price,0)</f>
        <v/>
      </c>
      <c r="AG51" s="25">
        <f>IF(AG$5&lt;c_years,AG49*c_price,0)</f>
        <v/>
      </c>
      <c r="AH51" s="25">
        <f>IF(AH$5&lt;c_years,AH49*c_price,0)</f>
        <v/>
      </c>
      <c r="AI51" s="25">
        <f>IF(AI$5&lt;c_years,AI49*c_price,0)</f>
        <v/>
      </c>
      <c r="AJ51" s="25">
        <f>IF(AJ$5&lt;c_years,AJ49*c_price,0)</f>
        <v/>
      </c>
      <c r="AK51" s="25">
        <f>IF(AK$5&lt;c_years,AK49*c_price,0)</f>
        <v/>
      </c>
      <c r="AL51" s="25">
        <f>IF(AL$5&lt;c_years,AL49*c_price,0)</f>
        <v/>
      </c>
    </row>
    <row r="52">
      <c r="B52" s="7" t="inlineStr">
        <is>
          <t>Merchant revenue ($)</t>
        </is>
      </c>
      <c r="D52" s="25">
        <f>IF(D$5&lt;c_years,Market!D$13,D49*(D50+rec_price)+Market!D$13)</f>
        <v/>
      </c>
      <c r="E52" s="25">
        <f>IF(E$5&lt;c_years,Market!E$13,E49*(E50+rec_price)+Market!E$13)</f>
        <v/>
      </c>
      <c r="F52" s="25">
        <f>IF(F$5&lt;c_years,Market!F$13,F49*(F50+rec_price)+Market!F$13)</f>
        <v/>
      </c>
      <c r="G52" s="25">
        <f>IF(G$5&lt;c_years,Market!G$13,G49*(G50+rec_price)+Market!G$13)</f>
        <v/>
      </c>
      <c r="H52" s="25">
        <f>IF(H$5&lt;c_years,Market!H$13,H49*(H50+rec_price)+Market!H$13)</f>
        <v/>
      </c>
      <c r="I52" s="25">
        <f>IF(I$5&lt;c_years,Market!I$13,I49*(I50+rec_price)+Market!I$13)</f>
        <v/>
      </c>
      <c r="J52" s="25">
        <f>IF(J$5&lt;c_years,Market!J$13,J49*(J50+rec_price)+Market!J$13)</f>
        <v/>
      </c>
      <c r="K52" s="25">
        <f>IF(K$5&lt;c_years,Market!K$13,K49*(K50+rec_price)+Market!K$13)</f>
        <v/>
      </c>
      <c r="L52" s="25">
        <f>IF(L$5&lt;c_years,Market!L$13,L49*(L50+rec_price)+Market!L$13)</f>
        <v/>
      </c>
      <c r="M52" s="25">
        <f>IF(M$5&lt;c_years,Market!M$13,M49*(M50+rec_price)+Market!M$13)</f>
        <v/>
      </c>
      <c r="N52" s="25">
        <f>IF(N$5&lt;c_years,Market!N$13,N49*(N50+rec_price)+Market!N$13)</f>
        <v/>
      </c>
      <c r="O52" s="25">
        <f>IF(O$5&lt;c_years,Market!O$13,O49*(O50+rec_price)+Market!O$13)</f>
        <v/>
      </c>
      <c r="P52" s="25">
        <f>IF(P$5&lt;c_years,Market!P$13,P49*(P50+rec_price)+Market!P$13)</f>
        <v/>
      </c>
      <c r="Q52" s="25">
        <f>IF(Q$5&lt;c_years,Market!Q$13,Q49*(Q50+rec_price)+Market!Q$13)</f>
        <v/>
      </c>
      <c r="R52" s="25">
        <f>IF(R$5&lt;c_years,Market!R$13,R49*(R50+rec_price)+Market!R$13)</f>
        <v/>
      </c>
      <c r="S52" s="25">
        <f>IF(S$5&lt;c_years,Market!S$13,S49*(S50+rec_price)+Market!S$13)</f>
        <v/>
      </c>
      <c r="T52" s="25">
        <f>IF(T$5&lt;c_years,Market!T$13,T49*(T50+rec_price)+Market!T$13)</f>
        <v/>
      </c>
      <c r="U52" s="25">
        <f>IF(U$5&lt;c_years,Market!U$13,U49*(U50+rec_price)+Market!U$13)</f>
        <v/>
      </c>
      <c r="V52" s="25">
        <f>IF(V$5&lt;c_years,Market!V$13,V49*(V50+rec_price)+Market!V$13)</f>
        <v/>
      </c>
      <c r="W52" s="25">
        <f>IF(W$5&lt;c_years,Market!W$13,W49*(W50+rec_price)+Market!W$13)</f>
        <v/>
      </c>
      <c r="X52" s="25">
        <f>IF(X$5&lt;c_years,Market!X$13,X49*(X50+rec_price)+Market!X$13)</f>
        <v/>
      </c>
      <c r="Y52" s="25">
        <f>IF(Y$5&lt;c_years,Market!Y$13,Y49*(Y50+rec_price)+Market!Y$13)</f>
        <v/>
      </c>
      <c r="Z52" s="25">
        <f>IF(Z$5&lt;c_years,Market!Z$13,Z49*(Z50+rec_price)+Market!Z$13)</f>
        <v/>
      </c>
      <c r="AA52" s="25">
        <f>IF(AA$5&lt;c_years,Market!AA$13,AA49*(AA50+rec_price)+Market!AA$13)</f>
        <v/>
      </c>
      <c r="AB52" s="25">
        <f>IF(AB$5&lt;c_years,Market!AB$13,AB49*(AB50+rec_price)+Market!AB$13)</f>
        <v/>
      </c>
      <c r="AC52" s="25">
        <f>IF(AC$5&lt;c_years,Market!AC$13,AC49*(AC50+rec_price)+Market!AC$13)</f>
        <v/>
      </c>
      <c r="AD52" s="25">
        <f>IF(AD$5&lt;c_years,Market!AD$13,AD49*(AD50+rec_price)+Market!AD$13)</f>
        <v/>
      </c>
      <c r="AE52" s="25">
        <f>IF(AE$5&lt;c_years,Market!AE$13,AE49*(AE50+rec_price)+Market!AE$13)</f>
        <v/>
      </c>
      <c r="AF52" s="25">
        <f>IF(AF$5&lt;c_years,Market!AF$13,AF49*(AF50+rec_price)+Market!AF$13)</f>
        <v/>
      </c>
      <c r="AG52" s="25">
        <f>IF(AG$5&lt;c_years,Market!AG$13,AG49*(AG50+rec_price)+Market!AG$13)</f>
        <v/>
      </c>
      <c r="AH52" s="25">
        <f>IF(AH$5&lt;c_years,Market!AH$13,AH49*(AH50+rec_price)+Market!AH$13)</f>
        <v/>
      </c>
      <c r="AI52" s="25">
        <f>IF(AI$5&lt;c_years,Market!AI$13,AI49*(AI50+rec_price)+Market!AI$13)</f>
        <v/>
      </c>
      <c r="AJ52" s="25">
        <f>IF(AJ$5&lt;c_years,Market!AJ$13,AJ49*(AJ50+rec_price)+Market!AJ$13)</f>
        <v/>
      </c>
      <c r="AK52" s="25">
        <f>IF(AK$5&lt;c_years,Market!AK$13,AK49*(AK50+rec_price)+Market!AK$13)</f>
        <v/>
      </c>
      <c r="AL52" s="25">
        <f>IF(AL$5&lt;c_years,Market!AL$13,AL49*(AL50+rec_price)+Market!AL$13)</f>
        <v/>
      </c>
    </row>
    <row r="53">
      <c r="B53" s="7" t="inlineStr">
        <is>
          <t>Basis cost kept by the project ($)</t>
        </is>
      </c>
      <c r="D53" s="25">
        <f>IF(D$5&lt;c_years,-D49*Market!D$10,0)</f>
        <v/>
      </c>
      <c r="E53" s="25">
        <f>IF(E$5&lt;c_years,-E49*Market!E$10,0)</f>
        <v/>
      </c>
      <c r="F53" s="25">
        <f>IF(F$5&lt;c_years,-F49*Market!F$10,0)</f>
        <v/>
      </c>
      <c r="G53" s="25">
        <f>IF(G$5&lt;c_years,-G49*Market!G$10,0)</f>
        <v/>
      </c>
      <c r="H53" s="25">
        <f>IF(H$5&lt;c_years,-H49*Market!H$10,0)</f>
        <v/>
      </c>
      <c r="I53" s="25">
        <f>IF(I$5&lt;c_years,-I49*Market!I$10,0)</f>
        <v/>
      </c>
      <c r="J53" s="25">
        <f>IF(J$5&lt;c_years,-J49*Market!J$10,0)</f>
        <v/>
      </c>
      <c r="K53" s="25">
        <f>IF(K$5&lt;c_years,-K49*Market!K$10,0)</f>
        <v/>
      </c>
      <c r="L53" s="25">
        <f>IF(L$5&lt;c_years,-L49*Market!L$10,0)</f>
        <v/>
      </c>
      <c r="M53" s="25">
        <f>IF(M$5&lt;c_years,-M49*Market!M$10,0)</f>
        <v/>
      </c>
      <c r="N53" s="25">
        <f>IF(N$5&lt;c_years,-N49*Market!N$10,0)</f>
        <v/>
      </c>
      <c r="O53" s="25">
        <f>IF(O$5&lt;c_years,-O49*Market!O$10,0)</f>
        <v/>
      </c>
      <c r="P53" s="25">
        <f>IF(P$5&lt;c_years,-P49*Market!P$10,0)</f>
        <v/>
      </c>
      <c r="Q53" s="25">
        <f>IF(Q$5&lt;c_years,-Q49*Market!Q$10,0)</f>
        <v/>
      </c>
      <c r="R53" s="25">
        <f>IF(R$5&lt;c_years,-R49*Market!R$10,0)</f>
        <v/>
      </c>
      <c r="S53" s="25">
        <f>IF(S$5&lt;c_years,-S49*Market!S$10,0)</f>
        <v/>
      </c>
      <c r="T53" s="25">
        <f>IF(T$5&lt;c_years,-T49*Market!T$10,0)</f>
        <v/>
      </c>
      <c r="U53" s="25">
        <f>IF(U$5&lt;c_years,-U49*Market!U$10,0)</f>
        <v/>
      </c>
      <c r="V53" s="25">
        <f>IF(V$5&lt;c_years,-V49*Market!V$10,0)</f>
        <v/>
      </c>
      <c r="W53" s="25">
        <f>IF(W$5&lt;c_years,-W49*Market!W$10,0)</f>
        <v/>
      </c>
      <c r="X53" s="25">
        <f>IF(X$5&lt;c_years,-X49*Market!X$10,0)</f>
        <v/>
      </c>
      <c r="Y53" s="25">
        <f>IF(Y$5&lt;c_years,-Y49*Market!Y$10,0)</f>
        <v/>
      </c>
      <c r="Z53" s="25">
        <f>IF(Z$5&lt;c_years,-Z49*Market!Z$10,0)</f>
        <v/>
      </c>
      <c r="AA53" s="25">
        <f>IF(AA$5&lt;c_years,-AA49*Market!AA$10,0)</f>
        <v/>
      </c>
      <c r="AB53" s="25">
        <f>IF(AB$5&lt;c_years,-AB49*Market!AB$10,0)</f>
        <v/>
      </c>
      <c r="AC53" s="25">
        <f>IF(AC$5&lt;c_years,-AC49*Market!AC$10,0)</f>
        <v/>
      </c>
      <c r="AD53" s="25">
        <f>IF(AD$5&lt;c_years,-AD49*Market!AD$10,0)</f>
        <v/>
      </c>
      <c r="AE53" s="25">
        <f>IF(AE$5&lt;c_years,-AE49*Market!AE$10,0)</f>
        <v/>
      </c>
      <c r="AF53" s="25">
        <f>IF(AF$5&lt;c_years,-AF49*Market!AF$10,0)</f>
        <v/>
      </c>
      <c r="AG53" s="25">
        <f>IF(AG$5&lt;c_years,-AG49*Market!AG$10,0)</f>
        <v/>
      </c>
      <c r="AH53" s="25">
        <f>IF(AH$5&lt;c_years,-AH49*Market!AH$10,0)</f>
        <v/>
      </c>
      <c r="AI53" s="25">
        <f>IF(AI$5&lt;c_years,-AI49*Market!AI$10,0)</f>
        <v/>
      </c>
      <c r="AJ53" s="25">
        <f>IF(AJ$5&lt;c_years,-AJ49*Market!AJ$10,0)</f>
        <v/>
      </c>
      <c r="AK53" s="25">
        <f>IF(AK$5&lt;c_years,-AK49*Market!AK$10,0)</f>
        <v/>
      </c>
      <c r="AL53" s="25">
        <f>IF(AL$5&lt;c_years,-AL49*Market!AL$10,0)</f>
        <v/>
      </c>
    </row>
    <row r="54">
      <c r="B54" s="7" t="inlineStr">
        <is>
          <t>Operating cost ($)</t>
        </is>
      </c>
      <c r="D54" s="25">
        <f>(om_kw*mwac*1000+ins_rate*$C$46+am_cost+prop_tax+misc_cost)*Opex!D$7+rent_acre*acres_lease*Opex!D$8</f>
        <v/>
      </c>
      <c r="E54" s="25">
        <f>(om_kw*mwac*1000+ins_rate*$C$46+am_cost+prop_tax+misc_cost)*Opex!E$7+rent_acre*acres_lease*Opex!E$8</f>
        <v/>
      </c>
      <c r="F54" s="25">
        <f>(om_kw*mwac*1000+ins_rate*$C$46+am_cost+prop_tax+misc_cost)*Opex!F$7+rent_acre*acres_lease*Opex!F$8</f>
        <v/>
      </c>
      <c r="G54" s="25">
        <f>(om_kw*mwac*1000+ins_rate*$C$46+am_cost+prop_tax+misc_cost)*Opex!G$7+rent_acre*acres_lease*Opex!G$8</f>
        <v/>
      </c>
      <c r="H54" s="25">
        <f>(om_kw*mwac*1000+ins_rate*$C$46+am_cost+prop_tax+misc_cost)*Opex!H$7+rent_acre*acres_lease*Opex!H$8</f>
        <v/>
      </c>
      <c r="I54" s="25">
        <f>(om_kw*mwac*1000+ins_rate*$C$46+am_cost+prop_tax+misc_cost)*Opex!I$7+rent_acre*acres_lease*Opex!I$8</f>
        <v/>
      </c>
      <c r="J54" s="25">
        <f>(om_kw*mwac*1000+ins_rate*$C$46+am_cost+prop_tax+misc_cost)*Opex!J$7+rent_acre*acres_lease*Opex!J$8</f>
        <v/>
      </c>
      <c r="K54" s="25">
        <f>(om_kw*mwac*1000+ins_rate*$C$46+am_cost+prop_tax+misc_cost)*Opex!K$7+rent_acre*acres_lease*Opex!K$8</f>
        <v/>
      </c>
      <c r="L54" s="25">
        <f>(om_kw*mwac*1000+ins_rate*$C$46+am_cost+prop_tax+misc_cost)*Opex!L$7+rent_acre*acres_lease*Opex!L$8</f>
        <v/>
      </c>
      <c r="M54" s="25">
        <f>(om_kw*mwac*1000+ins_rate*$C$46+am_cost+prop_tax+misc_cost)*Opex!M$7+rent_acre*acres_lease*Opex!M$8</f>
        <v/>
      </c>
      <c r="N54" s="25">
        <f>(om_kw*mwac*1000+ins_rate*$C$46+am_cost+prop_tax+misc_cost)*Opex!N$7+rent_acre*acres_lease*Opex!N$8</f>
        <v/>
      </c>
      <c r="O54" s="25">
        <f>(om_kw*mwac*1000+ins_rate*$C$46+am_cost+prop_tax+misc_cost)*Opex!O$7+rent_acre*acres_lease*Opex!O$8</f>
        <v/>
      </c>
      <c r="P54" s="25">
        <f>(om_kw*mwac*1000+ins_rate*$C$46+am_cost+prop_tax+misc_cost)*Opex!P$7+rent_acre*acres_lease*Opex!P$8</f>
        <v/>
      </c>
      <c r="Q54" s="25">
        <f>(om_kw*mwac*1000+ins_rate*$C$46+am_cost+prop_tax+misc_cost)*Opex!Q$7+rent_acre*acres_lease*Opex!Q$8</f>
        <v/>
      </c>
      <c r="R54" s="25">
        <f>(om_kw*mwac*1000+ins_rate*$C$46+am_cost+prop_tax+misc_cost)*Opex!R$7+rent_acre*acres_lease*Opex!R$8</f>
        <v/>
      </c>
      <c r="S54" s="25">
        <f>(om_kw*mwac*1000+ins_rate*$C$46+am_cost+prop_tax+misc_cost)*Opex!S$7+rent_acre*acres_lease*Opex!S$8</f>
        <v/>
      </c>
      <c r="T54" s="25">
        <f>(om_kw*mwac*1000+ins_rate*$C$46+am_cost+prop_tax+misc_cost)*Opex!T$7+rent_acre*acres_lease*Opex!T$8</f>
        <v/>
      </c>
      <c r="U54" s="25">
        <f>(om_kw*mwac*1000+ins_rate*$C$46+am_cost+prop_tax+misc_cost)*Opex!U$7+rent_acre*acres_lease*Opex!U$8</f>
        <v/>
      </c>
      <c r="V54" s="25">
        <f>(om_kw*mwac*1000+ins_rate*$C$46+am_cost+prop_tax+misc_cost)*Opex!V$7+rent_acre*acres_lease*Opex!V$8</f>
        <v/>
      </c>
      <c r="W54" s="25">
        <f>(om_kw*mwac*1000+ins_rate*$C$46+am_cost+prop_tax+misc_cost)*Opex!W$7+rent_acre*acres_lease*Opex!W$8</f>
        <v/>
      </c>
      <c r="X54" s="25">
        <f>(om_kw*mwac*1000+ins_rate*$C$46+am_cost+prop_tax+misc_cost)*Opex!X$7+rent_acre*acres_lease*Opex!X$8</f>
        <v/>
      </c>
      <c r="Y54" s="25">
        <f>(om_kw*mwac*1000+ins_rate*$C$46+am_cost+prop_tax+misc_cost)*Opex!Y$7+rent_acre*acres_lease*Opex!Y$8</f>
        <v/>
      </c>
      <c r="Z54" s="25">
        <f>(om_kw*mwac*1000+ins_rate*$C$46+am_cost+prop_tax+misc_cost)*Opex!Z$7+rent_acre*acres_lease*Opex!Z$8</f>
        <v/>
      </c>
      <c r="AA54" s="25">
        <f>(om_kw*mwac*1000+ins_rate*$C$46+am_cost+prop_tax+misc_cost)*Opex!AA$7+rent_acre*acres_lease*Opex!AA$8</f>
        <v/>
      </c>
      <c r="AB54" s="25">
        <f>(om_kw*mwac*1000+ins_rate*$C$46+am_cost+prop_tax+misc_cost)*Opex!AB$7+rent_acre*acres_lease*Opex!AB$8</f>
        <v/>
      </c>
      <c r="AC54" s="25">
        <f>(om_kw*mwac*1000+ins_rate*$C$46+am_cost+prop_tax+misc_cost)*Opex!AC$7+rent_acre*acres_lease*Opex!AC$8</f>
        <v/>
      </c>
      <c r="AD54" s="25">
        <f>(om_kw*mwac*1000+ins_rate*$C$46+am_cost+prop_tax+misc_cost)*Opex!AD$7+rent_acre*acres_lease*Opex!AD$8</f>
        <v/>
      </c>
      <c r="AE54" s="25">
        <f>(om_kw*mwac*1000+ins_rate*$C$46+am_cost+prop_tax+misc_cost)*Opex!AE$7+rent_acre*acres_lease*Opex!AE$8</f>
        <v/>
      </c>
      <c r="AF54" s="25">
        <f>(om_kw*mwac*1000+ins_rate*$C$46+am_cost+prop_tax+misc_cost)*Opex!AF$7+rent_acre*acres_lease*Opex!AF$8</f>
        <v/>
      </c>
      <c r="AG54" s="25">
        <f>(om_kw*mwac*1000+ins_rate*$C$46+am_cost+prop_tax+misc_cost)*Opex!AG$7+rent_acre*acres_lease*Opex!AG$8</f>
        <v/>
      </c>
      <c r="AH54" s="25">
        <f>(om_kw*mwac*1000+ins_rate*$C$46+am_cost+prop_tax+misc_cost)*Opex!AH$7+rent_acre*acres_lease*Opex!AH$8</f>
        <v/>
      </c>
      <c r="AI54" s="25">
        <f>(om_kw*mwac*1000+ins_rate*$C$46+am_cost+prop_tax+misc_cost)*Opex!AI$7+rent_acre*acres_lease*Opex!AI$8</f>
        <v/>
      </c>
      <c r="AJ54" s="25">
        <f>(om_kw*mwac*1000+ins_rate*$C$46+am_cost+prop_tax+misc_cost)*Opex!AJ$7+rent_acre*acres_lease*Opex!AJ$8</f>
        <v/>
      </c>
      <c r="AK54" s="25">
        <f>(om_kw*mwac*1000+ins_rate*$C$46+am_cost+prop_tax+misc_cost)*Opex!AK$7+rent_acre*acres_lease*Opex!AK$8</f>
        <v/>
      </c>
      <c r="AL54" s="25">
        <f>(om_kw*mwac*1000+ins_rate*$C$46+am_cost+prop_tax+misc_cost)*Opex!AL$7+rent_acre*acres_lease*Opex!AL$8</f>
        <v/>
      </c>
    </row>
    <row r="55">
      <c r="B55" s="7" t="inlineStr">
        <is>
          <t>Credit cash ($)</t>
        </is>
      </c>
      <c r="D55" s="25">
        <f>IF(sw_credit="PTC",IF(D$5&lt;ptc_years,D49*Credits!D$8*(1+sw_bonus)*transfer_ptc,0),0)+IF(D$5=0,$C$48,0)</f>
        <v/>
      </c>
      <c r="E55" s="25">
        <f>IF(sw_credit="PTC",IF(E$5&lt;ptc_years,E49*Credits!E$8*(1+sw_bonus)*transfer_ptc,0),0)+IF(E$5=0,$C$48,0)</f>
        <v/>
      </c>
      <c r="F55" s="25">
        <f>IF(sw_credit="PTC",IF(F$5&lt;ptc_years,F49*Credits!F$8*(1+sw_bonus)*transfer_ptc,0),0)+IF(F$5=0,$C$48,0)</f>
        <v/>
      </c>
      <c r="G55" s="25">
        <f>IF(sw_credit="PTC",IF(G$5&lt;ptc_years,G49*Credits!G$8*(1+sw_bonus)*transfer_ptc,0),0)+IF(G$5=0,$C$48,0)</f>
        <v/>
      </c>
      <c r="H55" s="25">
        <f>IF(sw_credit="PTC",IF(H$5&lt;ptc_years,H49*Credits!H$8*(1+sw_bonus)*transfer_ptc,0),0)+IF(H$5=0,$C$48,0)</f>
        <v/>
      </c>
      <c r="I55" s="25">
        <f>IF(sw_credit="PTC",IF(I$5&lt;ptc_years,I49*Credits!I$8*(1+sw_bonus)*transfer_ptc,0),0)+IF(I$5=0,$C$48,0)</f>
        <v/>
      </c>
      <c r="J55" s="25">
        <f>IF(sw_credit="PTC",IF(J$5&lt;ptc_years,J49*Credits!J$8*(1+sw_bonus)*transfer_ptc,0),0)+IF(J$5=0,$C$48,0)</f>
        <v/>
      </c>
      <c r="K55" s="25">
        <f>IF(sw_credit="PTC",IF(K$5&lt;ptc_years,K49*Credits!K$8*(1+sw_bonus)*transfer_ptc,0),0)+IF(K$5=0,$C$48,0)</f>
        <v/>
      </c>
      <c r="L55" s="25">
        <f>IF(sw_credit="PTC",IF(L$5&lt;ptc_years,L49*Credits!L$8*(1+sw_bonus)*transfer_ptc,0),0)+IF(L$5=0,$C$48,0)</f>
        <v/>
      </c>
      <c r="M55" s="25">
        <f>IF(sw_credit="PTC",IF(M$5&lt;ptc_years,M49*Credits!M$8*(1+sw_bonus)*transfer_ptc,0),0)+IF(M$5=0,$C$48,0)</f>
        <v/>
      </c>
      <c r="N55" s="25">
        <f>IF(sw_credit="PTC",IF(N$5&lt;ptc_years,N49*Credits!N$8*(1+sw_bonus)*transfer_ptc,0),0)+IF(N$5=0,$C$48,0)</f>
        <v/>
      </c>
      <c r="O55" s="25">
        <f>IF(sw_credit="PTC",IF(O$5&lt;ptc_years,O49*Credits!O$8*(1+sw_bonus)*transfer_ptc,0),0)+IF(O$5=0,$C$48,0)</f>
        <v/>
      </c>
      <c r="P55" s="25">
        <f>IF(sw_credit="PTC",IF(P$5&lt;ptc_years,P49*Credits!P$8*(1+sw_bonus)*transfer_ptc,0),0)+IF(P$5=0,$C$48,0)</f>
        <v/>
      </c>
      <c r="Q55" s="25">
        <f>IF(sw_credit="PTC",IF(Q$5&lt;ptc_years,Q49*Credits!Q$8*(1+sw_bonus)*transfer_ptc,0),0)+IF(Q$5=0,$C$48,0)</f>
        <v/>
      </c>
      <c r="R55" s="25">
        <f>IF(sw_credit="PTC",IF(R$5&lt;ptc_years,R49*Credits!R$8*(1+sw_bonus)*transfer_ptc,0),0)+IF(R$5=0,$C$48,0)</f>
        <v/>
      </c>
      <c r="S55" s="25">
        <f>IF(sw_credit="PTC",IF(S$5&lt;ptc_years,S49*Credits!S$8*(1+sw_bonus)*transfer_ptc,0),0)+IF(S$5=0,$C$48,0)</f>
        <v/>
      </c>
      <c r="T55" s="25">
        <f>IF(sw_credit="PTC",IF(T$5&lt;ptc_years,T49*Credits!T$8*(1+sw_bonus)*transfer_ptc,0),0)+IF(T$5=0,$C$48,0)</f>
        <v/>
      </c>
      <c r="U55" s="25">
        <f>IF(sw_credit="PTC",IF(U$5&lt;ptc_years,U49*Credits!U$8*(1+sw_bonus)*transfer_ptc,0),0)+IF(U$5=0,$C$48,0)</f>
        <v/>
      </c>
      <c r="V55" s="25">
        <f>IF(sw_credit="PTC",IF(V$5&lt;ptc_years,V49*Credits!V$8*(1+sw_bonus)*transfer_ptc,0),0)+IF(V$5=0,$C$48,0)</f>
        <v/>
      </c>
      <c r="W55" s="25">
        <f>IF(sw_credit="PTC",IF(W$5&lt;ptc_years,W49*Credits!W$8*(1+sw_bonus)*transfer_ptc,0),0)+IF(W$5=0,$C$48,0)</f>
        <v/>
      </c>
      <c r="X55" s="25">
        <f>IF(sw_credit="PTC",IF(X$5&lt;ptc_years,X49*Credits!X$8*(1+sw_bonus)*transfer_ptc,0),0)+IF(X$5=0,$C$48,0)</f>
        <v/>
      </c>
      <c r="Y55" s="25">
        <f>IF(sw_credit="PTC",IF(Y$5&lt;ptc_years,Y49*Credits!Y$8*(1+sw_bonus)*transfer_ptc,0),0)+IF(Y$5=0,$C$48,0)</f>
        <v/>
      </c>
      <c r="Z55" s="25">
        <f>IF(sw_credit="PTC",IF(Z$5&lt;ptc_years,Z49*Credits!Z$8*(1+sw_bonus)*transfer_ptc,0),0)+IF(Z$5=0,$C$48,0)</f>
        <v/>
      </c>
      <c r="AA55" s="25">
        <f>IF(sw_credit="PTC",IF(AA$5&lt;ptc_years,AA49*Credits!AA$8*(1+sw_bonus)*transfer_ptc,0),0)+IF(AA$5=0,$C$48,0)</f>
        <v/>
      </c>
      <c r="AB55" s="25">
        <f>IF(sw_credit="PTC",IF(AB$5&lt;ptc_years,AB49*Credits!AB$8*(1+sw_bonus)*transfer_ptc,0),0)+IF(AB$5=0,$C$48,0)</f>
        <v/>
      </c>
      <c r="AC55" s="25">
        <f>IF(sw_credit="PTC",IF(AC$5&lt;ptc_years,AC49*Credits!AC$8*(1+sw_bonus)*transfer_ptc,0),0)+IF(AC$5=0,$C$48,0)</f>
        <v/>
      </c>
      <c r="AD55" s="25">
        <f>IF(sw_credit="PTC",IF(AD$5&lt;ptc_years,AD49*Credits!AD$8*(1+sw_bonus)*transfer_ptc,0),0)+IF(AD$5=0,$C$48,0)</f>
        <v/>
      </c>
      <c r="AE55" s="25">
        <f>IF(sw_credit="PTC",IF(AE$5&lt;ptc_years,AE49*Credits!AE$8*(1+sw_bonus)*transfer_ptc,0),0)+IF(AE$5=0,$C$48,0)</f>
        <v/>
      </c>
      <c r="AF55" s="25">
        <f>IF(sw_credit="PTC",IF(AF$5&lt;ptc_years,AF49*Credits!AF$8*(1+sw_bonus)*transfer_ptc,0),0)+IF(AF$5=0,$C$48,0)</f>
        <v/>
      </c>
      <c r="AG55" s="25">
        <f>IF(sw_credit="PTC",IF(AG$5&lt;ptc_years,AG49*Credits!AG$8*(1+sw_bonus)*transfer_ptc,0),0)+IF(AG$5=0,$C$48,0)</f>
        <v/>
      </c>
      <c r="AH55" s="25">
        <f>IF(sw_credit="PTC",IF(AH$5&lt;ptc_years,AH49*Credits!AH$8*(1+sw_bonus)*transfer_ptc,0),0)+IF(AH$5=0,$C$48,0)</f>
        <v/>
      </c>
      <c r="AI55" s="25">
        <f>IF(sw_credit="PTC",IF(AI$5&lt;ptc_years,AI49*Credits!AI$8*(1+sw_bonus)*transfer_ptc,0),0)+IF(AI$5=0,$C$48,0)</f>
        <v/>
      </c>
      <c r="AJ55" s="25">
        <f>IF(sw_credit="PTC",IF(AJ$5&lt;ptc_years,AJ49*Credits!AJ$8*(1+sw_bonus)*transfer_ptc,0),0)+IF(AJ$5=0,$C$48,0)</f>
        <v/>
      </c>
      <c r="AK55" s="25">
        <f>IF(sw_credit="PTC",IF(AK$5&lt;ptc_years,AK49*Credits!AK$8*(1+sw_bonus)*transfer_ptc,0),0)+IF(AK$5=0,$C$48,0)</f>
        <v/>
      </c>
      <c r="AL55" s="25">
        <f>IF(sw_credit="PTC",IF(AL$5&lt;ptc_years,AL49*Credits!AL$8*(1+sw_bonus)*transfer_ptc,0),0)+IF(AL$5=0,$C$48,0)</f>
        <v/>
      </c>
    </row>
    <row r="56">
      <c r="B56" s="14" t="inlineStr">
        <is>
          <t>EBITDA ($)</t>
        </is>
      </c>
      <c r="D56" s="26">
        <f>D51+D52-D53-D54</f>
        <v/>
      </c>
      <c r="E56" s="26">
        <f>E51+E52-E53-E54</f>
        <v/>
      </c>
      <c r="F56" s="26">
        <f>F51+F52-F53-F54</f>
        <v/>
      </c>
      <c r="G56" s="26">
        <f>G51+G52-G53-G54</f>
        <v/>
      </c>
      <c r="H56" s="26">
        <f>H51+H52-H53-H54</f>
        <v/>
      </c>
      <c r="I56" s="26">
        <f>I51+I52-I53-I54</f>
        <v/>
      </c>
      <c r="J56" s="26">
        <f>J51+J52-J53-J54</f>
        <v/>
      </c>
      <c r="K56" s="26">
        <f>K51+K52-K53-K54</f>
        <v/>
      </c>
      <c r="L56" s="26">
        <f>L51+L52-L53-L54</f>
        <v/>
      </c>
      <c r="M56" s="26">
        <f>M51+M52-M53-M54</f>
        <v/>
      </c>
      <c r="N56" s="26">
        <f>N51+N52-N53-N54</f>
        <v/>
      </c>
      <c r="O56" s="26">
        <f>O51+O52-O53-O54</f>
        <v/>
      </c>
      <c r="P56" s="26">
        <f>P51+P52-P53-P54</f>
        <v/>
      </c>
      <c r="Q56" s="26">
        <f>Q51+Q52-Q53-Q54</f>
        <v/>
      </c>
      <c r="R56" s="26">
        <f>R51+R52-R53-R54</f>
        <v/>
      </c>
      <c r="S56" s="26">
        <f>S51+S52-S53-S54</f>
        <v/>
      </c>
      <c r="T56" s="26">
        <f>T51+T52-T53-T54</f>
        <v/>
      </c>
      <c r="U56" s="26">
        <f>U51+U52-U53-U54</f>
        <v/>
      </c>
      <c r="V56" s="26">
        <f>V51+V52-V53-V54</f>
        <v/>
      </c>
      <c r="W56" s="26">
        <f>W51+W52-W53-W54</f>
        <v/>
      </c>
      <c r="X56" s="26">
        <f>X51+X52-X53-X54</f>
        <v/>
      </c>
      <c r="Y56" s="26">
        <f>Y51+Y52-Y53-Y54</f>
        <v/>
      </c>
      <c r="Z56" s="26">
        <f>Z51+Z52-Z53-Z54</f>
        <v/>
      </c>
      <c r="AA56" s="26">
        <f>AA51+AA52-AA53-AA54</f>
        <v/>
      </c>
      <c r="AB56" s="26">
        <f>AB51+AB52-AB53-AB54</f>
        <v/>
      </c>
      <c r="AC56" s="26">
        <f>AC51+AC52-AC53-AC54</f>
        <v/>
      </c>
      <c r="AD56" s="26">
        <f>AD51+AD52-AD53-AD54</f>
        <v/>
      </c>
      <c r="AE56" s="26">
        <f>AE51+AE52-AE53-AE54</f>
        <v/>
      </c>
      <c r="AF56" s="26">
        <f>AF51+AF52-AF53-AF54</f>
        <v/>
      </c>
      <c r="AG56" s="26">
        <f>AG51+AG52-AG53-AG54</f>
        <v/>
      </c>
      <c r="AH56" s="26">
        <f>AH51+AH52-AH53-AH54</f>
        <v/>
      </c>
      <c r="AI56" s="26">
        <f>AI51+AI52-AI53-AI54</f>
        <v/>
      </c>
      <c r="AJ56" s="26">
        <f>AJ51+AJ52-AJ53-AJ54</f>
        <v/>
      </c>
      <c r="AK56" s="26">
        <f>AK51+AK52-AK53-AK54</f>
        <v/>
      </c>
      <c r="AL56" s="26">
        <f>AL51+AL52-AL53-AL54</f>
        <v/>
      </c>
    </row>
    <row r="57">
      <c r="B57" s="7" t="inlineStr">
        <is>
          <t>Discount factor to 1 January 2027, contracted rate</t>
        </is>
      </c>
      <c r="D57" s="22">
        <f>1/(1+x_rc)^(D$5+2)</f>
        <v/>
      </c>
      <c r="E57" s="22">
        <f>1/(1+x_rc)^(E$5+2)</f>
        <v/>
      </c>
      <c r="F57" s="22">
        <f>1/(1+x_rc)^(F$5+2)</f>
        <v/>
      </c>
      <c r="G57" s="22">
        <f>1/(1+x_rc)^(G$5+2)</f>
        <v/>
      </c>
      <c r="H57" s="22">
        <f>1/(1+x_rc)^(H$5+2)</f>
        <v/>
      </c>
      <c r="I57" s="22">
        <f>1/(1+x_rc)^(I$5+2)</f>
        <v/>
      </c>
      <c r="J57" s="22">
        <f>1/(1+x_rc)^(J$5+2)</f>
        <v/>
      </c>
      <c r="K57" s="22">
        <f>1/(1+x_rc)^(K$5+2)</f>
        <v/>
      </c>
      <c r="L57" s="22">
        <f>1/(1+x_rc)^(L$5+2)</f>
        <v/>
      </c>
      <c r="M57" s="22">
        <f>1/(1+x_rc)^(M$5+2)</f>
        <v/>
      </c>
      <c r="N57" s="22">
        <f>1/(1+x_rc)^(N$5+2)</f>
        <v/>
      </c>
      <c r="O57" s="22">
        <f>1/(1+x_rc)^(O$5+2)</f>
        <v/>
      </c>
      <c r="P57" s="22">
        <f>1/(1+x_rc)^(P$5+2)</f>
        <v/>
      </c>
      <c r="Q57" s="22">
        <f>1/(1+x_rc)^(Q$5+2)</f>
        <v/>
      </c>
      <c r="R57" s="22">
        <f>1/(1+x_rc)^(R$5+2)</f>
        <v/>
      </c>
      <c r="S57" s="22">
        <f>1/(1+x_rc)^(S$5+2)</f>
        <v/>
      </c>
      <c r="T57" s="22">
        <f>1/(1+x_rc)^(T$5+2)</f>
        <v/>
      </c>
      <c r="U57" s="22">
        <f>1/(1+x_rc)^(U$5+2)</f>
        <v/>
      </c>
      <c r="V57" s="22">
        <f>1/(1+x_rc)^(V$5+2)</f>
        <v/>
      </c>
      <c r="W57" s="22">
        <f>1/(1+x_rc)^(W$5+2)</f>
        <v/>
      </c>
      <c r="X57" s="22">
        <f>1/(1+x_rc)^(X$5+2)</f>
        <v/>
      </c>
      <c r="Y57" s="22">
        <f>1/(1+x_rc)^(Y$5+2)</f>
        <v/>
      </c>
      <c r="Z57" s="22">
        <f>1/(1+x_rc)^(Z$5+2)</f>
        <v/>
      </c>
      <c r="AA57" s="22">
        <f>1/(1+x_rc)^(AA$5+2)</f>
        <v/>
      </c>
      <c r="AB57" s="22">
        <f>1/(1+x_rc)^(AB$5+2)</f>
        <v/>
      </c>
      <c r="AC57" s="22">
        <f>1/(1+x_rc)^(AC$5+2)</f>
        <v/>
      </c>
      <c r="AD57" s="22">
        <f>1/(1+x_rc)^(AD$5+2)</f>
        <v/>
      </c>
      <c r="AE57" s="22">
        <f>1/(1+x_rc)^(AE$5+2)</f>
        <v/>
      </c>
      <c r="AF57" s="22">
        <f>1/(1+x_rc)^(AF$5+2)</f>
        <v/>
      </c>
      <c r="AG57" s="22">
        <f>1/(1+x_rc)^(AG$5+2)</f>
        <v/>
      </c>
      <c r="AH57" s="22">
        <f>1/(1+x_rc)^(AH$5+2)</f>
        <v/>
      </c>
      <c r="AI57" s="22">
        <f>1/(1+x_rc)^(AI$5+2)</f>
        <v/>
      </c>
      <c r="AJ57" s="22">
        <f>1/(1+x_rc)^(AJ$5+2)</f>
        <v/>
      </c>
      <c r="AK57" s="22">
        <f>1/(1+x_rc)^(AK$5+2)</f>
        <v/>
      </c>
      <c r="AL57" s="22">
        <f>1/(1+x_rc)^(AL$5+2)</f>
        <v/>
      </c>
    </row>
    <row r="58">
      <c r="B58" s="7" t="inlineStr">
        <is>
          <t>Discount factor to 1 January 2027, merchant rate</t>
        </is>
      </c>
      <c r="D58" s="22">
        <f>1/(1+x_rm)^(D$5+2)</f>
        <v/>
      </c>
      <c r="E58" s="22">
        <f>1/(1+x_rm)^(E$5+2)</f>
        <v/>
      </c>
      <c r="F58" s="22">
        <f>1/(1+x_rm)^(F$5+2)</f>
        <v/>
      </c>
      <c r="G58" s="22">
        <f>1/(1+x_rm)^(G$5+2)</f>
        <v/>
      </c>
      <c r="H58" s="22">
        <f>1/(1+x_rm)^(H$5+2)</f>
        <v/>
      </c>
      <c r="I58" s="22">
        <f>1/(1+x_rm)^(I$5+2)</f>
        <v/>
      </c>
      <c r="J58" s="22">
        <f>1/(1+x_rm)^(J$5+2)</f>
        <v/>
      </c>
      <c r="K58" s="22">
        <f>1/(1+x_rm)^(K$5+2)</f>
        <v/>
      </c>
      <c r="L58" s="22">
        <f>1/(1+x_rm)^(L$5+2)</f>
        <v/>
      </c>
      <c r="M58" s="22">
        <f>1/(1+x_rm)^(M$5+2)</f>
        <v/>
      </c>
      <c r="N58" s="22">
        <f>1/(1+x_rm)^(N$5+2)</f>
        <v/>
      </c>
      <c r="O58" s="22">
        <f>1/(1+x_rm)^(O$5+2)</f>
        <v/>
      </c>
      <c r="P58" s="22">
        <f>1/(1+x_rm)^(P$5+2)</f>
        <v/>
      </c>
      <c r="Q58" s="22">
        <f>1/(1+x_rm)^(Q$5+2)</f>
        <v/>
      </c>
      <c r="R58" s="22">
        <f>1/(1+x_rm)^(R$5+2)</f>
        <v/>
      </c>
      <c r="S58" s="22">
        <f>1/(1+x_rm)^(S$5+2)</f>
        <v/>
      </c>
      <c r="T58" s="22">
        <f>1/(1+x_rm)^(T$5+2)</f>
        <v/>
      </c>
      <c r="U58" s="22">
        <f>1/(1+x_rm)^(U$5+2)</f>
        <v/>
      </c>
      <c r="V58" s="22">
        <f>1/(1+x_rm)^(V$5+2)</f>
        <v/>
      </c>
      <c r="W58" s="22">
        <f>1/(1+x_rm)^(W$5+2)</f>
        <v/>
      </c>
      <c r="X58" s="22">
        <f>1/(1+x_rm)^(X$5+2)</f>
        <v/>
      </c>
      <c r="Y58" s="22">
        <f>1/(1+x_rm)^(Y$5+2)</f>
        <v/>
      </c>
      <c r="Z58" s="22">
        <f>1/(1+x_rm)^(Z$5+2)</f>
        <v/>
      </c>
      <c r="AA58" s="22">
        <f>1/(1+x_rm)^(AA$5+2)</f>
        <v/>
      </c>
      <c r="AB58" s="22">
        <f>1/(1+x_rm)^(AB$5+2)</f>
        <v/>
      </c>
      <c r="AC58" s="22">
        <f>1/(1+x_rm)^(AC$5+2)</f>
        <v/>
      </c>
      <c r="AD58" s="22">
        <f>1/(1+x_rm)^(AD$5+2)</f>
        <v/>
      </c>
      <c r="AE58" s="22">
        <f>1/(1+x_rm)^(AE$5+2)</f>
        <v/>
      </c>
      <c r="AF58" s="22">
        <f>1/(1+x_rm)^(AF$5+2)</f>
        <v/>
      </c>
      <c r="AG58" s="22">
        <f>1/(1+x_rm)^(AG$5+2)</f>
        <v/>
      </c>
      <c r="AH58" s="22">
        <f>1/(1+x_rm)^(AH$5+2)</f>
        <v/>
      </c>
      <c r="AI58" s="22">
        <f>1/(1+x_rm)^(AI$5+2)</f>
        <v/>
      </c>
      <c r="AJ58" s="22">
        <f>1/(1+x_rm)^(AJ$5+2)</f>
        <v/>
      </c>
      <c r="AK58" s="22">
        <f>1/(1+x_rm)^(AK$5+2)</f>
        <v/>
      </c>
      <c r="AL58" s="22">
        <f>1/(1+x_rm)^(AL$5+2)</f>
        <v/>
      </c>
    </row>
    <row r="59">
      <c r="B59" s="7" t="inlineStr">
        <is>
          <t>Value on 1 January 2027 of the flows from 2028 (split rates) ($)</t>
        </is>
      </c>
      <c r="C59" s="25">
        <f>SUMPRODUCT($D$51:$AL$51,$D$57:$AL$57)+SUMPRODUCT($D$55:$AL$55,$D$57:$AL$57)-SUMPRODUCT($D$53:$AL$53,$D$57:$AL$57)-SUMPRODUCT($D$54:$AL$54,$D$57:$AL$57)+SUMPRODUCT($D$52:$AL$52,$D$58:$AL$58)-decom_end/(1+x_rc)^(life_years+1)</f>
        <v/>
      </c>
    </row>
    <row r="60">
      <c r="B60" s="14" t="inlineStr">
        <is>
          <t>Development value on 1 January 2027: value less the capital cost ($)</t>
        </is>
      </c>
      <c r="C60" s="26">
        <f>C59-C46/(1+x_rc)</f>
        <v/>
      </c>
    </row>
    <row r="61">
      <c r="B61" s="7" t="inlineStr">
        <is>
          <t>Highest premium Ashgrove can pay at NTP ($)</t>
        </is>
      </c>
      <c r="C61" s="25">
        <f>C60-reimb+reimb/(1+x_rc)</f>
        <v/>
      </c>
    </row>
    <row r="64">
      <c r="B64" s="6" t="inlineStr">
        <is>
          <t>P90 ten-year energy, case U</t>
        </is>
      </c>
    </row>
    <row r="65">
      <c r="B65" s="7" t="inlineStr">
        <is>
          <t>Capital cost ($)</t>
        </is>
      </c>
      <c r="C65" s="25">
        <f>((x_module+x_tracker+x_bos)*mwdc*1000000+x_inverter*mwac*1000000+x_sub)*(1+contingency)+x_ic+owner</f>
        <v/>
      </c>
    </row>
    <row r="66">
      <c r="B66" s="7" t="inlineStr">
        <is>
          <t>ITC eligible basis ($)</t>
        </is>
      </c>
      <c r="C66" s="25">
        <f>((x_module+x_tracker+x_bos)*mwdc*1000000+x_inverter*mwac*1000000+x_sub)*(1+contingency)-gentie_share*x_sub</f>
        <v/>
      </c>
    </row>
    <row r="67">
      <c r="B67" s="7" t="inlineStr">
        <is>
          <t>ITC cash at the end of 2028, if elected ($)</t>
        </is>
      </c>
      <c r="C67" s="25">
        <f>IF(sw_credit="ITC",C66*(itc_rate+sw_bonus)*transfer_itc,0)</f>
        <v/>
      </c>
    </row>
    <row r="68">
      <c r="B68" s="7" t="inlineStr">
        <is>
          <t>Energy (MWh)</t>
        </is>
      </c>
      <c r="D68" s="23">
        <f>mwac*hours*cf_p50*Energy!D$7*p90_10</f>
        <v/>
      </c>
      <c r="E68" s="23">
        <f>mwac*hours*cf_p50*Energy!E$7*p90_10</f>
        <v/>
      </c>
      <c r="F68" s="23">
        <f>mwac*hours*cf_p50*Energy!F$7*p90_10</f>
        <v/>
      </c>
      <c r="G68" s="23">
        <f>mwac*hours*cf_p50*Energy!G$7*p90_10</f>
        <v/>
      </c>
      <c r="H68" s="23">
        <f>mwac*hours*cf_p50*Energy!H$7*p90_10</f>
        <v/>
      </c>
      <c r="I68" s="23">
        <f>mwac*hours*cf_p50*Energy!I$7*p90_10</f>
        <v/>
      </c>
      <c r="J68" s="23">
        <f>mwac*hours*cf_p50*Energy!J$7*p90_10</f>
        <v/>
      </c>
      <c r="K68" s="23">
        <f>mwac*hours*cf_p50*Energy!K$7*p90_10</f>
        <v/>
      </c>
      <c r="L68" s="23">
        <f>mwac*hours*cf_p50*Energy!L$7*p90_10</f>
        <v/>
      </c>
      <c r="M68" s="23">
        <f>mwac*hours*cf_p50*Energy!M$7*p90_10</f>
        <v/>
      </c>
      <c r="N68" s="23">
        <f>mwac*hours*cf_p50*Energy!N$7*p90_10</f>
        <v/>
      </c>
      <c r="O68" s="23">
        <f>mwac*hours*cf_p50*Energy!O$7*p90_10</f>
        <v/>
      </c>
      <c r="P68" s="23">
        <f>mwac*hours*cf_p50*Energy!P$7*p90_10</f>
        <v/>
      </c>
      <c r="Q68" s="23">
        <f>mwac*hours*cf_p50*Energy!Q$7*p90_10</f>
        <v/>
      </c>
      <c r="R68" s="23">
        <f>mwac*hours*cf_p50*Energy!R$7*p90_10</f>
        <v/>
      </c>
      <c r="S68" s="23">
        <f>mwac*hours*cf_p50*Energy!S$7*p90_10</f>
        <v/>
      </c>
      <c r="T68" s="23">
        <f>mwac*hours*cf_p50*Energy!T$7*p90_10</f>
        <v/>
      </c>
      <c r="U68" s="23">
        <f>mwac*hours*cf_p50*Energy!U$7*p90_10</f>
        <v/>
      </c>
      <c r="V68" s="23">
        <f>mwac*hours*cf_p50*Energy!V$7*p90_10</f>
        <v/>
      </c>
      <c r="W68" s="23">
        <f>mwac*hours*cf_p50*Energy!W$7*p90_10</f>
        <v/>
      </c>
      <c r="X68" s="23">
        <f>mwac*hours*cf_p50*Energy!X$7*p90_10</f>
        <v/>
      </c>
      <c r="Y68" s="23">
        <f>mwac*hours*cf_p50*Energy!Y$7*p90_10</f>
        <v/>
      </c>
      <c r="Z68" s="23">
        <f>mwac*hours*cf_p50*Energy!Z$7*p90_10</f>
        <v/>
      </c>
      <c r="AA68" s="23">
        <f>mwac*hours*cf_p50*Energy!AA$7*p90_10</f>
        <v/>
      </c>
      <c r="AB68" s="23">
        <f>mwac*hours*cf_p50*Energy!AB$7*p90_10</f>
        <v/>
      </c>
      <c r="AC68" s="23">
        <f>mwac*hours*cf_p50*Energy!AC$7*p90_10</f>
        <v/>
      </c>
      <c r="AD68" s="23">
        <f>mwac*hours*cf_p50*Energy!AD$7*p90_10</f>
        <v/>
      </c>
      <c r="AE68" s="23">
        <f>mwac*hours*cf_p50*Energy!AE$7*p90_10</f>
        <v/>
      </c>
      <c r="AF68" s="23">
        <f>mwac*hours*cf_p50*Energy!AF$7*p90_10</f>
        <v/>
      </c>
      <c r="AG68" s="23">
        <f>mwac*hours*cf_p50*Energy!AG$7*p90_10</f>
        <v/>
      </c>
      <c r="AH68" s="23">
        <f>mwac*hours*cf_p50*Energy!AH$7*p90_10</f>
        <v/>
      </c>
      <c r="AI68" s="23">
        <f>mwac*hours*cf_p50*Energy!AI$7*p90_10</f>
        <v/>
      </c>
      <c r="AJ68" s="23">
        <f>mwac*hours*cf_p50*Energy!AJ$7*p90_10</f>
        <v/>
      </c>
      <c r="AK68" s="23">
        <f>mwac*hours*cf_p50*Energy!AK$7*p90_10</f>
        <v/>
      </c>
      <c r="AL68" s="23">
        <f>mwac*hours*cf_p50*Energy!AL$7*p90_10</f>
        <v/>
      </c>
    </row>
    <row r="69">
      <c r="B69" s="7" t="inlineStr">
        <is>
          <t>Node price, hub switch applied ($/MWh)</t>
        </is>
      </c>
      <c r="D69" s="32">
        <f>Market!D$7*(1+sw_hub)*Market!D$8+Market!D$10</f>
        <v/>
      </c>
      <c r="E69" s="32">
        <f>Market!E$7*(1+sw_hub)*Market!E$8+Market!E$10</f>
        <v/>
      </c>
      <c r="F69" s="32">
        <f>Market!F$7*(1+sw_hub)*Market!F$8+Market!F$10</f>
        <v/>
      </c>
      <c r="G69" s="32">
        <f>Market!G$7*(1+sw_hub)*Market!G$8+Market!G$10</f>
        <v/>
      </c>
      <c r="H69" s="32">
        <f>Market!H$7*(1+sw_hub)*Market!H$8+Market!H$10</f>
        <v/>
      </c>
      <c r="I69" s="32">
        <f>Market!I$7*(1+sw_hub)*Market!I$8+Market!I$10</f>
        <v/>
      </c>
      <c r="J69" s="32">
        <f>Market!J$7*(1+sw_hub)*Market!J$8+Market!J$10</f>
        <v/>
      </c>
      <c r="K69" s="32">
        <f>Market!K$7*(1+sw_hub)*Market!K$8+Market!K$10</f>
        <v/>
      </c>
      <c r="L69" s="32">
        <f>Market!L$7*(1+sw_hub)*Market!L$8+Market!L$10</f>
        <v/>
      </c>
      <c r="M69" s="32">
        <f>Market!M$7*(1+sw_hub)*Market!M$8+Market!M$10</f>
        <v/>
      </c>
      <c r="N69" s="32">
        <f>Market!N$7*(1+sw_hub)*Market!N$8+Market!N$10</f>
        <v/>
      </c>
      <c r="O69" s="32">
        <f>Market!O$7*(1+sw_hub)*Market!O$8+Market!O$10</f>
        <v/>
      </c>
      <c r="P69" s="32">
        <f>Market!P$7*(1+sw_hub)*Market!P$8+Market!P$10</f>
        <v/>
      </c>
      <c r="Q69" s="32">
        <f>Market!Q$7*(1+sw_hub)*Market!Q$8+Market!Q$10</f>
        <v/>
      </c>
      <c r="R69" s="32">
        <f>Market!R$7*(1+sw_hub)*Market!R$8+Market!R$10</f>
        <v/>
      </c>
      <c r="S69" s="32">
        <f>Market!S$7*(1+sw_hub)*Market!S$8+Market!S$10</f>
        <v/>
      </c>
      <c r="T69" s="32">
        <f>Market!T$7*(1+sw_hub)*Market!T$8+Market!T$10</f>
        <v/>
      </c>
      <c r="U69" s="32">
        <f>Market!U$7*(1+sw_hub)*Market!U$8+Market!U$10</f>
        <v/>
      </c>
      <c r="V69" s="32">
        <f>Market!V$7*(1+sw_hub)*Market!V$8+Market!V$10</f>
        <v/>
      </c>
      <c r="W69" s="32">
        <f>Market!W$7*(1+sw_hub)*Market!W$8+Market!W$10</f>
        <v/>
      </c>
      <c r="X69" s="32">
        <f>Market!X$7*(1+sw_hub)*Market!X$8+Market!X$10</f>
        <v/>
      </c>
      <c r="Y69" s="32">
        <f>Market!Y$7*(1+sw_hub)*Market!Y$8+Market!Y$10</f>
        <v/>
      </c>
      <c r="Z69" s="32">
        <f>Market!Z$7*(1+sw_hub)*Market!Z$8+Market!Z$10</f>
        <v/>
      </c>
      <c r="AA69" s="32">
        <f>Market!AA$7*(1+sw_hub)*Market!AA$8+Market!AA$10</f>
        <v/>
      </c>
      <c r="AB69" s="32">
        <f>Market!AB$7*(1+sw_hub)*Market!AB$8+Market!AB$10</f>
        <v/>
      </c>
      <c r="AC69" s="32">
        <f>Market!AC$7*(1+sw_hub)*Market!AC$8+Market!AC$10</f>
        <v/>
      </c>
      <c r="AD69" s="32">
        <f>Market!AD$7*(1+sw_hub)*Market!AD$8+Market!AD$10</f>
        <v/>
      </c>
      <c r="AE69" s="32">
        <f>Market!AE$7*(1+sw_hub)*Market!AE$8+Market!AE$10</f>
        <v/>
      </c>
      <c r="AF69" s="32">
        <f>Market!AF$7*(1+sw_hub)*Market!AF$8+Market!AF$10</f>
        <v/>
      </c>
      <c r="AG69" s="32">
        <f>Market!AG$7*(1+sw_hub)*Market!AG$8+Market!AG$10</f>
        <v/>
      </c>
      <c r="AH69" s="32">
        <f>Market!AH$7*(1+sw_hub)*Market!AH$8+Market!AH$10</f>
        <v/>
      </c>
      <c r="AI69" s="32">
        <f>Market!AI$7*(1+sw_hub)*Market!AI$8+Market!AI$10</f>
        <v/>
      </c>
      <c r="AJ69" s="32">
        <f>Market!AJ$7*(1+sw_hub)*Market!AJ$8+Market!AJ$10</f>
        <v/>
      </c>
      <c r="AK69" s="32">
        <f>Market!AK$7*(1+sw_hub)*Market!AK$8+Market!AK$10</f>
        <v/>
      </c>
      <c r="AL69" s="32">
        <f>Market!AL$7*(1+sw_hub)*Market!AL$8+Market!AL$10</f>
        <v/>
      </c>
    </row>
    <row r="70">
      <c r="B70" s="7" t="inlineStr">
        <is>
          <t>Contracted revenue ($)</t>
        </is>
      </c>
      <c r="D70" s="25">
        <f>IF(D$5&lt;u_years,D68*u_price*(1+u_esc)^D$5,0)</f>
        <v/>
      </c>
      <c r="E70" s="25">
        <f>IF(E$5&lt;u_years,E68*u_price*(1+u_esc)^E$5,0)</f>
        <v/>
      </c>
      <c r="F70" s="25">
        <f>IF(F$5&lt;u_years,F68*u_price*(1+u_esc)^F$5,0)</f>
        <v/>
      </c>
      <c r="G70" s="25">
        <f>IF(G$5&lt;u_years,G68*u_price*(1+u_esc)^G$5,0)</f>
        <v/>
      </c>
      <c r="H70" s="25">
        <f>IF(H$5&lt;u_years,H68*u_price*(1+u_esc)^H$5,0)</f>
        <v/>
      </c>
      <c r="I70" s="25">
        <f>IF(I$5&lt;u_years,I68*u_price*(1+u_esc)^I$5,0)</f>
        <v/>
      </c>
      <c r="J70" s="25">
        <f>IF(J$5&lt;u_years,J68*u_price*(1+u_esc)^J$5,0)</f>
        <v/>
      </c>
      <c r="K70" s="25">
        <f>IF(K$5&lt;u_years,K68*u_price*(1+u_esc)^K$5,0)</f>
        <v/>
      </c>
      <c r="L70" s="25">
        <f>IF(L$5&lt;u_years,L68*u_price*(1+u_esc)^L$5,0)</f>
        <v/>
      </c>
      <c r="M70" s="25">
        <f>IF(M$5&lt;u_years,M68*u_price*(1+u_esc)^M$5,0)</f>
        <v/>
      </c>
      <c r="N70" s="25">
        <f>IF(N$5&lt;u_years,N68*u_price*(1+u_esc)^N$5,0)</f>
        <v/>
      </c>
      <c r="O70" s="25">
        <f>IF(O$5&lt;u_years,O68*u_price*(1+u_esc)^O$5,0)</f>
        <v/>
      </c>
      <c r="P70" s="25">
        <f>IF(P$5&lt;u_years,P68*u_price*(1+u_esc)^P$5,0)</f>
        <v/>
      </c>
      <c r="Q70" s="25">
        <f>IF(Q$5&lt;u_years,Q68*u_price*(1+u_esc)^Q$5,0)</f>
        <v/>
      </c>
      <c r="R70" s="25">
        <f>IF(R$5&lt;u_years,R68*u_price*(1+u_esc)^R$5,0)</f>
        <v/>
      </c>
      <c r="S70" s="25">
        <f>IF(S$5&lt;u_years,S68*u_price*(1+u_esc)^S$5,0)</f>
        <v/>
      </c>
      <c r="T70" s="25">
        <f>IF(T$5&lt;u_years,T68*u_price*(1+u_esc)^T$5,0)</f>
        <v/>
      </c>
      <c r="U70" s="25">
        <f>IF(U$5&lt;u_years,U68*u_price*(1+u_esc)^U$5,0)</f>
        <v/>
      </c>
      <c r="V70" s="25">
        <f>IF(V$5&lt;u_years,V68*u_price*(1+u_esc)^V$5,0)</f>
        <v/>
      </c>
      <c r="W70" s="25">
        <f>IF(W$5&lt;u_years,W68*u_price*(1+u_esc)^W$5,0)</f>
        <v/>
      </c>
      <c r="X70" s="25">
        <f>IF(X$5&lt;u_years,X68*u_price*(1+u_esc)^X$5,0)</f>
        <v/>
      </c>
      <c r="Y70" s="25">
        <f>IF(Y$5&lt;u_years,Y68*u_price*(1+u_esc)^Y$5,0)</f>
        <v/>
      </c>
      <c r="Z70" s="25">
        <f>IF(Z$5&lt;u_years,Z68*u_price*(1+u_esc)^Z$5,0)</f>
        <v/>
      </c>
      <c r="AA70" s="25">
        <f>IF(AA$5&lt;u_years,AA68*u_price*(1+u_esc)^AA$5,0)</f>
        <v/>
      </c>
      <c r="AB70" s="25">
        <f>IF(AB$5&lt;u_years,AB68*u_price*(1+u_esc)^AB$5,0)</f>
        <v/>
      </c>
      <c r="AC70" s="25">
        <f>IF(AC$5&lt;u_years,AC68*u_price*(1+u_esc)^AC$5,0)</f>
        <v/>
      </c>
      <c r="AD70" s="25">
        <f>IF(AD$5&lt;u_years,AD68*u_price*(1+u_esc)^AD$5,0)</f>
        <v/>
      </c>
      <c r="AE70" s="25">
        <f>IF(AE$5&lt;u_years,AE68*u_price*(1+u_esc)^AE$5,0)</f>
        <v/>
      </c>
      <c r="AF70" s="25">
        <f>IF(AF$5&lt;u_years,AF68*u_price*(1+u_esc)^AF$5,0)</f>
        <v/>
      </c>
      <c r="AG70" s="25">
        <f>IF(AG$5&lt;u_years,AG68*u_price*(1+u_esc)^AG$5,0)</f>
        <v/>
      </c>
      <c r="AH70" s="25">
        <f>IF(AH$5&lt;u_years,AH68*u_price*(1+u_esc)^AH$5,0)</f>
        <v/>
      </c>
      <c r="AI70" s="25">
        <f>IF(AI$5&lt;u_years,AI68*u_price*(1+u_esc)^AI$5,0)</f>
        <v/>
      </c>
      <c r="AJ70" s="25">
        <f>IF(AJ$5&lt;u_years,AJ68*u_price*(1+u_esc)^AJ$5,0)</f>
        <v/>
      </c>
      <c r="AK70" s="25">
        <f>IF(AK$5&lt;u_years,AK68*u_price*(1+u_esc)^AK$5,0)</f>
        <v/>
      </c>
      <c r="AL70" s="25">
        <f>IF(AL$5&lt;u_years,AL68*u_price*(1+u_esc)^AL$5,0)</f>
        <v/>
      </c>
    </row>
    <row r="71">
      <c r="B71" s="7" t="inlineStr">
        <is>
          <t>Merchant revenue ($)</t>
        </is>
      </c>
      <c r="D71" s="25">
        <f>IF(D$5&lt;u_years,0,D68*(D69+rec_price)+Market!D$13)</f>
        <v/>
      </c>
      <c r="E71" s="25">
        <f>IF(E$5&lt;u_years,0,E68*(E69+rec_price)+Market!E$13)</f>
        <v/>
      </c>
      <c r="F71" s="25">
        <f>IF(F$5&lt;u_years,0,F68*(F69+rec_price)+Market!F$13)</f>
        <v/>
      </c>
      <c r="G71" s="25">
        <f>IF(G$5&lt;u_years,0,G68*(G69+rec_price)+Market!G$13)</f>
        <v/>
      </c>
      <c r="H71" s="25">
        <f>IF(H$5&lt;u_years,0,H68*(H69+rec_price)+Market!H$13)</f>
        <v/>
      </c>
      <c r="I71" s="25">
        <f>IF(I$5&lt;u_years,0,I68*(I69+rec_price)+Market!I$13)</f>
        <v/>
      </c>
      <c r="J71" s="25">
        <f>IF(J$5&lt;u_years,0,J68*(J69+rec_price)+Market!J$13)</f>
        <v/>
      </c>
      <c r="K71" s="25">
        <f>IF(K$5&lt;u_years,0,K68*(K69+rec_price)+Market!K$13)</f>
        <v/>
      </c>
      <c r="L71" s="25">
        <f>IF(L$5&lt;u_years,0,L68*(L69+rec_price)+Market!L$13)</f>
        <v/>
      </c>
      <c r="M71" s="25">
        <f>IF(M$5&lt;u_years,0,M68*(M69+rec_price)+Market!M$13)</f>
        <v/>
      </c>
      <c r="N71" s="25">
        <f>IF(N$5&lt;u_years,0,N68*(N69+rec_price)+Market!N$13)</f>
        <v/>
      </c>
      <c r="O71" s="25">
        <f>IF(O$5&lt;u_years,0,O68*(O69+rec_price)+Market!O$13)</f>
        <v/>
      </c>
      <c r="P71" s="25">
        <f>IF(P$5&lt;u_years,0,P68*(P69+rec_price)+Market!P$13)</f>
        <v/>
      </c>
      <c r="Q71" s="25">
        <f>IF(Q$5&lt;u_years,0,Q68*(Q69+rec_price)+Market!Q$13)</f>
        <v/>
      </c>
      <c r="R71" s="25">
        <f>IF(R$5&lt;u_years,0,R68*(R69+rec_price)+Market!R$13)</f>
        <v/>
      </c>
      <c r="S71" s="25">
        <f>IF(S$5&lt;u_years,0,S68*(S69+rec_price)+Market!S$13)</f>
        <v/>
      </c>
      <c r="T71" s="25">
        <f>IF(T$5&lt;u_years,0,T68*(T69+rec_price)+Market!T$13)</f>
        <v/>
      </c>
      <c r="U71" s="25">
        <f>IF(U$5&lt;u_years,0,U68*(U69+rec_price)+Market!U$13)</f>
        <v/>
      </c>
      <c r="V71" s="25">
        <f>IF(V$5&lt;u_years,0,V68*(V69+rec_price)+Market!V$13)</f>
        <v/>
      </c>
      <c r="W71" s="25">
        <f>IF(W$5&lt;u_years,0,W68*(W69+rec_price)+Market!W$13)</f>
        <v/>
      </c>
      <c r="X71" s="25">
        <f>IF(X$5&lt;u_years,0,X68*(X69+rec_price)+Market!X$13)</f>
        <v/>
      </c>
      <c r="Y71" s="25">
        <f>IF(Y$5&lt;u_years,0,Y68*(Y69+rec_price)+Market!Y$13)</f>
        <v/>
      </c>
      <c r="Z71" s="25">
        <f>IF(Z$5&lt;u_years,0,Z68*(Z69+rec_price)+Market!Z$13)</f>
        <v/>
      </c>
      <c r="AA71" s="25">
        <f>IF(AA$5&lt;u_years,0,AA68*(AA69+rec_price)+Market!AA$13)</f>
        <v/>
      </c>
      <c r="AB71" s="25">
        <f>IF(AB$5&lt;u_years,0,AB68*(AB69+rec_price)+Market!AB$13)</f>
        <v/>
      </c>
      <c r="AC71" s="25">
        <f>IF(AC$5&lt;u_years,0,AC68*(AC69+rec_price)+Market!AC$13)</f>
        <v/>
      </c>
      <c r="AD71" s="25">
        <f>IF(AD$5&lt;u_years,0,AD68*(AD69+rec_price)+Market!AD$13)</f>
        <v/>
      </c>
      <c r="AE71" s="25">
        <f>IF(AE$5&lt;u_years,0,AE68*(AE69+rec_price)+Market!AE$13)</f>
        <v/>
      </c>
      <c r="AF71" s="25">
        <f>IF(AF$5&lt;u_years,0,AF68*(AF69+rec_price)+Market!AF$13)</f>
        <v/>
      </c>
      <c r="AG71" s="25">
        <f>IF(AG$5&lt;u_years,0,AG68*(AG69+rec_price)+Market!AG$13)</f>
        <v/>
      </c>
      <c r="AH71" s="25">
        <f>IF(AH$5&lt;u_years,0,AH68*(AH69+rec_price)+Market!AH$13)</f>
        <v/>
      </c>
      <c r="AI71" s="25">
        <f>IF(AI$5&lt;u_years,0,AI68*(AI69+rec_price)+Market!AI$13)</f>
        <v/>
      </c>
      <c r="AJ71" s="25">
        <f>IF(AJ$5&lt;u_years,0,AJ68*(AJ69+rec_price)+Market!AJ$13)</f>
        <v/>
      </c>
      <c r="AK71" s="25">
        <f>IF(AK$5&lt;u_years,0,AK68*(AK69+rec_price)+Market!AK$13)</f>
        <v/>
      </c>
      <c r="AL71" s="25">
        <f>IF(AL$5&lt;u_years,0,AL68*(AL69+rec_price)+Market!AL$13)</f>
        <v/>
      </c>
    </row>
    <row r="72">
      <c r="B72" s="7" t="inlineStr">
        <is>
          <t>Basis cost kept by the project ($)</t>
        </is>
      </c>
      <c r="D72" s="25" t="n">
        <v>0</v>
      </c>
      <c r="E72" s="25" t="n">
        <v>0</v>
      </c>
      <c r="F72" s="25" t="n">
        <v>0</v>
      </c>
      <c r="G72" s="25" t="n">
        <v>0</v>
      </c>
      <c r="H72" s="25" t="n">
        <v>0</v>
      </c>
      <c r="I72" s="25" t="n">
        <v>0</v>
      </c>
      <c r="J72" s="25" t="n">
        <v>0</v>
      </c>
      <c r="K72" s="25" t="n">
        <v>0</v>
      </c>
      <c r="L72" s="25" t="n">
        <v>0</v>
      </c>
      <c r="M72" s="25" t="n">
        <v>0</v>
      </c>
      <c r="N72" s="25" t="n">
        <v>0</v>
      </c>
      <c r="O72" s="25" t="n">
        <v>0</v>
      </c>
      <c r="P72" s="25" t="n">
        <v>0</v>
      </c>
      <c r="Q72" s="25" t="n">
        <v>0</v>
      </c>
      <c r="R72" s="25" t="n">
        <v>0</v>
      </c>
      <c r="S72" s="25" t="n">
        <v>0</v>
      </c>
      <c r="T72" s="25" t="n">
        <v>0</v>
      </c>
      <c r="U72" s="25" t="n">
        <v>0</v>
      </c>
      <c r="V72" s="25" t="n">
        <v>0</v>
      </c>
      <c r="W72" s="25" t="n">
        <v>0</v>
      </c>
      <c r="X72" s="25" t="n">
        <v>0</v>
      </c>
      <c r="Y72" s="25" t="n">
        <v>0</v>
      </c>
      <c r="Z72" s="25" t="n">
        <v>0</v>
      </c>
      <c r="AA72" s="25" t="n">
        <v>0</v>
      </c>
      <c r="AB72" s="25" t="n">
        <v>0</v>
      </c>
      <c r="AC72" s="25" t="n">
        <v>0</v>
      </c>
      <c r="AD72" s="25" t="n">
        <v>0</v>
      </c>
      <c r="AE72" s="25" t="n">
        <v>0</v>
      </c>
      <c r="AF72" s="25" t="n">
        <v>0</v>
      </c>
      <c r="AG72" s="25" t="n">
        <v>0</v>
      </c>
      <c r="AH72" s="25" t="n">
        <v>0</v>
      </c>
      <c r="AI72" s="25" t="n">
        <v>0</v>
      </c>
      <c r="AJ72" s="25" t="n">
        <v>0</v>
      </c>
      <c r="AK72" s="25" t="n">
        <v>0</v>
      </c>
      <c r="AL72" s="25" t="n">
        <v>0</v>
      </c>
    </row>
    <row r="73">
      <c r="B73" s="7" t="inlineStr">
        <is>
          <t>Operating cost ($)</t>
        </is>
      </c>
      <c r="D73" s="25">
        <f>(om_kw*mwac*1000+ins_rate*$C$65+am_cost+prop_tax+misc_cost)*Opex!D$7+rent_acre*acres_lease*Opex!D$8</f>
        <v/>
      </c>
      <c r="E73" s="25">
        <f>(om_kw*mwac*1000+ins_rate*$C$65+am_cost+prop_tax+misc_cost)*Opex!E$7+rent_acre*acres_lease*Opex!E$8</f>
        <v/>
      </c>
      <c r="F73" s="25">
        <f>(om_kw*mwac*1000+ins_rate*$C$65+am_cost+prop_tax+misc_cost)*Opex!F$7+rent_acre*acres_lease*Opex!F$8</f>
        <v/>
      </c>
      <c r="G73" s="25">
        <f>(om_kw*mwac*1000+ins_rate*$C$65+am_cost+prop_tax+misc_cost)*Opex!G$7+rent_acre*acres_lease*Opex!G$8</f>
        <v/>
      </c>
      <c r="H73" s="25">
        <f>(om_kw*mwac*1000+ins_rate*$C$65+am_cost+prop_tax+misc_cost)*Opex!H$7+rent_acre*acres_lease*Opex!H$8</f>
        <v/>
      </c>
      <c r="I73" s="25">
        <f>(om_kw*mwac*1000+ins_rate*$C$65+am_cost+prop_tax+misc_cost)*Opex!I$7+rent_acre*acres_lease*Opex!I$8</f>
        <v/>
      </c>
      <c r="J73" s="25">
        <f>(om_kw*mwac*1000+ins_rate*$C$65+am_cost+prop_tax+misc_cost)*Opex!J$7+rent_acre*acres_lease*Opex!J$8</f>
        <v/>
      </c>
      <c r="K73" s="25">
        <f>(om_kw*mwac*1000+ins_rate*$C$65+am_cost+prop_tax+misc_cost)*Opex!K$7+rent_acre*acres_lease*Opex!K$8</f>
        <v/>
      </c>
      <c r="L73" s="25">
        <f>(om_kw*mwac*1000+ins_rate*$C$65+am_cost+prop_tax+misc_cost)*Opex!L$7+rent_acre*acres_lease*Opex!L$8</f>
        <v/>
      </c>
      <c r="M73" s="25">
        <f>(om_kw*mwac*1000+ins_rate*$C$65+am_cost+prop_tax+misc_cost)*Opex!M$7+rent_acre*acres_lease*Opex!M$8</f>
        <v/>
      </c>
      <c r="N73" s="25">
        <f>(om_kw*mwac*1000+ins_rate*$C$65+am_cost+prop_tax+misc_cost)*Opex!N$7+rent_acre*acres_lease*Opex!N$8</f>
        <v/>
      </c>
      <c r="O73" s="25">
        <f>(om_kw*mwac*1000+ins_rate*$C$65+am_cost+prop_tax+misc_cost)*Opex!O$7+rent_acre*acres_lease*Opex!O$8</f>
        <v/>
      </c>
      <c r="P73" s="25">
        <f>(om_kw*mwac*1000+ins_rate*$C$65+am_cost+prop_tax+misc_cost)*Opex!P$7+rent_acre*acres_lease*Opex!P$8</f>
        <v/>
      </c>
      <c r="Q73" s="25">
        <f>(om_kw*mwac*1000+ins_rate*$C$65+am_cost+prop_tax+misc_cost)*Opex!Q$7+rent_acre*acres_lease*Opex!Q$8</f>
        <v/>
      </c>
      <c r="R73" s="25">
        <f>(om_kw*mwac*1000+ins_rate*$C$65+am_cost+prop_tax+misc_cost)*Opex!R$7+rent_acre*acres_lease*Opex!R$8</f>
        <v/>
      </c>
      <c r="S73" s="25">
        <f>(om_kw*mwac*1000+ins_rate*$C$65+am_cost+prop_tax+misc_cost)*Opex!S$7+rent_acre*acres_lease*Opex!S$8</f>
        <v/>
      </c>
      <c r="T73" s="25">
        <f>(om_kw*mwac*1000+ins_rate*$C$65+am_cost+prop_tax+misc_cost)*Opex!T$7+rent_acre*acres_lease*Opex!T$8</f>
        <v/>
      </c>
      <c r="U73" s="25">
        <f>(om_kw*mwac*1000+ins_rate*$C$65+am_cost+prop_tax+misc_cost)*Opex!U$7+rent_acre*acres_lease*Opex!U$8</f>
        <v/>
      </c>
      <c r="V73" s="25">
        <f>(om_kw*mwac*1000+ins_rate*$C$65+am_cost+prop_tax+misc_cost)*Opex!V$7+rent_acre*acres_lease*Opex!V$8</f>
        <v/>
      </c>
      <c r="W73" s="25">
        <f>(om_kw*mwac*1000+ins_rate*$C$65+am_cost+prop_tax+misc_cost)*Opex!W$7+rent_acre*acres_lease*Opex!W$8</f>
        <v/>
      </c>
      <c r="X73" s="25">
        <f>(om_kw*mwac*1000+ins_rate*$C$65+am_cost+prop_tax+misc_cost)*Opex!X$7+rent_acre*acres_lease*Opex!X$8</f>
        <v/>
      </c>
      <c r="Y73" s="25">
        <f>(om_kw*mwac*1000+ins_rate*$C$65+am_cost+prop_tax+misc_cost)*Opex!Y$7+rent_acre*acres_lease*Opex!Y$8</f>
        <v/>
      </c>
      <c r="Z73" s="25">
        <f>(om_kw*mwac*1000+ins_rate*$C$65+am_cost+prop_tax+misc_cost)*Opex!Z$7+rent_acre*acres_lease*Opex!Z$8</f>
        <v/>
      </c>
      <c r="AA73" s="25">
        <f>(om_kw*mwac*1000+ins_rate*$C$65+am_cost+prop_tax+misc_cost)*Opex!AA$7+rent_acre*acres_lease*Opex!AA$8</f>
        <v/>
      </c>
      <c r="AB73" s="25">
        <f>(om_kw*mwac*1000+ins_rate*$C$65+am_cost+prop_tax+misc_cost)*Opex!AB$7+rent_acre*acres_lease*Opex!AB$8</f>
        <v/>
      </c>
      <c r="AC73" s="25">
        <f>(om_kw*mwac*1000+ins_rate*$C$65+am_cost+prop_tax+misc_cost)*Opex!AC$7+rent_acre*acres_lease*Opex!AC$8</f>
        <v/>
      </c>
      <c r="AD73" s="25">
        <f>(om_kw*mwac*1000+ins_rate*$C$65+am_cost+prop_tax+misc_cost)*Opex!AD$7+rent_acre*acres_lease*Opex!AD$8</f>
        <v/>
      </c>
      <c r="AE73" s="25">
        <f>(om_kw*mwac*1000+ins_rate*$C$65+am_cost+prop_tax+misc_cost)*Opex!AE$7+rent_acre*acres_lease*Opex!AE$8</f>
        <v/>
      </c>
      <c r="AF73" s="25">
        <f>(om_kw*mwac*1000+ins_rate*$C$65+am_cost+prop_tax+misc_cost)*Opex!AF$7+rent_acre*acres_lease*Opex!AF$8</f>
        <v/>
      </c>
      <c r="AG73" s="25">
        <f>(om_kw*mwac*1000+ins_rate*$C$65+am_cost+prop_tax+misc_cost)*Opex!AG$7+rent_acre*acres_lease*Opex!AG$8</f>
        <v/>
      </c>
      <c r="AH73" s="25">
        <f>(om_kw*mwac*1000+ins_rate*$C$65+am_cost+prop_tax+misc_cost)*Opex!AH$7+rent_acre*acres_lease*Opex!AH$8</f>
        <v/>
      </c>
      <c r="AI73" s="25">
        <f>(om_kw*mwac*1000+ins_rate*$C$65+am_cost+prop_tax+misc_cost)*Opex!AI$7+rent_acre*acres_lease*Opex!AI$8</f>
        <v/>
      </c>
      <c r="AJ73" s="25">
        <f>(om_kw*mwac*1000+ins_rate*$C$65+am_cost+prop_tax+misc_cost)*Opex!AJ$7+rent_acre*acres_lease*Opex!AJ$8</f>
        <v/>
      </c>
      <c r="AK73" s="25">
        <f>(om_kw*mwac*1000+ins_rate*$C$65+am_cost+prop_tax+misc_cost)*Opex!AK$7+rent_acre*acres_lease*Opex!AK$8</f>
        <v/>
      </c>
      <c r="AL73" s="25">
        <f>(om_kw*mwac*1000+ins_rate*$C$65+am_cost+prop_tax+misc_cost)*Opex!AL$7+rent_acre*acres_lease*Opex!AL$8</f>
        <v/>
      </c>
    </row>
    <row r="74">
      <c r="B74" s="7" t="inlineStr">
        <is>
          <t>Credit cash ($)</t>
        </is>
      </c>
      <c r="D74" s="25">
        <f>IF(sw_credit="PTC",IF(D$5&lt;ptc_years,D68*Credits!D$8*(1+sw_bonus)*transfer_ptc,0),0)+IF(D$5=0,$C$67,0)</f>
        <v/>
      </c>
      <c r="E74" s="25">
        <f>IF(sw_credit="PTC",IF(E$5&lt;ptc_years,E68*Credits!E$8*(1+sw_bonus)*transfer_ptc,0),0)+IF(E$5=0,$C$67,0)</f>
        <v/>
      </c>
      <c r="F74" s="25">
        <f>IF(sw_credit="PTC",IF(F$5&lt;ptc_years,F68*Credits!F$8*(1+sw_bonus)*transfer_ptc,0),0)+IF(F$5=0,$C$67,0)</f>
        <v/>
      </c>
      <c r="G74" s="25">
        <f>IF(sw_credit="PTC",IF(G$5&lt;ptc_years,G68*Credits!G$8*(1+sw_bonus)*transfer_ptc,0),0)+IF(G$5=0,$C$67,0)</f>
        <v/>
      </c>
      <c r="H74" s="25">
        <f>IF(sw_credit="PTC",IF(H$5&lt;ptc_years,H68*Credits!H$8*(1+sw_bonus)*transfer_ptc,0),0)+IF(H$5=0,$C$67,0)</f>
        <v/>
      </c>
      <c r="I74" s="25">
        <f>IF(sw_credit="PTC",IF(I$5&lt;ptc_years,I68*Credits!I$8*(1+sw_bonus)*transfer_ptc,0),0)+IF(I$5=0,$C$67,0)</f>
        <v/>
      </c>
      <c r="J74" s="25">
        <f>IF(sw_credit="PTC",IF(J$5&lt;ptc_years,J68*Credits!J$8*(1+sw_bonus)*transfer_ptc,0),0)+IF(J$5=0,$C$67,0)</f>
        <v/>
      </c>
      <c r="K74" s="25">
        <f>IF(sw_credit="PTC",IF(K$5&lt;ptc_years,K68*Credits!K$8*(1+sw_bonus)*transfer_ptc,0),0)+IF(K$5=0,$C$67,0)</f>
        <v/>
      </c>
      <c r="L74" s="25">
        <f>IF(sw_credit="PTC",IF(L$5&lt;ptc_years,L68*Credits!L$8*(1+sw_bonus)*transfer_ptc,0),0)+IF(L$5=0,$C$67,0)</f>
        <v/>
      </c>
      <c r="M74" s="25">
        <f>IF(sw_credit="PTC",IF(M$5&lt;ptc_years,M68*Credits!M$8*(1+sw_bonus)*transfer_ptc,0),0)+IF(M$5=0,$C$67,0)</f>
        <v/>
      </c>
      <c r="N74" s="25">
        <f>IF(sw_credit="PTC",IF(N$5&lt;ptc_years,N68*Credits!N$8*(1+sw_bonus)*transfer_ptc,0),0)+IF(N$5=0,$C$67,0)</f>
        <v/>
      </c>
      <c r="O74" s="25">
        <f>IF(sw_credit="PTC",IF(O$5&lt;ptc_years,O68*Credits!O$8*(1+sw_bonus)*transfer_ptc,0),0)+IF(O$5=0,$C$67,0)</f>
        <v/>
      </c>
      <c r="P74" s="25">
        <f>IF(sw_credit="PTC",IF(P$5&lt;ptc_years,P68*Credits!P$8*(1+sw_bonus)*transfer_ptc,0),0)+IF(P$5=0,$C$67,0)</f>
        <v/>
      </c>
      <c r="Q74" s="25">
        <f>IF(sw_credit="PTC",IF(Q$5&lt;ptc_years,Q68*Credits!Q$8*(1+sw_bonus)*transfer_ptc,0),0)+IF(Q$5=0,$C$67,0)</f>
        <v/>
      </c>
      <c r="R74" s="25">
        <f>IF(sw_credit="PTC",IF(R$5&lt;ptc_years,R68*Credits!R$8*(1+sw_bonus)*transfer_ptc,0),0)+IF(R$5=0,$C$67,0)</f>
        <v/>
      </c>
      <c r="S74" s="25">
        <f>IF(sw_credit="PTC",IF(S$5&lt;ptc_years,S68*Credits!S$8*(1+sw_bonus)*transfer_ptc,0),0)+IF(S$5=0,$C$67,0)</f>
        <v/>
      </c>
      <c r="T74" s="25">
        <f>IF(sw_credit="PTC",IF(T$5&lt;ptc_years,T68*Credits!T$8*(1+sw_bonus)*transfer_ptc,0),0)+IF(T$5=0,$C$67,0)</f>
        <v/>
      </c>
      <c r="U74" s="25">
        <f>IF(sw_credit="PTC",IF(U$5&lt;ptc_years,U68*Credits!U$8*(1+sw_bonus)*transfer_ptc,0),0)+IF(U$5=0,$C$67,0)</f>
        <v/>
      </c>
      <c r="V74" s="25">
        <f>IF(sw_credit="PTC",IF(V$5&lt;ptc_years,V68*Credits!V$8*(1+sw_bonus)*transfer_ptc,0),0)+IF(V$5=0,$C$67,0)</f>
        <v/>
      </c>
      <c r="W74" s="25">
        <f>IF(sw_credit="PTC",IF(W$5&lt;ptc_years,W68*Credits!W$8*(1+sw_bonus)*transfer_ptc,0),0)+IF(W$5=0,$C$67,0)</f>
        <v/>
      </c>
      <c r="X74" s="25">
        <f>IF(sw_credit="PTC",IF(X$5&lt;ptc_years,X68*Credits!X$8*(1+sw_bonus)*transfer_ptc,0),0)+IF(X$5=0,$C$67,0)</f>
        <v/>
      </c>
      <c r="Y74" s="25">
        <f>IF(sw_credit="PTC",IF(Y$5&lt;ptc_years,Y68*Credits!Y$8*(1+sw_bonus)*transfer_ptc,0),0)+IF(Y$5=0,$C$67,0)</f>
        <v/>
      </c>
      <c r="Z74" s="25">
        <f>IF(sw_credit="PTC",IF(Z$5&lt;ptc_years,Z68*Credits!Z$8*(1+sw_bonus)*transfer_ptc,0),0)+IF(Z$5=0,$C$67,0)</f>
        <v/>
      </c>
      <c r="AA74" s="25">
        <f>IF(sw_credit="PTC",IF(AA$5&lt;ptc_years,AA68*Credits!AA$8*(1+sw_bonus)*transfer_ptc,0),0)+IF(AA$5=0,$C$67,0)</f>
        <v/>
      </c>
      <c r="AB74" s="25">
        <f>IF(sw_credit="PTC",IF(AB$5&lt;ptc_years,AB68*Credits!AB$8*(1+sw_bonus)*transfer_ptc,0),0)+IF(AB$5=0,$C$67,0)</f>
        <v/>
      </c>
      <c r="AC74" s="25">
        <f>IF(sw_credit="PTC",IF(AC$5&lt;ptc_years,AC68*Credits!AC$8*(1+sw_bonus)*transfer_ptc,0),0)+IF(AC$5=0,$C$67,0)</f>
        <v/>
      </c>
      <c r="AD74" s="25">
        <f>IF(sw_credit="PTC",IF(AD$5&lt;ptc_years,AD68*Credits!AD$8*(1+sw_bonus)*transfer_ptc,0),0)+IF(AD$5=0,$C$67,0)</f>
        <v/>
      </c>
      <c r="AE74" s="25">
        <f>IF(sw_credit="PTC",IF(AE$5&lt;ptc_years,AE68*Credits!AE$8*(1+sw_bonus)*transfer_ptc,0),0)+IF(AE$5=0,$C$67,0)</f>
        <v/>
      </c>
      <c r="AF74" s="25">
        <f>IF(sw_credit="PTC",IF(AF$5&lt;ptc_years,AF68*Credits!AF$8*(1+sw_bonus)*transfer_ptc,0),0)+IF(AF$5=0,$C$67,0)</f>
        <v/>
      </c>
      <c r="AG74" s="25">
        <f>IF(sw_credit="PTC",IF(AG$5&lt;ptc_years,AG68*Credits!AG$8*(1+sw_bonus)*transfer_ptc,0),0)+IF(AG$5=0,$C$67,0)</f>
        <v/>
      </c>
      <c r="AH74" s="25">
        <f>IF(sw_credit="PTC",IF(AH$5&lt;ptc_years,AH68*Credits!AH$8*(1+sw_bonus)*transfer_ptc,0),0)+IF(AH$5=0,$C$67,0)</f>
        <v/>
      </c>
      <c r="AI74" s="25">
        <f>IF(sw_credit="PTC",IF(AI$5&lt;ptc_years,AI68*Credits!AI$8*(1+sw_bonus)*transfer_ptc,0),0)+IF(AI$5=0,$C$67,0)</f>
        <v/>
      </c>
      <c r="AJ74" s="25">
        <f>IF(sw_credit="PTC",IF(AJ$5&lt;ptc_years,AJ68*Credits!AJ$8*(1+sw_bonus)*transfer_ptc,0),0)+IF(AJ$5=0,$C$67,0)</f>
        <v/>
      </c>
      <c r="AK74" s="25">
        <f>IF(sw_credit="PTC",IF(AK$5&lt;ptc_years,AK68*Credits!AK$8*(1+sw_bonus)*transfer_ptc,0),0)+IF(AK$5=0,$C$67,0)</f>
        <v/>
      </c>
      <c r="AL74" s="25">
        <f>IF(sw_credit="PTC",IF(AL$5&lt;ptc_years,AL68*Credits!AL$8*(1+sw_bonus)*transfer_ptc,0),0)+IF(AL$5=0,$C$67,0)</f>
        <v/>
      </c>
    </row>
    <row r="75">
      <c r="B75" s="14" t="inlineStr">
        <is>
          <t>EBITDA ($)</t>
        </is>
      </c>
      <c r="D75" s="26">
        <f>D70+D71-D72-D73</f>
        <v/>
      </c>
      <c r="E75" s="26">
        <f>E70+E71-E72-E73</f>
        <v/>
      </c>
      <c r="F75" s="26">
        <f>F70+F71-F72-F73</f>
        <v/>
      </c>
      <c r="G75" s="26">
        <f>G70+G71-G72-G73</f>
        <v/>
      </c>
      <c r="H75" s="26">
        <f>H70+H71-H72-H73</f>
        <v/>
      </c>
      <c r="I75" s="26">
        <f>I70+I71-I72-I73</f>
        <v/>
      </c>
      <c r="J75" s="26">
        <f>J70+J71-J72-J73</f>
        <v/>
      </c>
      <c r="K75" s="26">
        <f>K70+K71-K72-K73</f>
        <v/>
      </c>
      <c r="L75" s="26">
        <f>L70+L71-L72-L73</f>
        <v/>
      </c>
      <c r="M75" s="26">
        <f>M70+M71-M72-M73</f>
        <v/>
      </c>
      <c r="N75" s="26">
        <f>N70+N71-N72-N73</f>
        <v/>
      </c>
      <c r="O75" s="26">
        <f>O70+O71-O72-O73</f>
        <v/>
      </c>
      <c r="P75" s="26">
        <f>P70+P71-P72-P73</f>
        <v/>
      </c>
      <c r="Q75" s="26">
        <f>Q70+Q71-Q72-Q73</f>
        <v/>
      </c>
      <c r="R75" s="26">
        <f>R70+R71-R72-R73</f>
        <v/>
      </c>
      <c r="S75" s="26">
        <f>S70+S71-S72-S73</f>
        <v/>
      </c>
      <c r="T75" s="26">
        <f>T70+T71-T72-T73</f>
        <v/>
      </c>
      <c r="U75" s="26">
        <f>U70+U71-U72-U73</f>
        <v/>
      </c>
      <c r="V75" s="26">
        <f>V70+V71-V72-V73</f>
        <v/>
      </c>
      <c r="W75" s="26">
        <f>W70+W71-W72-W73</f>
        <v/>
      </c>
      <c r="X75" s="26">
        <f>X70+X71-X72-X73</f>
        <v/>
      </c>
      <c r="Y75" s="26">
        <f>Y70+Y71-Y72-Y73</f>
        <v/>
      </c>
      <c r="Z75" s="26">
        <f>Z70+Z71-Z72-Z73</f>
        <v/>
      </c>
      <c r="AA75" s="26">
        <f>AA70+AA71-AA72-AA73</f>
        <v/>
      </c>
      <c r="AB75" s="26">
        <f>AB70+AB71-AB72-AB73</f>
        <v/>
      </c>
      <c r="AC75" s="26">
        <f>AC70+AC71-AC72-AC73</f>
        <v/>
      </c>
      <c r="AD75" s="26">
        <f>AD70+AD71-AD72-AD73</f>
        <v/>
      </c>
      <c r="AE75" s="26">
        <f>AE70+AE71-AE72-AE73</f>
        <v/>
      </c>
      <c r="AF75" s="26">
        <f>AF70+AF71-AF72-AF73</f>
        <v/>
      </c>
      <c r="AG75" s="26">
        <f>AG70+AG71-AG72-AG73</f>
        <v/>
      </c>
      <c r="AH75" s="26">
        <f>AH70+AH71-AH72-AH73</f>
        <v/>
      </c>
      <c r="AI75" s="26">
        <f>AI70+AI71-AI72-AI73</f>
        <v/>
      </c>
      <c r="AJ75" s="26">
        <f>AJ70+AJ71-AJ72-AJ73</f>
        <v/>
      </c>
      <c r="AK75" s="26">
        <f>AK70+AK71-AK72-AK73</f>
        <v/>
      </c>
      <c r="AL75" s="26">
        <f>AL70+AL71-AL72-AL73</f>
        <v/>
      </c>
    </row>
    <row r="76">
      <c r="B76" s="7" t="inlineStr">
        <is>
          <t>Discount factor to 1 January 2027, contracted rate</t>
        </is>
      </c>
      <c r="D76" s="22">
        <f>1/(1+x_rc)^(D$5+2)</f>
        <v/>
      </c>
      <c r="E76" s="22">
        <f>1/(1+x_rc)^(E$5+2)</f>
        <v/>
      </c>
      <c r="F76" s="22">
        <f>1/(1+x_rc)^(F$5+2)</f>
        <v/>
      </c>
      <c r="G76" s="22">
        <f>1/(1+x_rc)^(G$5+2)</f>
        <v/>
      </c>
      <c r="H76" s="22">
        <f>1/(1+x_rc)^(H$5+2)</f>
        <v/>
      </c>
      <c r="I76" s="22">
        <f>1/(1+x_rc)^(I$5+2)</f>
        <v/>
      </c>
      <c r="J76" s="22">
        <f>1/(1+x_rc)^(J$5+2)</f>
        <v/>
      </c>
      <c r="K76" s="22">
        <f>1/(1+x_rc)^(K$5+2)</f>
        <v/>
      </c>
      <c r="L76" s="22">
        <f>1/(1+x_rc)^(L$5+2)</f>
        <v/>
      </c>
      <c r="M76" s="22">
        <f>1/(1+x_rc)^(M$5+2)</f>
        <v/>
      </c>
      <c r="N76" s="22">
        <f>1/(1+x_rc)^(N$5+2)</f>
        <v/>
      </c>
      <c r="O76" s="22">
        <f>1/(1+x_rc)^(O$5+2)</f>
        <v/>
      </c>
      <c r="P76" s="22">
        <f>1/(1+x_rc)^(P$5+2)</f>
        <v/>
      </c>
      <c r="Q76" s="22">
        <f>1/(1+x_rc)^(Q$5+2)</f>
        <v/>
      </c>
      <c r="R76" s="22">
        <f>1/(1+x_rc)^(R$5+2)</f>
        <v/>
      </c>
      <c r="S76" s="22">
        <f>1/(1+x_rc)^(S$5+2)</f>
        <v/>
      </c>
      <c r="T76" s="22">
        <f>1/(1+x_rc)^(T$5+2)</f>
        <v/>
      </c>
      <c r="U76" s="22">
        <f>1/(1+x_rc)^(U$5+2)</f>
        <v/>
      </c>
      <c r="V76" s="22">
        <f>1/(1+x_rc)^(V$5+2)</f>
        <v/>
      </c>
      <c r="W76" s="22">
        <f>1/(1+x_rc)^(W$5+2)</f>
        <v/>
      </c>
      <c r="X76" s="22">
        <f>1/(1+x_rc)^(X$5+2)</f>
        <v/>
      </c>
      <c r="Y76" s="22">
        <f>1/(1+x_rc)^(Y$5+2)</f>
        <v/>
      </c>
      <c r="Z76" s="22">
        <f>1/(1+x_rc)^(Z$5+2)</f>
        <v/>
      </c>
      <c r="AA76" s="22">
        <f>1/(1+x_rc)^(AA$5+2)</f>
        <v/>
      </c>
      <c r="AB76" s="22">
        <f>1/(1+x_rc)^(AB$5+2)</f>
        <v/>
      </c>
      <c r="AC76" s="22">
        <f>1/(1+x_rc)^(AC$5+2)</f>
        <v/>
      </c>
      <c r="AD76" s="22">
        <f>1/(1+x_rc)^(AD$5+2)</f>
        <v/>
      </c>
      <c r="AE76" s="22">
        <f>1/(1+x_rc)^(AE$5+2)</f>
        <v/>
      </c>
      <c r="AF76" s="22">
        <f>1/(1+x_rc)^(AF$5+2)</f>
        <v/>
      </c>
      <c r="AG76" s="22">
        <f>1/(1+x_rc)^(AG$5+2)</f>
        <v/>
      </c>
      <c r="AH76" s="22">
        <f>1/(1+x_rc)^(AH$5+2)</f>
        <v/>
      </c>
      <c r="AI76" s="22">
        <f>1/(1+x_rc)^(AI$5+2)</f>
        <v/>
      </c>
      <c r="AJ76" s="22">
        <f>1/(1+x_rc)^(AJ$5+2)</f>
        <v/>
      </c>
      <c r="AK76" s="22">
        <f>1/(1+x_rc)^(AK$5+2)</f>
        <v/>
      </c>
      <c r="AL76" s="22">
        <f>1/(1+x_rc)^(AL$5+2)</f>
        <v/>
      </c>
    </row>
    <row r="77">
      <c r="B77" s="7" t="inlineStr">
        <is>
          <t>Discount factor to 1 January 2027, merchant rate</t>
        </is>
      </c>
      <c r="D77" s="22">
        <f>1/(1+x_rm)^(D$5+2)</f>
        <v/>
      </c>
      <c r="E77" s="22">
        <f>1/(1+x_rm)^(E$5+2)</f>
        <v/>
      </c>
      <c r="F77" s="22">
        <f>1/(1+x_rm)^(F$5+2)</f>
        <v/>
      </c>
      <c r="G77" s="22">
        <f>1/(1+x_rm)^(G$5+2)</f>
        <v/>
      </c>
      <c r="H77" s="22">
        <f>1/(1+x_rm)^(H$5+2)</f>
        <v/>
      </c>
      <c r="I77" s="22">
        <f>1/(1+x_rm)^(I$5+2)</f>
        <v/>
      </c>
      <c r="J77" s="22">
        <f>1/(1+x_rm)^(J$5+2)</f>
        <v/>
      </c>
      <c r="K77" s="22">
        <f>1/(1+x_rm)^(K$5+2)</f>
        <v/>
      </c>
      <c r="L77" s="22">
        <f>1/(1+x_rm)^(L$5+2)</f>
        <v/>
      </c>
      <c r="M77" s="22">
        <f>1/(1+x_rm)^(M$5+2)</f>
        <v/>
      </c>
      <c r="N77" s="22">
        <f>1/(1+x_rm)^(N$5+2)</f>
        <v/>
      </c>
      <c r="O77" s="22">
        <f>1/(1+x_rm)^(O$5+2)</f>
        <v/>
      </c>
      <c r="P77" s="22">
        <f>1/(1+x_rm)^(P$5+2)</f>
        <v/>
      </c>
      <c r="Q77" s="22">
        <f>1/(1+x_rm)^(Q$5+2)</f>
        <v/>
      </c>
      <c r="R77" s="22">
        <f>1/(1+x_rm)^(R$5+2)</f>
        <v/>
      </c>
      <c r="S77" s="22">
        <f>1/(1+x_rm)^(S$5+2)</f>
        <v/>
      </c>
      <c r="T77" s="22">
        <f>1/(1+x_rm)^(T$5+2)</f>
        <v/>
      </c>
      <c r="U77" s="22">
        <f>1/(1+x_rm)^(U$5+2)</f>
        <v/>
      </c>
      <c r="V77" s="22">
        <f>1/(1+x_rm)^(V$5+2)</f>
        <v/>
      </c>
      <c r="W77" s="22">
        <f>1/(1+x_rm)^(W$5+2)</f>
        <v/>
      </c>
      <c r="X77" s="22">
        <f>1/(1+x_rm)^(X$5+2)</f>
        <v/>
      </c>
      <c r="Y77" s="22">
        <f>1/(1+x_rm)^(Y$5+2)</f>
        <v/>
      </c>
      <c r="Z77" s="22">
        <f>1/(1+x_rm)^(Z$5+2)</f>
        <v/>
      </c>
      <c r="AA77" s="22">
        <f>1/(1+x_rm)^(AA$5+2)</f>
        <v/>
      </c>
      <c r="AB77" s="22">
        <f>1/(1+x_rm)^(AB$5+2)</f>
        <v/>
      </c>
      <c r="AC77" s="22">
        <f>1/(1+x_rm)^(AC$5+2)</f>
        <v/>
      </c>
      <c r="AD77" s="22">
        <f>1/(1+x_rm)^(AD$5+2)</f>
        <v/>
      </c>
      <c r="AE77" s="22">
        <f>1/(1+x_rm)^(AE$5+2)</f>
        <v/>
      </c>
      <c r="AF77" s="22">
        <f>1/(1+x_rm)^(AF$5+2)</f>
        <v/>
      </c>
      <c r="AG77" s="22">
        <f>1/(1+x_rm)^(AG$5+2)</f>
        <v/>
      </c>
      <c r="AH77" s="22">
        <f>1/(1+x_rm)^(AH$5+2)</f>
        <v/>
      </c>
      <c r="AI77" s="22">
        <f>1/(1+x_rm)^(AI$5+2)</f>
        <v/>
      </c>
      <c r="AJ77" s="22">
        <f>1/(1+x_rm)^(AJ$5+2)</f>
        <v/>
      </c>
      <c r="AK77" s="22">
        <f>1/(1+x_rm)^(AK$5+2)</f>
        <v/>
      </c>
      <c r="AL77" s="22">
        <f>1/(1+x_rm)^(AL$5+2)</f>
        <v/>
      </c>
    </row>
    <row r="78">
      <c r="B78" s="7" t="inlineStr">
        <is>
          <t>Value on 1 January 2027 of the flows from 2028 (split rates) ($)</t>
        </is>
      </c>
      <c r="C78" s="25">
        <f>SUMPRODUCT($D$70:$AL$70,$D$76:$AL$76)+SUMPRODUCT($D$74:$AL$74,$D$76:$AL$76)-SUMPRODUCT($D$72:$AL$72,$D$76:$AL$76)-SUMPRODUCT($D$73:$AL$73,$D$76:$AL$76)+SUMPRODUCT($D$71:$AL$71,$D$77:$AL$77)-decom_end/(1+x_rc)^(life_years+1)</f>
        <v/>
      </c>
    </row>
    <row r="79">
      <c r="B79" s="14" t="inlineStr">
        <is>
          <t>Development value on 1 January 2027: value less the capital cost ($)</t>
        </is>
      </c>
      <c r="C79" s="26">
        <f>C78-C65/(1+x_rc)</f>
        <v/>
      </c>
    </row>
    <row r="80">
      <c r="B80" s="7" t="inlineStr">
        <is>
          <t>Highest premium Ashgrove can pay at NTP ($)</t>
        </is>
      </c>
      <c r="C80" s="25">
        <f>C79-reimb+reimb/(1+x_rc)</f>
        <v/>
      </c>
    </row>
    <row r="83">
      <c r="B83" s="6" t="inlineStr">
        <is>
          <t>P90 ten-year energy, case C</t>
        </is>
      </c>
    </row>
    <row r="84">
      <c r="B84" s="7" t="inlineStr">
        <is>
          <t>Capital cost ($)</t>
        </is>
      </c>
      <c r="C84" s="25">
        <f>((x_module+x_tracker+x_bos)*mwdc*1000000+x_inverter*mwac*1000000+x_sub)*(1+contingency)+x_ic+owner</f>
        <v/>
      </c>
    </row>
    <row r="85">
      <c r="B85" s="7" t="inlineStr">
        <is>
          <t>ITC eligible basis ($)</t>
        </is>
      </c>
      <c r="C85" s="25">
        <f>((x_module+x_tracker+x_bos)*mwdc*1000000+x_inverter*mwac*1000000+x_sub)*(1+contingency)-gentie_share*x_sub</f>
        <v/>
      </c>
    </row>
    <row r="86">
      <c r="B86" s="7" t="inlineStr">
        <is>
          <t>ITC cash at the end of 2028, if elected ($)</t>
        </is>
      </c>
      <c r="C86" s="25">
        <f>IF(sw_credit="ITC",C85*(itc_rate+sw_bonus)*transfer_itc,0)</f>
        <v/>
      </c>
    </row>
    <row r="87">
      <c r="B87" s="7" t="inlineStr">
        <is>
          <t>Energy (MWh)</t>
        </is>
      </c>
      <c r="D87" s="23">
        <f>mwac*hours*cf_p50*Energy!D$7*p90_10</f>
        <v/>
      </c>
      <c r="E87" s="23">
        <f>mwac*hours*cf_p50*Energy!E$7*p90_10</f>
        <v/>
      </c>
      <c r="F87" s="23">
        <f>mwac*hours*cf_p50*Energy!F$7*p90_10</f>
        <v/>
      </c>
      <c r="G87" s="23">
        <f>mwac*hours*cf_p50*Energy!G$7*p90_10</f>
        <v/>
      </c>
      <c r="H87" s="23">
        <f>mwac*hours*cf_p50*Energy!H$7*p90_10</f>
        <v/>
      </c>
      <c r="I87" s="23">
        <f>mwac*hours*cf_p50*Energy!I$7*p90_10</f>
        <v/>
      </c>
      <c r="J87" s="23">
        <f>mwac*hours*cf_p50*Energy!J$7*p90_10</f>
        <v/>
      </c>
      <c r="K87" s="23">
        <f>mwac*hours*cf_p50*Energy!K$7*p90_10</f>
        <v/>
      </c>
      <c r="L87" s="23">
        <f>mwac*hours*cf_p50*Energy!L$7*p90_10</f>
        <v/>
      </c>
      <c r="M87" s="23">
        <f>mwac*hours*cf_p50*Energy!M$7*p90_10</f>
        <v/>
      </c>
      <c r="N87" s="23">
        <f>mwac*hours*cf_p50*Energy!N$7*p90_10</f>
        <v/>
      </c>
      <c r="O87" s="23">
        <f>mwac*hours*cf_p50*Energy!O$7*p90_10</f>
        <v/>
      </c>
      <c r="P87" s="23">
        <f>mwac*hours*cf_p50*Energy!P$7*p90_10</f>
        <v/>
      </c>
      <c r="Q87" s="23">
        <f>mwac*hours*cf_p50*Energy!Q$7*p90_10</f>
        <v/>
      </c>
      <c r="R87" s="23">
        <f>mwac*hours*cf_p50*Energy!R$7*p90_10</f>
        <v/>
      </c>
      <c r="S87" s="23">
        <f>mwac*hours*cf_p50*Energy!S$7*p90_10</f>
        <v/>
      </c>
      <c r="T87" s="23">
        <f>mwac*hours*cf_p50*Energy!T$7*p90_10</f>
        <v/>
      </c>
      <c r="U87" s="23">
        <f>mwac*hours*cf_p50*Energy!U$7*p90_10</f>
        <v/>
      </c>
      <c r="V87" s="23">
        <f>mwac*hours*cf_p50*Energy!V$7*p90_10</f>
        <v/>
      </c>
      <c r="W87" s="23">
        <f>mwac*hours*cf_p50*Energy!W$7*p90_10</f>
        <v/>
      </c>
      <c r="X87" s="23">
        <f>mwac*hours*cf_p50*Energy!X$7*p90_10</f>
        <v/>
      </c>
      <c r="Y87" s="23">
        <f>mwac*hours*cf_p50*Energy!Y$7*p90_10</f>
        <v/>
      </c>
      <c r="Z87" s="23">
        <f>mwac*hours*cf_p50*Energy!Z$7*p90_10</f>
        <v/>
      </c>
      <c r="AA87" s="23">
        <f>mwac*hours*cf_p50*Energy!AA$7*p90_10</f>
        <v/>
      </c>
      <c r="AB87" s="23">
        <f>mwac*hours*cf_p50*Energy!AB$7*p90_10</f>
        <v/>
      </c>
      <c r="AC87" s="23">
        <f>mwac*hours*cf_p50*Energy!AC$7*p90_10</f>
        <v/>
      </c>
      <c r="AD87" s="23">
        <f>mwac*hours*cf_p50*Energy!AD$7*p90_10</f>
        <v/>
      </c>
      <c r="AE87" s="23">
        <f>mwac*hours*cf_p50*Energy!AE$7*p90_10</f>
        <v/>
      </c>
      <c r="AF87" s="23">
        <f>mwac*hours*cf_p50*Energy!AF$7*p90_10</f>
        <v/>
      </c>
      <c r="AG87" s="23">
        <f>mwac*hours*cf_p50*Energy!AG$7*p90_10</f>
        <v/>
      </c>
      <c r="AH87" s="23">
        <f>mwac*hours*cf_p50*Energy!AH$7*p90_10</f>
        <v/>
      </c>
      <c r="AI87" s="23">
        <f>mwac*hours*cf_p50*Energy!AI$7*p90_10</f>
        <v/>
      </c>
      <c r="AJ87" s="23">
        <f>mwac*hours*cf_p50*Energy!AJ$7*p90_10</f>
        <v/>
      </c>
      <c r="AK87" s="23">
        <f>mwac*hours*cf_p50*Energy!AK$7*p90_10</f>
        <v/>
      </c>
      <c r="AL87" s="23">
        <f>mwac*hours*cf_p50*Energy!AL$7*p90_10</f>
        <v/>
      </c>
    </row>
    <row r="88">
      <c r="B88" s="7" t="inlineStr">
        <is>
          <t>Node price, hub switch applied ($/MWh)</t>
        </is>
      </c>
      <c r="D88" s="32">
        <f>Market!D$7*(1+sw_hub)*Market!D$8+Market!D$10</f>
        <v/>
      </c>
      <c r="E88" s="32">
        <f>Market!E$7*(1+sw_hub)*Market!E$8+Market!E$10</f>
        <v/>
      </c>
      <c r="F88" s="32">
        <f>Market!F$7*(1+sw_hub)*Market!F$8+Market!F$10</f>
        <v/>
      </c>
      <c r="G88" s="32">
        <f>Market!G$7*(1+sw_hub)*Market!G$8+Market!G$10</f>
        <v/>
      </c>
      <c r="H88" s="32">
        <f>Market!H$7*(1+sw_hub)*Market!H$8+Market!H$10</f>
        <v/>
      </c>
      <c r="I88" s="32">
        <f>Market!I$7*(1+sw_hub)*Market!I$8+Market!I$10</f>
        <v/>
      </c>
      <c r="J88" s="32">
        <f>Market!J$7*(1+sw_hub)*Market!J$8+Market!J$10</f>
        <v/>
      </c>
      <c r="K88" s="32">
        <f>Market!K$7*(1+sw_hub)*Market!K$8+Market!K$10</f>
        <v/>
      </c>
      <c r="L88" s="32">
        <f>Market!L$7*(1+sw_hub)*Market!L$8+Market!L$10</f>
        <v/>
      </c>
      <c r="M88" s="32">
        <f>Market!M$7*(1+sw_hub)*Market!M$8+Market!M$10</f>
        <v/>
      </c>
      <c r="N88" s="32">
        <f>Market!N$7*(1+sw_hub)*Market!N$8+Market!N$10</f>
        <v/>
      </c>
      <c r="O88" s="32">
        <f>Market!O$7*(1+sw_hub)*Market!O$8+Market!O$10</f>
        <v/>
      </c>
      <c r="P88" s="32">
        <f>Market!P$7*(1+sw_hub)*Market!P$8+Market!P$10</f>
        <v/>
      </c>
      <c r="Q88" s="32">
        <f>Market!Q$7*(1+sw_hub)*Market!Q$8+Market!Q$10</f>
        <v/>
      </c>
      <c r="R88" s="32">
        <f>Market!R$7*(1+sw_hub)*Market!R$8+Market!R$10</f>
        <v/>
      </c>
      <c r="S88" s="32">
        <f>Market!S$7*(1+sw_hub)*Market!S$8+Market!S$10</f>
        <v/>
      </c>
      <c r="T88" s="32">
        <f>Market!T$7*(1+sw_hub)*Market!T$8+Market!T$10</f>
        <v/>
      </c>
      <c r="U88" s="32">
        <f>Market!U$7*(1+sw_hub)*Market!U$8+Market!U$10</f>
        <v/>
      </c>
      <c r="V88" s="32">
        <f>Market!V$7*(1+sw_hub)*Market!V$8+Market!V$10</f>
        <v/>
      </c>
      <c r="W88" s="32">
        <f>Market!W$7*(1+sw_hub)*Market!W$8+Market!W$10</f>
        <v/>
      </c>
      <c r="X88" s="32">
        <f>Market!X$7*(1+sw_hub)*Market!X$8+Market!X$10</f>
        <v/>
      </c>
      <c r="Y88" s="32">
        <f>Market!Y$7*(1+sw_hub)*Market!Y$8+Market!Y$10</f>
        <v/>
      </c>
      <c r="Z88" s="32">
        <f>Market!Z$7*(1+sw_hub)*Market!Z$8+Market!Z$10</f>
        <v/>
      </c>
      <c r="AA88" s="32">
        <f>Market!AA$7*(1+sw_hub)*Market!AA$8+Market!AA$10</f>
        <v/>
      </c>
      <c r="AB88" s="32">
        <f>Market!AB$7*(1+sw_hub)*Market!AB$8+Market!AB$10</f>
        <v/>
      </c>
      <c r="AC88" s="32">
        <f>Market!AC$7*(1+sw_hub)*Market!AC$8+Market!AC$10</f>
        <v/>
      </c>
      <c r="AD88" s="32">
        <f>Market!AD$7*(1+sw_hub)*Market!AD$8+Market!AD$10</f>
        <v/>
      </c>
      <c r="AE88" s="32">
        <f>Market!AE$7*(1+sw_hub)*Market!AE$8+Market!AE$10</f>
        <v/>
      </c>
      <c r="AF88" s="32">
        <f>Market!AF$7*(1+sw_hub)*Market!AF$8+Market!AF$10</f>
        <v/>
      </c>
      <c r="AG88" s="32">
        <f>Market!AG$7*(1+sw_hub)*Market!AG$8+Market!AG$10</f>
        <v/>
      </c>
      <c r="AH88" s="32">
        <f>Market!AH$7*(1+sw_hub)*Market!AH$8+Market!AH$10</f>
        <v/>
      </c>
      <c r="AI88" s="32">
        <f>Market!AI$7*(1+sw_hub)*Market!AI$8+Market!AI$10</f>
        <v/>
      </c>
      <c r="AJ88" s="32">
        <f>Market!AJ$7*(1+sw_hub)*Market!AJ$8+Market!AJ$10</f>
        <v/>
      </c>
      <c r="AK88" s="32">
        <f>Market!AK$7*(1+sw_hub)*Market!AK$8+Market!AK$10</f>
        <v/>
      </c>
      <c r="AL88" s="32">
        <f>Market!AL$7*(1+sw_hub)*Market!AL$8+Market!AL$10</f>
        <v/>
      </c>
    </row>
    <row r="89">
      <c r="B89" s="7" t="inlineStr">
        <is>
          <t>Contracted revenue ($)</t>
        </is>
      </c>
      <c r="D89" s="25">
        <f>IF(D$5&lt;c_years,D87*c_price,0)</f>
        <v/>
      </c>
      <c r="E89" s="25">
        <f>IF(E$5&lt;c_years,E87*c_price,0)</f>
        <v/>
      </c>
      <c r="F89" s="25">
        <f>IF(F$5&lt;c_years,F87*c_price,0)</f>
        <v/>
      </c>
      <c r="G89" s="25">
        <f>IF(G$5&lt;c_years,G87*c_price,0)</f>
        <v/>
      </c>
      <c r="H89" s="25">
        <f>IF(H$5&lt;c_years,H87*c_price,0)</f>
        <v/>
      </c>
      <c r="I89" s="25">
        <f>IF(I$5&lt;c_years,I87*c_price,0)</f>
        <v/>
      </c>
      <c r="J89" s="25">
        <f>IF(J$5&lt;c_years,J87*c_price,0)</f>
        <v/>
      </c>
      <c r="K89" s="25">
        <f>IF(K$5&lt;c_years,K87*c_price,0)</f>
        <v/>
      </c>
      <c r="L89" s="25">
        <f>IF(L$5&lt;c_years,L87*c_price,0)</f>
        <v/>
      </c>
      <c r="M89" s="25">
        <f>IF(M$5&lt;c_years,M87*c_price,0)</f>
        <v/>
      </c>
      <c r="N89" s="25">
        <f>IF(N$5&lt;c_years,N87*c_price,0)</f>
        <v/>
      </c>
      <c r="O89" s="25">
        <f>IF(O$5&lt;c_years,O87*c_price,0)</f>
        <v/>
      </c>
      <c r="P89" s="25">
        <f>IF(P$5&lt;c_years,P87*c_price,0)</f>
        <v/>
      </c>
      <c r="Q89" s="25">
        <f>IF(Q$5&lt;c_years,Q87*c_price,0)</f>
        <v/>
      </c>
      <c r="R89" s="25">
        <f>IF(R$5&lt;c_years,R87*c_price,0)</f>
        <v/>
      </c>
      <c r="S89" s="25">
        <f>IF(S$5&lt;c_years,S87*c_price,0)</f>
        <v/>
      </c>
      <c r="T89" s="25">
        <f>IF(T$5&lt;c_years,T87*c_price,0)</f>
        <v/>
      </c>
      <c r="U89" s="25">
        <f>IF(U$5&lt;c_years,U87*c_price,0)</f>
        <v/>
      </c>
      <c r="V89" s="25">
        <f>IF(V$5&lt;c_years,V87*c_price,0)</f>
        <v/>
      </c>
      <c r="W89" s="25">
        <f>IF(W$5&lt;c_years,W87*c_price,0)</f>
        <v/>
      </c>
      <c r="X89" s="25">
        <f>IF(X$5&lt;c_years,X87*c_price,0)</f>
        <v/>
      </c>
      <c r="Y89" s="25">
        <f>IF(Y$5&lt;c_years,Y87*c_price,0)</f>
        <v/>
      </c>
      <c r="Z89" s="25">
        <f>IF(Z$5&lt;c_years,Z87*c_price,0)</f>
        <v/>
      </c>
      <c r="AA89" s="25">
        <f>IF(AA$5&lt;c_years,AA87*c_price,0)</f>
        <v/>
      </c>
      <c r="AB89" s="25">
        <f>IF(AB$5&lt;c_years,AB87*c_price,0)</f>
        <v/>
      </c>
      <c r="AC89" s="25">
        <f>IF(AC$5&lt;c_years,AC87*c_price,0)</f>
        <v/>
      </c>
      <c r="AD89" s="25">
        <f>IF(AD$5&lt;c_years,AD87*c_price,0)</f>
        <v/>
      </c>
      <c r="AE89" s="25">
        <f>IF(AE$5&lt;c_years,AE87*c_price,0)</f>
        <v/>
      </c>
      <c r="AF89" s="25">
        <f>IF(AF$5&lt;c_years,AF87*c_price,0)</f>
        <v/>
      </c>
      <c r="AG89" s="25">
        <f>IF(AG$5&lt;c_years,AG87*c_price,0)</f>
        <v/>
      </c>
      <c r="AH89" s="25">
        <f>IF(AH$5&lt;c_years,AH87*c_price,0)</f>
        <v/>
      </c>
      <c r="AI89" s="25">
        <f>IF(AI$5&lt;c_years,AI87*c_price,0)</f>
        <v/>
      </c>
      <c r="AJ89" s="25">
        <f>IF(AJ$5&lt;c_years,AJ87*c_price,0)</f>
        <v/>
      </c>
      <c r="AK89" s="25">
        <f>IF(AK$5&lt;c_years,AK87*c_price,0)</f>
        <v/>
      </c>
      <c r="AL89" s="25">
        <f>IF(AL$5&lt;c_years,AL87*c_price,0)</f>
        <v/>
      </c>
    </row>
    <row r="90">
      <c r="B90" s="7" t="inlineStr">
        <is>
          <t>Merchant revenue ($)</t>
        </is>
      </c>
      <c r="D90" s="25">
        <f>IF(D$5&lt;c_years,Market!D$13,D87*(D88+rec_price)+Market!D$13)</f>
        <v/>
      </c>
      <c r="E90" s="25">
        <f>IF(E$5&lt;c_years,Market!E$13,E87*(E88+rec_price)+Market!E$13)</f>
        <v/>
      </c>
      <c r="F90" s="25">
        <f>IF(F$5&lt;c_years,Market!F$13,F87*(F88+rec_price)+Market!F$13)</f>
        <v/>
      </c>
      <c r="G90" s="25">
        <f>IF(G$5&lt;c_years,Market!G$13,G87*(G88+rec_price)+Market!G$13)</f>
        <v/>
      </c>
      <c r="H90" s="25">
        <f>IF(H$5&lt;c_years,Market!H$13,H87*(H88+rec_price)+Market!H$13)</f>
        <v/>
      </c>
      <c r="I90" s="25">
        <f>IF(I$5&lt;c_years,Market!I$13,I87*(I88+rec_price)+Market!I$13)</f>
        <v/>
      </c>
      <c r="J90" s="25">
        <f>IF(J$5&lt;c_years,Market!J$13,J87*(J88+rec_price)+Market!J$13)</f>
        <v/>
      </c>
      <c r="K90" s="25">
        <f>IF(K$5&lt;c_years,Market!K$13,K87*(K88+rec_price)+Market!K$13)</f>
        <v/>
      </c>
      <c r="L90" s="25">
        <f>IF(L$5&lt;c_years,Market!L$13,L87*(L88+rec_price)+Market!L$13)</f>
        <v/>
      </c>
      <c r="M90" s="25">
        <f>IF(M$5&lt;c_years,Market!M$13,M87*(M88+rec_price)+Market!M$13)</f>
        <v/>
      </c>
      <c r="N90" s="25">
        <f>IF(N$5&lt;c_years,Market!N$13,N87*(N88+rec_price)+Market!N$13)</f>
        <v/>
      </c>
      <c r="O90" s="25">
        <f>IF(O$5&lt;c_years,Market!O$13,O87*(O88+rec_price)+Market!O$13)</f>
        <v/>
      </c>
      <c r="P90" s="25">
        <f>IF(P$5&lt;c_years,Market!P$13,P87*(P88+rec_price)+Market!P$13)</f>
        <v/>
      </c>
      <c r="Q90" s="25">
        <f>IF(Q$5&lt;c_years,Market!Q$13,Q87*(Q88+rec_price)+Market!Q$13)</f>
        <v/>
      </c>
      <c r="R90" s="25">
        <f>IF(R$5&lt;c_years,Market!R$13,R87*(R88+rec_price)+Market!R$13)</f>
        <v/>
      </c>
      <c r="S90" s="25">
        <f>IF(S$5&lt;c_years,Market!S$13,S87*(S88+rec_price)+Market!S$13)</f>
        <v/>
      </c>
      <c r="T90" s="25">
        <f>IF(T$5&lt;c_years,Market!T$13,T87*(T88+rec_price)+Market!T$13)</f>
        <v/>
      </c>
      <c r="U90" s="25">
        <f>IF(U$5&lt;c_years,Market!U$13,U87*(U88+rec_price)+Market!U$13)</f>
        <v/>
      </c>
      <c r="V90" s="25">
        <f>IF(V$5&lt;c_years,Market!V$13,V87*(V88+rec_price)+Market!V$13)</f>
        <v/>
      </c>
      <c r="W90" s="25">
        <f>IF(W$5&lt;c_years,Market!W$13,W87*(W88+rec_price)+Market!W$13)</f>
        <v/>
      </c>
      <c r="X90" s="25">
        <f>IF(X$5&lt;c_years,Market!X$13,X87*(X88+rec_price)+Market!X$13)</f>
        <v/>
      </c>
      <c r="Y90" s="25">
        <f>IF(Y$5&lt;c_years,Market!Y$13,Y87*(Y88+rec_price)+Market!Y$13)</f>
        <v/>
      </c>
      <c r="Z90" s="25">
        <f>IF(Z$5&lt;c_years,Market!Z$13,Z87*(Z88+rec_price)+Market!Z$13)</f>
        <v/>
      </c>
      <c r="AA90" s="25">
        <f>IF(AA$5&lt;c_years,Market!AA$13,AA87*(AA88+rec_price)+Market!AA$13)</f>
        <v/>
      </c>
      <c r="AB90" s="25">
        <f>IF(AB$5&lt;c_years,Market!AB$13,AB87*(AB88+rec_price)+Market!AB$13)</f>
        <v/>
      </c>
      <c r="AC90" s="25">
        <f>IF(AC$5&lt;c_years,Market!AC$13,AC87*(AC88+rec_price)+Market!AC$13)</f>
        <v/>
      </c>
      <c r="AD90" s="25">
        <f>IF(AD$5&lt;c_years,Market!AD$13,AD87*(AD88+rec_price)+Market!AD$13)</f>
        <v/>
      </c>
      <c r="AE90" s="25">
        <f>IF(AE$5&lt;c_years,Market!AE$13,AE87*(AE88+rec_price)+Market!AE$13)</f>
        <v/>
      </c>
      <c r="AF90" s="25">
        <f>IF(AF$5&lt;c_years,Market!AF$13,AF87*(AF88+rec_price)+Market!AF$13)</f>
        <v/>
      </c>
      <c r="AG90" s="25">
        <f>IF(AG$5&lt;c_years,Market!AG$13,AG87*(AG88+rec_price)+Market!AG$13)</f>
        <v/>
      </c>
      <c r="AH90" s="25">
        <f>IF(AH$5&lt;c_years,Market!AH$13,AH87*(AH88+rec_price)+Market!AH$13)</f>
        <v/>
      </c>
      <c r="AI90" s="25">
        <f>IF(AI$5&lt;c_years,Market!AI$13,AI87*(AI88+rec_price)+Market!AI$13)</f>
        <v/>
      </c>
      <c r="AJ90" s="25">
        <f>IF(AJ$5&lt;c_years,Market!AJ$13,AJ87*(AJ88+rec_price)+Market!AJ$13)</f>
        <v/>
      </c>
      <c r="AK90" s="25">
        <f>IF(AK$5&lt;c_years,Market!AK$13,AK87*(AK88+rec_price)+Market!AK$13)</f>
        <v/>
      </c>
      <c r="AL90" s="25">
        <f>IF(AL$5&lt;c_years,Market!AL$13,AL87*(AL88+rec_price)+Market!AL$13)</f>
        <v/>
      </c>
    </row>
    <row r="91">
      <c r="B91" s="7" t="inlineStr">
        <is>
          <t>Basis cost kept by the project ($)</t>
        </is>
      </c>
      <c r="D91" s="25">
        <f>IF(D$5&lt;c_years,-D87*Market!D$10,0)</f>
        <v/>
      </c>
      <c r="E91" s="25">
        <f>IF(E$5&lt;c_years,-E87*Market!E$10,0)</f>
        <v/>
      </c>
      <c r="F91" s="25">
        <f>IF(F$5&lt;c_years,-F87*Market!F$10,0)</f>
        <v/>
      </c>
      <c r="G91" s="25">
        <f>IF(G$5&lt;c_years,-G87*Market!G$10,0)</f>
        <v/>
      </c>
      <c r="H91" s="25">
        <f>IF(H$5&lt;c_years,-H87*Market!H$10,0)</f>
        <v/>
      </c>
      <c r="I91" s="25">
        <f>IF(I$5&lt;c_years,-I87*Market!I$10,0)</f>
        <v/>
      </c>
      <c r="J91" s="25">
        <f>IF(J$5&lt;c_years,-J87*Market!J$10,0)</f>
        <v/>
      </c>
      <c r="K91" s="25">
        <f>IF(K$5&lt;c_years,-K87*Market!K$10,0)</f>
        <v/>
      </c>
      <c r="L91" s="25">
        <f>IF(L$5&lt;c_years,-L87*Market!L$10,0)</f>
        <v/>
      </c>
      <c r="M91" s="25">
        <f>IF(M$5&lt;c_years,-M87*Market!M$10,0)</f>
        <v/>
      </c>
      <c r="N91" s="25">
        <f>IF(N$5&lt;c_years,-N87*Market!N$10,0)</f>
        <v/>
      </c>
      <c r="O91" s="25">
        <f>IF(O$5&lt;c_years,-O87*Market!O$10,0)</f>
        <v/>
      </c>
      <c r="P91" s="25">
        <f>IF(P$5&lt;c_years,-P87*Market!P$10,0)</f>
        <v/>
      </c>
      <c r="Q91" s="25">
        <f>IF(Q$5&lt;c_years,-Q87*Market!Q$10,0)</f>
        <v/>
      </c>
      <c r="R91" s="25">
        <f>IF(R$5&lt;c_years,-R87*Market!R$10,0)</f>
        <v/>
      </c>
      <c r="S91" s="25">
        <f>IF(S$5&lt;c_years,-S87*Market!S$10,0)</f>
        <v/>
      </c>
      <c r="T91" s="25">
        <f>IF(T$5&lt;c_years,-T87*Market!T$10,0)</f>
        <v/>
      </c>
      <c r="U91" s="25">
        <f>IF(U$5&lt;c_years,-U87*Market!U$10,0)</f>
        <v/>
      </c>
      <c r="V91" s="25">
        <f>IF(V$5&lt;c_years,-V87*Market!V$10,0)</f>
        <v/>
      </c>
      <c r="W91" s="25">
        <f>IF(W$5&lt;c_years,-W87*Market!W$10,0)</f>
        <v/>
      </c>
      <c r="X91" s="25">
        <f>IF(X$5&lt;c_years,-X87*Market!X$10,0)</f>
        <v/>
      </c>
      <c r="Y91" s="25">
        <f>IF(Y$5&lt;c_years,-Y87*Market!Y$10,0)</f>
        <v/>
      </c>
      <c r="Z91" s="25">
        <f>IF(Z$5&lt;c_years,-Z87*Market!Z$10,0)</f>
        <v/>
      </c>
      <c r="AA91" s="25">
        <f>IF(AA$5&lt;c_years,-AA87*Market!AA$10,0)</f>
        <v/>
      </c>
      <c r="AB91" s="25">
        <f>IF(AB$5&lt;c_years,-AB87*Market!AB$10,0)</f>
        <v/>
      </c>
      <c r="AC91" s="25">
        <f>IF(AC$5&lt;c_years,-AC87*Market!AC$10,0)</f>
        <v/>
      </c>
      <c r="AD91" s="25">
        <f>IF(AD$5&lt;c_years,-AD87*Market!AD$10,0)</f>
        <v/>
      </c>
      <c r="AE91" s="25">
        <f>IF(AE$5&lt;c_years,-AE87*Market!AE$10,0)</f>
        <v/>
      </c>
      <c r="AF91" s="25">
        <f>IF(AF$5&lt;c_years,-AF87*Market!AF$10,0)</f>
        <v/>
      </c>
      <c r="AG91" s="25">
        <f>IF(AG$5&lt;c_years,-AG87*Market!AG$10,0)</f>
        <v/>
      </c>
      <c r="AH91" s="25">
        <f>IF(AH$5&lt;c_years,-AH87*Market!AH$10,0)</f>
        <v/>
      </c>
      <c r="AI91" s="25">
        <f>IF(AI$5&lt;c_years,-AI87*Market!AI$10,0)</f>
        <v/>
      </c>
      <c r="AJ91" s="25">
        <f>IF(AJ$5&lt;c_years,-AJ87*Market!AJ$10,0)</f>
        <v/>
      </c>
      <c r="AK91" s="25">
        <f>IF(AK$5&lt;c_years,-AK87*Market!AK$10,0)</f>
        <v/>
      </c>
      <c r="AL91" s="25">
        <f>IF(AL$5&lt;c_years,-AL87*Market!AL$10,0)</f>
        <v/>
      </c>
    </row>
    <row r="92">
      <c r="B92" s="7" t="inlineStr">
        <is>
          <t>Operating cost ($)</t>
        </is>
      </c>
      <c r="D92" s="25">
        <f>(om_kw*mwac*1000+ins_rate*$C$84+am_cost+prop_tax+misc_cost)*Opex!D$7+rent_acre*acres_lease*Opex!D$8</f>
        <v/>
      </c>
      <c r="E92" s="25">
        <f>(om_kw*mwac*1000+ins_rate*$C$84+am_cost+prop_tax+misc_cost)*Opex!E$7+rent_acre*acres_lease*Opex!E$8</f>
        <v/>
      </c>
      <c r="F92" s="25">
        <f>(om_kw*mwac*1000+ins_rate*$C$84+am_cost+prop_tax+misc_cost)*Opex!F$7+rent_acre*acres_lease*Opex!F$8</f>
        <v/>
      </c>
      <c r="G92" s="25">
        <f>(om_kw*mwac*1000+ins_rate*$C$84+am_cost+prop_tax+misc_cost)*Opex!G$7+rent_acre*acres_lease*Opex!G$8</f>
        <v/>
      </c>
      <c r="H92" s="25">
        <f>(om_kw*mwac*1000+ins_rate*$C$84+am_cost+prop_tax+misc_cost)*Opex!H$7+rent_acre*acres_lease*Opex!H$8</f>
        <v/>
      </c>
      <c r="I92" s="25">
        <f>(om_kw*mwac*1000+ins_rate*$C$84+am_cost+prop_tax+misc_cost)*Opex!I$7+rent_acre*acres_lease*Opex!I$8</f>
        <v/>
      </c>
      <c r="J92" s="25">
        <f>(om_kw*mwac*1000+ins_rate*$C$84+am_cost+prop_tax+misc_cost)*Opex!J$7+rent_acre*acres_lease*Opex!J$8</f>
        <v/>
      </c>
      <c r="K92" s="25">
        <f>(om_kw*mwac*1000+ins_rate*$C$84+am_cost+prop_tax+misc_cost)*Opex!K$7+rent_acre*acres_lease*Opex!K$8</f>
        <v/>
      </c>
      <c r="L92" s="25">
        <f>(om_kw*mwac*1000+ins_rate*$C$84+am_cost+prop_tax+misc_cost)*Opex!L$7+rent_acre*acres_lease*Opex!L$8</f>
        <v/>
      </c>
      <c r="M92" s="25">
        <f>(om_kw*mwac*1000+ins_rate*$C$84+am_cost+prop_tax+misc_cost)*Opex!M$7+rent_acre*acres_lease*Opex!M$8</f>
        <v/>
      </c>
      <c r="N92" s="25">
        <f>(om_kw*mwac*1000+ins_rate*$C$84+am_cost+prop_tax+misc_cost)*Opex!N$7+rent_acre*acres_lease*Opex!N$8</f>
        <v/>
      </c>
      <c r="O92" s="25">
        <f>(om_kw*mwac*1000+ins_rate*$C$84+am_cost+prop_tax+misc_cost)*Opex!O$7+rent_acre*acres_lease*Opex!O$8</f>
        <v/>
      </c>
      <c r="P92" s="25">
        <f>(om_kw*mwac*1000+ins_rate*$C$84+am_cost+prop_tax+misc_cost)*Opex!P$7+rent_acre*acres_lease*Opex!P$8</f>
        <v/>
      </c>
      <c r="Q92" s="25">
        <f>(om_kw*mwac*1000+ins_rate*$C$84+am_cost+prop_tax+misc_cost)*Opex!Q$7+rent_acre*acres_lease*Opex!Q$8</f>
        <v/>
      </c>
      <c r="R92" s="25">
        <f>(om_kw*mwac*1000+ins_rate*$C$84+am_cost+prop_tax+misc_cost)*Opex!R$7+rent_acre*acres_lease*Opex!R$8</f>
        <v/>
      </c>
      <c r="S92" s="25">
        <f>(om_kw*mwac*1000+ins_rate*$C$84+am_cost+prop_tax+misc_cost)*Opex!S$7+rent_acre*acres_lease*Opex!S$8</f>
        <v/>
      </c>
      <c r="T92" s="25">
        <f>(om_kw*mwac*1000+ins_rate*$C$84+am_cost+prop_tax+misc_cost)*Opex!T$7+rent_acre*acres_lease*Opex!T$8</f>
        <v/>
      </c>
      <c r="U92" s="25">
        <f>(om_kw*mwac*1000+ins_rate*$C$84+am_cost+prop_tax+misc_cost)*Opex!U$7+rent_acre*acres_lease*Opex!U$8</f>
        <v/>
      </c>
      <c r="V92" s="25">
        <f>(om_kw*mwac*1000+ins_rate*$C$84+am_cost+prop_tax+misc_cost)*Opex!V$7+rent_acre*acres_lease*Opex!V$8</f>
        <v/>
      </c>
      <c r="W92" s="25">
        <f>(om_kw*mwac*1000+ins_rate*$C$84+am_cost+prop_tax+misc_cost)*Opex!W$7+rent_acre*acres_lease*Opex!W$8</f>
        <v/>
      </c>
      <c r="X92" s="25">
        <f>(om_kw*mwac*1000+ins_rate*$C$84+am_cost+prop_tax+misc_cost)*Opex!X$7+rent_acre*acres_lease*Opex!X$8</f>
        <v/>
      </c>
      <c r="Y92" s="25">
        <f>(om_kw*mwac*1000+ins_rate*$C$84+am_cost+prop_tax+misc_cost)*Opex!Y$7+rent_acre*acres_lease*Opex!Y$8</f>
        <v/>
      </c>
      <c r="Z92" s="25">
        <f>(om_kw*mwac*1000+ins_rate*$C$84+am_cost+prop_tax+misc_cost)*Opex!Z$7+rent_acre*acres_lease*Opex!Z$8</f>
        <v/>
      </c>
      <c r="AA92" s="25">
        <f>(om_kw*mwac*1000+ins_rate*$C$84+am_cost+prop_tax+misc_cost)*Opex!AA$7+rent_acre*acres_lease*Opex!AA$8</f>
        <v/>
      </c>
      <c r="AB92" s="25">
        <f>(om_kw*mwac*1000+ins_rate*$C$84+am_cost+prop_tax+misc_cost)*Opex!AB$7+rent_acre*acres_lease*Opex!AB$8</f>
        <v/>
      </c>
      <c r="AC92" s="25">
        <f>(om_kw*mwac*1000+ins_rate*$C$84+am_cost+prop_tax+misc_cost)*Opex!AC$7+rent_acre*acres_lease*Opex!AC$8</f>
        <v/>
      </c>
      <c r="AD92" s="25">
        <f>(om_kw*mwac*1000+ins_rate*$C$84+am_cost+prop_tax+misc_cost)*Opex!AD$7+rent_acre*acres_lease*Opex!AD$8</f>
        <v/>
      </c>
      <c r="AE92" s="25">
        <f>(om_kw*mwac*1000+ins_rate*$C$84+am_cost+prop_tax+misc_cost)*Opex!AE$7+rent_acre*acres_lease*Opex!AE$8</f>
        <v/>
      </c>
      <c r="AF92" s="25">
        <f>(om_kw*mwac*1000+ins_rate*$C$84+am_cost+prop_tax+misc_cost)*Opex!AF$7+rent_acre*acres_lease*Opex!AF$8</f>
        <v/>
      </c>
      <c r="AG92" s="25">
        <f>(om_kw*mwac*1000+ins_rate*$C$84+am_cost+prop_tax+misc_cost)*Opex!AG$7+rent_acre*acres_lease*Opex!AG$8</f>
        <v/>
      </c>
      <c r="AH92" s="25">
        <f>(om_kw*mwac*1000+ins_rate*$C$84+am_cost+prop_tax+misc_cost)*Opex!AH$7+rent_acre*acres_lease*Opex!AH$8</f>
        <v/>
      </c>
      <c r="AI92" s="25">
        <f>(om_kw*mwac*1000+ins_rate*$C$84+am_cost+prop_tax+misc_cost)*Opex!AI$7+rent_acre*acres_lease*Opex!AI$8</f>
        <v/>
      </c>
      <c r="AJ92" s="25">
        <f>(om_kw*mwac*1000+ins_rate*$C$84+am_cost+prop_tax+misc_cost)*Opex!AJ$7+rent_acre*acres_lease*Opex!AJ$8</f>
        <v/>
      </c>
      <c r="AK92" s="25">
        <f>(om_kw*mwac*1000+ins_rate*$C$84+am_cost+prop_tax+misc_cost)*Opex!AK$7+rent_acre*acres_lease*Opex!AK$8</f>
        <v/>
      </c>
      <c r="AL92" s="25">
        <f>(om_kw*mwac*1000+ins_rate*$C$84+am_cost+prop_tax+misc_cost)*Opex!AL$7+rent_acre*acres_lease*Opex!AL$8</f>
        <v/>
      </c>
    </row>
    <row r="93">
      <c r="B93" s="7" t="inlineStr">
        <is>
          <t>Credit cash ($)</t>
        </is>
      </c>
      <c r="D93" s="25">
        <f>IF(sw_credit="PTC",IF(D$5&lt;ptc_years,D87*Credits!D$8*(1+sw_bonus)*transfer_ptc,0),0)+IF(D$5=0,$C$86,0)</f>
        <v/>
      </c>
      <c r="E93" s="25">
        <f>IF(sw_credit="PTC",IF(E$5&lt;ptc_years,E87*Credits!E$8*(1+sw_bonus)*transfer_ptc,0),0)+IF(E$5=0,$C$86,0)</f>
        <v/>
      </c>
      <c r="F93" s="25">
        <f>IF(sw_credit="PTC",IF(F$5&lt;ptc_years,F87*Credits!F$8*(1+sw_bonus)*transfer_ptc,0),0)+IF(F$5=0,$C$86,0)</f>
        <v/>
      </c>
      <c r="G93" s="25">
        <f>IF(sw_credit="PTC",IF(G$5&lt;ptc_years,G87*Credits!G$8*(1+sw_bonus)*transfer_ptc,0),0)+IF(G$5=0,$C$86,0)</f>
        <v/>
      </c>
      <c r="H93" s="25">
        <f>IF(sw_credit="PTC",IF(H$5&lt;ptc_years,H87*Credits!H$8*(1+sw_bonus)*transfer_ptc,0),0)+IF(H$5=0,$C$86,0)</f>
        <v/>
      </c>
      <c r="I93" s="25">
        <f>IF(sw_credit="PTC",IF(I$5&lt;ptc_years,I87*Credits!I$8*(1+sw_bonus)*transfer_ptc,0),0)+IF(I$5=0,$C$86,0)</f>
        <v/>
      </c>
      <c r="J93" s="25">
        <f>IF(sw_credit="PTC",IF(J$5&lt;ptc_years,J87*Credits!J$8*(1+sw_bonus)*transfer_ptc,0),0)+IF(J$5=0,$C$86,0)</f>
        <v/>
      </c>
      <c r="K93" s="25">
        <f>IF(sw_credit="PTC",IF(K$5&lt;ptc_years,K87*Credits!K$8*(1+sw_bonus)*transfer_ptc,0),0)+IF(K$5=0,$C$86,0)</f>
        <v/>
      </c>
      <c r="L93" s="25">
        <f>IF(sw_credit="PTC",IF(L$5&lt;ptc_years,L87*Credits!L$8*(1+sw_bonus)*transfer_ptc,0),0)+IF(L$5=0,$C$86,0)</f>
        <v/>
      </c>
      <c r="M93" s="25">
        <f>IF(sw_credit="PTC",IF(M$5&lt;ptc_years,M87*Credits!M$8*(1+sw_bonus)*transfer_ptc,0),0)+IF(M$5=0,$C$86,0)</f>
        <v/>
      </c>
      <c r="N93" s="25">
        <f>IF(sw_credit="PTC",IF(N$5&lt;ptc_years,N87*Credits!N$8*(1+sw_bonus)*transfer_ptc,0),0)+IF(N$5=0,$C$86,0)</f>
        <v/>
      </c>
      <c r="O93" s="25">
        <f>IF(sw_credit="PTC",IF(O$5&lt;ptc_years,O87*Credits!O$8*(1+sw_bonus)*transfer_ptc,0),0)+IF(O$5=0,$C$86,0)</f>
        <v/>
      </c>
      <c r="P93" s="25">
        <f>IF(sw_credit="PTC",IF(P$5&lt;ptc_years,P87*Credits!P$8*(1+sw_bonus)*transfer_ptc,0),0)+IF(P$5=0,$C$86,0)</f>
        <v/>
      </c>
      <c r="Q93" s="25">
        <f>IF(sw_credit="PTC",IF(Q$5&lt;ptc_years,Q87*Credits!Q$8*(1+sw_bonus)*transfer_ptc,0),0)+IF(Q$5=0,$C$86,0)</f>
        <v/>
      </c>
      <c r="R93" s="25">
        <f>IF(sw_credit="PTC",IF(R$5&lt;ptc_years,R87*Credits!R$8*(1+sw_bonus)*transfer_ptc,0),0)+IF(R$5=0,$C$86,0)</f>
        <v/>
      </c>
      <c r="S93" s="25">
        <f>IF(sw_credit="PTC",IF(S$5&lt;ptc_years,S87*Credits!S$8*(1+sw_bonus)*transfer_ptc,0),0)+IF(S$5=0,$C$86,0)</f>
        <v/>
      </c>
      <c r="T93" s="25">
        <f>IF(sw_credit="PTC",IF(T$5&lt;ptc_years,T87*Credits!T$8*(1+sw_bonus)*transfer_ptc,0),0)+IF(T$5=0,$C$86,0)</f>
        <v/>
      </c>
      <c r="U93" s="25">
        <f>IF(sw_credit="PTC",IF(U$5&lt;ptc_years,U87*Credits!U$8*(1+sw_bonus)*transfer_ptc,0),0)+IF(U$5=0,$C$86,0)</f>
        <v/>
      </c>
      <c r="V93" s="25">
        <f>IF(sw_credit="PTC",IF(V$5&lt;ptc_years,V87*Credits!V$8*(1+sw_bonus)*transfer_ptc,0),0)+IF(V$5=0,$C$86,0)</f>
        <v/>
      </c>
      <c r="W93" s="25">
        <f>IF(sw_credit="PTC",IF(W$5&lt;ptc_years,W87*Credits!W$8*(1+sw_bonus)*transfer_ptc,0),0)+IF(W$5=0,$C$86,0)</f>
        <v/>
      </c>
      <c r="X93" s="25">
        <f>IF(sw_credit="PTC",IF(X$5&lt;ptc_years,X87*Credits!X$8*(1+sw_bonus)*transfer_ptc,0),0)+IF(X$5=0,$C$86,0)</f>
        <v/>
      </c>
      <c r="Y93" s="25">
        <f>IF(sw_credit="PTC",IF(Y$5&lt;ptc_years,Y87*Credits!Y$8*(1+sw_bonus)*transfer_ptc,0),0)+IF(Y$5=0,$C$86,0)</f>
        <v/>
      </c>
      <c r="Z93" s="25">
        <f>IF(sw_credit="PTC",IF(Z$5&lt;ptc_years,Z87*Credits!Z$8*(1+sw_bonus)*transfer_ptc,0),0)+IF(Z$5=0,$C$86,0)</f>
        <v/>
      </c>
      <c r="AA93" s="25">
        <f>IF(sw_credit="PTC",IF(AA$5&lt;ptc_years,AA87*Credits!AA$8*(1+sw_bonus)*transfer_ptc,0),0)+IF(AA$5=0,$C$86,0)</f>
        <v/>
      </c>
      <c r="AB93" s="25">
        <f>IF(sw_credit="PTC",IF(AB$5&lt;ptc_years,AB87*Credits!AB$8*(1+sw_bonus)*transfer_ptc,0),0)+IF(AB$5=0,$C$86,0)</f>
        <v/>
      </c>
      <c r="AC93" s="25">
        <f>IF(sw_credit="PTC",IF(AC$5&lt;ptc_years,AC87*Credits!AC$8*(1+sw_bonus)*transfer_ptc,0),0)+IF(AC$5=0,$C$86,0)</f>
        <v/>
      </c>
      <c r="AD93" s="25">
        <f>IF(sw_credit="PTC",IF(AD$5&lt;ptc_years,AD87*Credits!AD$8*(1+sw_bonus)*transfer_ptc,0),0)+IF(AD$5=0,$C$86,0)</f>
        <v/>
      </c>
      <c r="AE93" s="25">
        <f>IF(sw_credit="PTC",IF(AE$5&lt;ptc_years,AE87*Credits!AE$8*(1+sw_bonus)*transfer_ptc,0),0)+IF(AE$5=0,$C$86,0)</f>
        <v/>
      </c>
      <c r="AF93" s="25">
        <f>IF(sw_credit="PTC",IF(AF$5&lt;ptc_years,AF87*Credits!AF$8*(1+sw_bonus)*transfer_ptc,0),0)+IF(AF$5=0,$C$86,0)</f>
        <v/>
      </c>
      <c r="AG93" s="25">
        <f>IF(sw_credit="PTC",IF(AG$5&lt;ptc_years,AG87*Credits!AG$8*(1+sw_bonus)*transfer_ptc,0),0)+IF(AG$5=0,$C$86,0)</f>
        <v/>
      </c>
      <c r="AH93" s="25">
        <f>IF(sw_credit="PTC",IF(AH$5&lt;ptc_years,AH87*Credits!AH$8*(1+sw_bonus)*transfer_ptc,0),0)+IF(AH$5=0,$C$86,0)</f>
        <v/>
      </c>
      <c r="AI93" s="25">
        <f>IF(sw_credit="PTC",IF(AI$5&lt;ptc_years,AI87*Credits!AI$8*(1+sw_bonus)*transfer_ptc,0),0)+IF(AI$5=0,$C$86,0)</f>
        <v/>
      </c>
      <c r="AJ93" s="25">
        <f>IF(sw_credit="PTC",IF(AJ$5&lt;ptc_years,AJ87*Credits!AJ$8*(1+sw_bonus)*transfer_ptc,0),0)+IF(AJ$5=0,$C$86,0)</f>
        <v/>
      </c>
      <c r="AK93" s="25">
        <f>IF(sw_credit="PTC",IF(AK$5&lt;ptc_years,AK87*Credits!AK$8*(1+sw_bonus)*transfer_ptc,0),0)+IF(AK$5=0,$C$86,0)</f>
        <v/>
      </c>
      <c r="AL93" s="25">
        <f>IF(sw_credit="PTC",IF(AL$5&lt;ptc_years,AL87*Credits!AL$8*(1+sw_bonus)*transfer_ptc,0),0)+IF(AL$5=0,$C$86,0)</f>
        <v/>
      </c>
    </row>
    <row r="94">
      <c r="B94" s="14" t="inlineStr">
        <is>
          <t>EBITDA ($)</t>
        </is>
      </c>
      <c r="D94" s="26">
        <f>D89+D90-D91-D92</f>
        <v/>
      </c>
      <c r="E94" s="26">
        <f>E89+E90-E91-E92</f>
        <v/>
      </c>
      <c r="F94" s="26">
        <f>F89+F90-F91-F92</f>
        <v/>
      </c>
      <c r="G94" s="26">
        <f>G89+G90-G91-G92</f>
        <v/>
      </c>
      <c r="H94" s="26">
        <f>H89+H90-H91-H92</f>
        <v/>
      </c>
      <c r="I94" s="26">
        <f>I89+I90-I91-I92</f>
        <v/>
      </c>
      <c r="J94" s="26">
        <f>J89+J90-J91-J92</f>
        <v/>
      </c>
      <c r="K94" s="26">
        <f>K89+K90-K91-K92</f>
        <v/>
      </c>
      <c r="L94" s="26">
        <f>L89+L90-L91-L92</f>
        <v/>
      </c>
      <c r="M94" s="26">
        <f>M89+M90-M91-M92</f>
        <v/>
      </c>
      <c r="N94" s="26">
        <f>N89+N90-N91-N92</f>
        <v/>
      </c>
      <c r="O94" s="26">
        <f>O89+O90-O91-O92</f>
        <v/>
      </c>
      <c r="P94" s="26">
        <f>P89+P90-P91-P92</f>
        <v/>
      </c>
      <c r="Q94" s="26">
        <f>Q89+Q90-Q91-Q92</f>
        <v/>
      </c>
      <c r="R94" s="26">
        <f>R89+R90-R91-R92</f>
        <v/>
      </c>
      <c r="S94" s="26">
        <f>S89+S90-S91-S92</f>
        <v/>
      </c>
      <c r="T94" s="26">
        <f>T89+T90-T91-T92</f>
        <v/>
      </c>
      <c r="U94" s="26">
        <f>U89+U90-U91-U92</f>
        <v/>
      </c>
      <c r="V94" s="26">
        <f>V89+V90-V91-V92</f>
        <v/>
      </c>
      <c r="W94" s="26">
        <f>W89+W90-W91-W92</f>
        <v/>
      </c>
      <c r="X94" s="26">
        <f>X89+X90-X91-X92</f>
        <v/>
      </c>
      <c r="Y94" s="26">
        <f>Y89+Y90-Y91-Y92</f>
        <v/>
      </c>
      <c r="Z94" s="26">
        <f>Z89+Z90-Z91-Z92</f>
        <v/>
      </c>
      <c r="AA94" s="26">
        <f>AA89+AA90-AA91-AA92</f>
        <v/>
      </c>
      <c r="AB94" s="26">
        <f>AB89+AB90-AB91-AB92</f>
        <v/>
      </c>
      <c r="AC94" s="26">
        <f>AC89+AC90-AC91-AC92</f>
        <v/>
      </c>
      <c r="AD94" s="26">
        <f>AD89+AD90-AD91-AD92</f>
        <v/>
      </c>
      <c r="AE94" s="26">
        <f>AE89+AE90-AE91-AE92</f>
        <v/>
      </c>
      <c r="AF94" s="26">
        <f>AF89+AF90-AF91-AF92</f>
        <v/>
      </c>
      <c r="AG94" s="26">
        <f>AG89+AG90-AG91-AG92</f>
        <v/>
      </c>
      <c r="AH94" s="26">
        <f>AH89+AH90-AH91-AH92</f>
        <v/>
      </c>
      <c r="AI94" s="26">
        <f>AI89+AI90-AI91-AI92</f>
        <v/>
      </c>
      <c r="AJ94" s="26">
        <f>AJ89+AJ90-AJ91-AJ92</f>
        <v/>
      </c>
      <c r="AK94" s="26">
        <f>AK89+AK90-AK91-AK92</f>
        <v/>
      </c>
      <c r="AL94" s="26">
        <f>AL89+AL90-AL91-AL92</f>
        <v/>
      </c>
    </row>
    <row r="95">
      <c r="B95" s="7" t="inlineStr">
        <is>
          <t>Discount factor to 1 January 2027, contracted rate</t>
        </is>
      </c>
      <c r="D95" s="22">
        <f>1/(1+x_rc)^(D$5+2)</f>
        <v/>
      </c>
      <c r="E95" s="22">
        <f>1/(1+x_rc)^(E$5+2)</f>
        <v/>
      </c>
      <c r="F95" s="22">
        <f>1/(1+x_rc)^(F$5+2)</f>
        <v/>
      </c>
      <c r="G95" s="22">
        <f>1/(1+x_rc)^(G$5+2)</f>
        <v/>
      </c>
      <c r="H95" s="22">
        <f>1/(1+x_rc)^(H$5+2)</f>
        <v/>
      </c>
      <c r="I95" s="22">
        <f>1/(1+x_rc)^(I$5+2)</f>
        <v/>
      </c>
      <c r="J95" s="22">
        <f>1/(1+x_rc)^(J$5+2)</f>
        <v/>
      </c>
      <c r="K95" s="22">
        <f>1/(1+x_rc)^(K$5+2)</f>
        <v/>
      </c>
      <c r="L95" s="22">
        <f>1/(1+x_rc)^(L$5+2)</f>
        <v/>
      </c>
      <c r="M95" s="22">
        <f>1/(1+x_rc)^(M$5+2)</f>
        <v/>
      </c>
      <c r="N95" s="22">
        <f>1/(1+x_rc)^(N$5+2)</f>
        <v/>
      </c>
      <c r="O95" s="22">
        <f>1/(1+x_rc)^(O$5+2)</f>
        <v/>
      </c>
      <c r="P95" s="22">
        <f>1/(1+x_rc)^(P$5+2)</f>
        <v/>
      </c>
      <c r="Q95" s="22">
        <f>1/(1+x_rc)^(Q$5+2)</f>
        <v/>
      </c>
      <c r="R95" s="22">
        <f>1/(1+x_rc)^(R$5+2)</f>
        <v/>
      </c>
      <c r="S95" s="22">
        <f>1/(1+x_rc)^(S$5+2)</f>
        <v/>
      </c>
      <c r="T95" s="22">
        <f>1/(1+x_rc)^(T$5+2)</f>
        <v/>
      </c>
      <c r="U95" s="22">
        <f>1/(1+x_rc)^(U$5+2)</f>
        <v/>
      </c>
      <c r="V95" s="22">
        <f>1/(1+x_rc)^(V$5+2)</f>
        <v/>
      </c>
      <c r="W95" s="22">
        <f>1/(1+x_rc)^(W$5+2)</f>
        <v/>
      </c>
      <c r="X95" s="22">
        <f>1/(1+x_rc)^(X$5+2)</f>
        <v/>
      </c>
      <c r="Y95" s="22">
        <f>1/(1+x_rc)^(Y$5+2)</f>
        <v/>
      </c>
      <c r="Z95" s="22">
        <f>1/(1+x_rc)^(Z$5+2)</f>
        <v/>
      </c>
      <c r="AA95" s="22">
        <f>1/(1+x_rc)^(AA$5+2)</f>
        <v/>
      </c>
      <c r="AB95" s="22">
        <f>1/(1+x_rc)^(AB$5+2)</f>
        <v/>
      </c>
      <c r="AC95" s="22">
        <f>1/(1+x_rc)^(AC$5+2)</f>
        <v/>
      </c>
      <c r="AD95" s="22">
        <f>1/(1+x_rc)^(AD$5+2)</f>
        <v/>
      </c>
      <c r="AE95" s="22">
        <f>1/(1+x_rc)^(AE$5+2)</f>
        <v/>
      </c>
      <c r="AF95" s="22">
        <f>1/(1+x_rc)^(AF$5+2)</f>
        <v/>
      </c>
      <c r="AG95" s="22">
        <f>1/(1+x_rc)^(AG$5+2)</f>
        <v/>
      </c>
      <c r="AH95" s="22">
        <f>1/(1+x_rc)^(AH$5+2)</f>
        <v/>
      </c>
      <c r="AI95" s="22">
        <f>1/(1+x_rc)^(AI$5+2)</f>
        <v/>
      </c>
      <c r="AJ95" s="22">
        <f>1/(1+x_rc)^(AJ$5+2)</f>
        <v/>
      </c>
      <c r="AK95" s="22">
        <f>1/(1+x_rc)^(AK$5+2)</f>
        <v/>
      </c>
      <c r="AL95" s="22">
        <f>1/(1+x_rc)^(AL$5+2)</f>
        <v/>
      </c>
    </row>
    <row r="96">
      <c r="B96" s="7" t="inlineStr">
        <is>
          <t>Discount factor to 1 January 2027, merchant rate</t>
        </is>
      </c>
      <c r="D96" s="22">
        <f>1/(1+x_rm)^(D$5+2)</f>
        <v/>
      </c>
      <c r="E96" s="22">
        <f>1/(1+x_rm)^(E$5+2)</f>
        <v/>
      </c>
      <c r="F96" s="22">
        <f>1/(1+x_rm)^(F$5+2)</f>
        <v/>
      </c>
      <c r="G96" s="22">
        <f>1/(1+x_rm)^(G$5+2)</f>
        <v/>
      </c>
      <c r="H96" s="22">
        <f>1/(1+x_rm)^(H$5+2)</f>
        <v/>
      </c>
      <c r="I96" s="22">
        <f>1/(1+x_rm)^(I$5+2)</f>
        <v/>
      </c>
      <c r="J96" s="22">
        <f>1/(1+x_rm)^(J$5+2)</f>
        <v/>
      </c>
      <c r="K96" s="22">
        <f>1/(1+x_rm)^(K$5+2)</f>
        <v/>
      </c>
      <c r="L96" s="22">
        <f>1/(1+x_rm)^(L$5+2)</f>
        <v/>
      </c>
      <c r="M96" s="22">
        <f>1/(1+x_rm)^(M$5+2)</f>
        <v/>
      </c>
      <c r="N96" s="22">
        <f>1/(1+x_rm)^(N$5+2)</f>
        <v/>
      </c>
      <c r="O96" s="22">
        <f>1/(1+x_rm)^(O$5+2)</f>
        <v/>
      </c>
      <c r="P96" s="22">
        <f>1/(1+x_rm)^(P$5+2)</f>
        <v/>
      </c>
      <c r="Q96" s="22">
        <f>1/(1+x_rm)^(Q$5+2)</f>
        <v/>
      </c>
      <c r="R96" s="22">
        <f>1/(1+x_rm)^(R$5+2)</f>
        <v/>
      </c>
      <c r="S96" s="22">
        <f>1/(1+x_rm)^(S$5+2)</f>
        <v/>
      </c>
      <c r="T96" s="22">
        <f>1/(1+x_rm)^(T$5+2)</f>
        <v/>
      </c>
      <c r="U96" s="22">
        <f>1/(1+x_rm)^(U$5+2)</f>
        <v/>
      </c>
      <c r="V96" s="22">
        <f>1/(1+x_rm)^(V$5+2)</f>
        <v/>
      </c>
      <c r="W96" s="22">
        <f>1/(1+x_rm)^(W$5+2)</f>
        <v/>
      </c>
      <c r="X96" s="22">
        <f>1/(1+x_rm)^(X$5+2)</f>
        <v/>
      </c>
      <c r="Y96" s="22">
        <f>1/(1+x_rm)^(Y$5+2)</f>
        <v/>
      </c>
      <c r="Z96" s="22">
        <f>1/(1+x_rm)^(Z$5+2)</f>
        <v/>
      </c>
      <c r="AA96" s="22">
        <f>1/(1+x_rm)^(AA$5+2)</f>
        <v/>
      </c>
      <c r="AB96" s="22">
        <f>1/(1+x_rm)^(AB$5+2)</f>
        <v/>
      </c>
      <c r="AC96" s="22">
        <f>1/(1+x_rm)^(AC$5+2)</f>
        <v/>
      </c>
      <c r="AD96" s="22">
        <f>1/(1+x_rm)^(AD$5+2)</f>
        <v/>
      </c>
      <c r="AE96" s="22">
        <f>1/(1+x_rm)^(AE$5+2)</f>
        <v/>
      </c>
      <c r="AF96" s="22">
        <f>1/(1+x_rm)^(AF$5+2)</f>
        <v/>
      </c>
      <c r="AG96" s="22">
        <f>1/(1+x_rm)^(AG$5+2)</f>
        <v/>
      </c>
      <c r="AH96" s="22">
        <f>1/(1+x_rm)^(AH$5+2)</f>
        <v/>
      </c>
      <c r="AI96" s="22">
        <f>1/(1+x_rm)^(AI$5+2)</f>
        <v/>
      </c>
      <c r="AJ96" s="22">
        <f>1/(1+x_rm)^(AJ$5+2)</f>
        <v/>
      </c>
      <c r="AK96" s="22">
        <f>1/(1+x_rm)^(AK$5+2)</f>
        <v/>
      </c>
      <c r="AL96" s="22">
        <f>1/(1+x_rm)^(AL$5+2)</f>
        <v/>
      </c>
    </row>
    <row r="97">
      <c r="B97" s="7" t="inlineStr">
        <is>
          <t>Value on 1 January 2027 of the flows from 2028 (split rates) ($)</t>
        </is>
      </c>
      <c r="C97" s="25">
        <f>SUMPRODUCT($D$89:$AL$89,$D$95:$AL$95)+SUMPRODUCT($D$93:$AL$93,$D$95:$AL$95)-SUMPRODUCT($D$91:$AL$91,$D$95:$AL$95)-SUMPRODUCT($D$92:$AL$92,$D$95:$AL$95)+SUMPRODUCT($D$90:$AL$90,$D$96:$AL$96)-decom_end/(1+x_rc)^(life_years+1)</f>
        <v/>
      </c>
    </row>
    <row r="98">
      <c r="B98" s="14" t="inlineStr">
        <is>
          <t>Development value on 1 January 2027: value less the capital cost ($)</t>
        </is>
      </c>
      <c r="C98" s="26">
        <f>C97-C84/(1+x_rc)</f>
        <v/>
      </c>
    </row>
    <row r="99">
      <c r="B99" s="7" t="inlineStr">
        <is>
          <t>Highest premium Ashgrove can pay at NTP ($)</t>
        </is>
      </c>
      <c r="C99" s="25">
        <f>C98-reimb+reimb/(1+x_rc)</f>
        <v/>
      </c>
    </row>
    <row r="102">
      <c r="B102" s="6" t="inlineStr">
        <is>
          <t>Network upgrades, first shock, case U</t>
        </is>
      </c>
    </row>
    <row r="103">
      <c r="B103" s="7" t="inlineStr">
        <is>
          <t>Capital cost ($)</t>
        </is>
      </c>
      <c r="C103" s="25">
        <f>((x_module+x_tracker+x_bos)*mwdc*1000000+x_inverter*mwac*1000000+x_sub)*(1+contingency)+sens_ic_30+owner</f>
        <v/>
      </c>
    </row>
    <row r="104">
      <c r="B104" s="7" t="inlineStr">
        <is>
          <t>ITC eligible basis ($)</t>
        </is>
      </c>
      <c r="C104" s="25">
        <f>((x_module+x_tracker+x_bos)*mwdc*1000000+x_inverter*mwac*1000000+x_sub)*(1+contingency)-gentie_share*x_sub</f>
        <v/>
      </c>
    </row>
    <row r="105">
      <c r="B105" s="7" t="inlineStr">
        <is>
          <t>ITC cash at the end of 2028, if elected ($)</t>
        </is>
      </c>
      <c r="C105" s="25">
        <f>IF(sw_credit="ITC",C104*(itc_rate+sw_bonus)*transfer_itc,0)</f>
        <v/>
      </c>
    </row>
    <row r="106">
      <c r="B106" s="7" t="inlineStr">
        <is>
          <t>Energy (MWh)</t>
        </is>
      </c>
      <c r="D106" s="23">
        <f>mwac*hours*cf_p50*Energy!D$7*x_scale</f>
        <v/>
      </c>
      <c r="E106" s="23">
        <f>mwac*hours*cf_p50*Energy!E$7*x_scale</f>
        <v/>
      </c>
      <c r="F106" s="23">
        <f>mwac*hours*cf_p50*Energy!F$7*x_scale</f>
        <v/>
      </c>
      <c r="G106" s="23">
        <f>mwac*hours*cf_p50*Energy!G$7*x_scale</f>
        <v/>
      </c>
      <c r="H106" s="23">
        <f>mwac*hours*cf_p50*Energy!H$7*x_scale</f>
        <v/>
      </c>
      <c r="I106" s="23">
        <f>mwac*hours*cf_p50*Energy!I$7*x_scale</f>
        <v/>
      </c>
      <c r="J106" s="23">
        <f>mwac*hours*cf_p50*Energy!J$7*x_scale</f>
        <v/>
      </c>
      <c r="K106" s="23">
        <f>mwac*hours*cf_p50*Energy!K$7*x_scale</f>
        <v/>
      </c>
      <c r="L106" s="23">
        <f>mwac*hours*cf_p50*Energy!L$7*x_scale</f>
        <v/>
      </c>
      <c r="M106" s="23">
        <f>mwac*hours*cf_p50*Energy!M$7*x_scale</f>
        <v/>
      </c>
      <c r="N106" s="23">
        <f>mwac*hours*cf_p50*Energy!N$7*x_scale</f>
        <v/>
      </c>
      <c r="O106" s="23">
        <f>mwac*hours*cf_p50*Energy!O$7*x_scale</f>
        <v/>
      </c>
      <c r="P106" s="23">
        <f>mwac*hours*cf_p50*Energy!P$7*x_scale</f>
        <v/>
      </c>
      <c r="Q106" s="23">
        <f>mwac*hours*cf_p50*Energy!Q$7*x_scale</f>
        <v/>
      </c>
      <c r="R106" s="23">
        <f>mwac*hours*cf_p50*Energy!R$7*x_scale</f>
        <v/>
      </c>
      <c r="S106" s="23">
        <f>mwac*hours*cf_p50*Energy!S$7*x_scale</f>
        <v/>
      </c>
      <c r="T106" s="23">
        <f>mwac*hours*cf_p50*Energy!T$7*x_scale</f>
        <v/>
      </c>
      <c r="U106" s="23">
        <f>mwac*hours*cf_p50*Energy!U$7*x_scale</f>
        <v/>
      </c>
      <c r="V106" s="23">
        <f>mwac*hours*cf_p50*Energy!V$7*x_scale</f>
        <v/>
      </c>
      <c r="W106" s="23">
        <f>mwac*hours*cf_p50*Energy!W$7*x_scale</f>
        <v/>
      </c>
      <c r="X106" s="23">
        <f>mwac*hours*cf_p50*Energy!X$7*x_scale</f>
        <v/>
      </c>
      <c r="Y106" s="23">
        <f>mwac*hours*cf_p50*Energy!Y$7*x_scale</f>
        <v/>
      </c>
      <c r="Z106" s="23">
        <f>mwac*hours*cf_p50*Energy!Z$7*x_scale</f>
        <v/>
      </c>
      <c r="AA106" s="23">
        <f>mwac*hours*cf_p50*Energy!AA$7*x_scale</f>
        <v/>
      </c>
      <c r="AB106" s="23">
        <f>mwac*hours*cf_p50*Energy!AB$7*x_scale</f>
        <v/>
      </c>
      <c r="AC106" s="23">
        <f>mwac*hours*cf_p50*Energy!AC$7*x_scale</f>
        <v/>
      </c>
      <c r="AD106" s="23">
        <f>mwac*hours*cf_p50*Energy!AD$7*x_scale</f>
        <v/>
      </c>
      <c r="AE106" s="23">
        <f>mwac*hours*cf_p50*Energy!AE$7*x_scale</f>
        <v/>
      </c>
      <c r="AF106" s="23">
        <f>mwac*hours*cf_p50*Energy!AF$7*x_scale</f>
        <v/>
      </c>
      <c r="AG106" s="23">
        <f>mwac*hours*cf_p50*Energy!AG$7*x_scale</f>
        <v/>
      </c>
      <c r="AH106" s="23">
        <f>mwac*hours*cf_p50*Energy!AH$7*x_scale</f>
        <v/>
      </c>
      <c r="AI106" s="23">
        <f>mwac*hours*cf_p50*Energy!AI$7*x_scale</f>
        <v/>
      </c>
      <c r="AJ106" s="23">
        <f>mwac*hours*cf_p50*Energy!AJ$7*x_scale</f>
        <v/>
      </c>
      <c r="AK106" s="23">
        <f>mwac*hours*cf_p50*Energy!AK$7*x_scale</f>
        <v/>
      </c>
      <c r="AL106" s="23">
        <f>mwac*hours*cf_p50*Energy!AL$7*x_scale</f>
        <v/>
      </c>
    </row>
    <row r="107">
      <c r="B107" s="7" t="inlineStr">
        <is>
          <t>Node price, hub switch applied ($/MWh)</t>
        </is>
      </c>
      <c r="D107" s="32">
        <f>Market!D$7*(1+sw_hub)*Market!D$8+Market!D$10</f>
        <v/>
      </c>
      <c r="E107" s="32">
        <f>Market!E$7*(1+sw_hub)*Market!E$8+Market!E$10</f>
        <v/>
      </c>
      <c r="F107" s="32">
        <f>Market!F$7*(1+sw_hub)*Market!F$8+Market!F$10</f>
        <v/>
      </c>
      <c r="G107" s="32">
        <f>Market!G$7*(1+sw_hub)*Market!G$8+Market!G$10</f>
        <v/>
      </c>
      <c r="H107" s="32">
        <f>Market!H$7*(1+sw_hub)*Market!H$8+Market!H$10</f>
        <v/>
      </c>
      <c r="I107" s="32">
        <f>Market!I$7*(1+sw_hub)*Market!I$8+Market!I$10</f>
        <v/>
      </c>
      <c r="J107" s="32">
        <f>Market!J$7*(1+sw_hub)*Market!J$8+Market!J$10</f>
        <v/>
      </c>
      <c r="K107" s="32">
        <f>Market!K$7*(1+sw_hub)*Market!K$8+Market!K$10</f>
        <v/>
      </c>
      <c r="L107" s="32">
        <f>Market!L$7*(1+sw_hub)*Market!L$8+Market!L$10</f>
        <v/>
      </c>
      <c r="M107" s="32">
        <f>Market!M$7*(1+sw_hub)*Market!M$8+Market!M$10</f>
        <v/>
      </c>
      <c r="N107" s="32">
        <f>Market!N$7*(1+sw_hub)*Market!N$8+Market!N$10</f>
        <v/>
      </c>
      <c r="O107" s="32">
        <f>Market!O$7*(1+sw_hub)*Market!O$8+Market!O$10</f>
        <v/>
      </c>
      <c r="P107" s="32">
        <f>Market!P$7*(1+sw_hub)*Market!P$8+Market!P$10</f>
        <v/>
      </c>
      <c r="Q107" s="32">
        <f>Market!Q$7*(1+sw_hub)*Market!Q$8+Market!Q$10</f>
        <v/>
      </c>
      <c r="R107" s="32">
        <f>Market!R$7*(1+sw_hub)*Market!R$8+Market!R$10</f>
        <v/>
      </c>
      <c r="S107" s="32">
        <f>Market!S$7*(1+sw_hub)*Market!S$8+Market!S$10</f>
        <v/>
      </c>
      <c r="T107" s="32">
        <f>Market!T$7*(1+sw_hub)*Market!T$8+Market!T$10</f>
        <v/>
      </c>
      <c r="U107" s="32">
        <f>Market!U$7*(1+sw_hub)*Market!U$8+Market!U$10</f>
        <v/>
      </c>
      <c r="V107" s="32">
        <f>Market!V$7*(1+sw_hub)*Market!V$8+Market!V$10</f>
        <v/>
      </c>
      <c r="W107" s="32">
        <f>Market!W$7*(1+sw_hub)*Market!W$8+Market!W$10</f>
        <v/>
      </c>
      <c r="X107" s="32">
        <f>Market!X$7*(1+sw_hub)*Market!X$8+Market!X$10</f>
        <v/>
      </c>
      <c r="Y107" s="32">
        <f>Market!Y$7*(1+sw_hub)*Market!Y$8+Market!Y$10</f>
        <v/>
      </c>
      <c r="Z107" s="32">
        <f>Market!Z$7*(1+sw_hub)*Market!Z$8+Market!Z$10</f>
        <v/>
      </c>
      <c r="AA107" s="32">
        <f>Market!AA$7*(1+sw_hub)*Market!AA$8+Market!AA$10</f>
        <v/>
      </c>
      <c r="AB107" s="32">
        <f>Market!AB$7*(1+sw_hub)*Market!AB$8+Market!AB$10</f>
        <v/>
      </c>
      <c r="AC107" s="32">
        <f>Market!AC$7*(1+sw_hub)*Market!AC$8+Market!AC$10</f>
        <v/>
      </c>
      <c r="AD107" s="32">
        <f>Market!AD$7*(1+sw_hub)*Market!AD$8+Market!AD$10</f>
        <v/>
      </c>
      <c r="AE107" s="32">
        <f>Market!AE$7*(1+sw_hub)*Market!AE$8+Market!AE$10</f>
        <v/>
      </c>
      <c r="AF107" s="32">
        <f>Market!AF$7*(1+sw_hub)*Market!AF$8+Market!AF$10</f>
        <v/>
      </c>
      <c r="AG107" s="32">
        <f>Market!AG$7*(1+sw_hub)*Market!AG$8+Market!AG$10</f>
        <v/>
      </c>
      <c r="AH107" s="32">
        <f>Market!AH$7*(1+sw_hub)*Market!AH$8+Market!AH$10</f>
        <v/>
      </c>
      <c r="AI107" s="32">
        <f>Market!AI$7*(1+sw_hub)*Market!AI$8+Market!AI$10</f>
        <v/>
      </c>
      <c r="AJ107" s="32">
        <f>Market!AJ$7*(1+sw_hub)*Market!AJ$8+Market!AJ$10</f>
        <v/>
      </c>
      <c r="AK107" s="32">
        <f>Market!AK$7*(1+sw_hub)*Market!AK$8+Market!AK$10</f>
        <v/>
      </c>
      <c r="AL107" s="32">
        <f>Market!AL$7*(1+sw_hub)*Market!AL$8+Market!AL$10</f>
        <v/>
      </c>
    </row>
    <row r="108">
      <c r="B108" s="7" t="inlineStr">
        <is>
          <t>Contracted revenue ($)</t>
        </is>
      </c>
      <c r="D108" s="25">
        <f>IF(D$5&lt;u_years,D106*u_price*(1+u_esc)^D$5,0)</f>
        <v/>
      </c>
      <c r="E108" s="25">
        <f>IF(E$5&lt;u_years,E106*u_price*(1+u_esc)^E$5,0)</f>
        <v/>
      </c>
      <c r="F108" s="25">
        <f>IF(F$5&lt;u_years,F106*u_price*(1+u_esc)^F$5,0)</f>
        <v/>
      </c>
      <c r="G108" s="25">
        <f>IF(G$5&lt;u_years,G106*u_price*(1+u_esc)^G$5,0)</f>
        <v/>
      </c>
      <c r="H108" s="25">
        <f>IF(H$5&lt;u_years,H106*u_price*(1+u_esc)^H$5,0)</f>
        <v/>
      </c>
      <c r="I108" s="25">
        <f>IF(I$5&lt;u_years,I106*u_price*(1+u_esc)^I$5,0)</f>
        <v/>
      </c>
      <c r="J108" s="25">
        <f>IF(J$5&lt;u_years,J106*u_price*(1+u_esc)^J$5,0)</f>
        <v/>
      </c>
      <c r="K108" s="25">
        <f>IF(K$5&lt;u_years,K106*u_price*(1+u_esc)^K$5,0)</f>
        <v/>
      </c>
      <c r="L108" s="25">
        <f>IF(L$5&lt;u_years,L106*u_price*(1+u_esc)^L$5,0)</f>
        <v/>
      </c>
      <c r="M108" s="25">
        <f>IF(M$5&lt;u_years,M106*u_price*(1+u_esc)^M$5,0)</f>
        <v/>
      </c>
      <c r="N108" s="25">
        <f>IF(N$5&lt;u_years,N106*u_price*(1+u_esc)^N$5,0)</f>
        <v/>
      </c>
      <c r="O108" s="25">
        <f>IF(O$5&lt;u_years,O106*u_price*(1+u_esc)^O$5,0)</f>
        <v/>
      </c>
      <c r="P108" s="25">
        <f>IF(P$5&lt;u_years,P106*u_price*(1+u_esc)^P$5,0)</f>
        <v/>
      </c>
      <c r="Q108" s="25">
        <f>IF(Q$5&lt;u_years,Q106*u_price*(1+u_esc)^Q$5,0)</f>
        <v/>
      </c>
      <c r="R108" s="25">
        <f>IF(R$5&lt;u_years,R106*u_price*(1+u_esc)^R$5,0)</f>
        <v/>
      </c>
      <c r="S108" s="25">
        <f>IF(S$5&lt;u_years,S106*u_price*(1+u_esc)^S$5,0)</f>
        <v/>
      </c>
      <c r="T108" s="25">
        <f>IF(T$5&lt;u_years,T106*u_price*(1+u_esc)^T$5,0)</f>
        <v/>
      </c>
      <c r="U108" s="25">
        <f>IF(U$5&lt;u_years,U106*u_price*(1+u_esc)^U$5,0)</f>
        <v/>
      </c>
      <c r="V108" s="25">
        <f>IF(V$5&lt;u_years,V106*u_price*(1+u_esc)^V$5,0)</f>
        <v/>
      </c>
      <c r="W108" s="25">
        <f>IF(W$5&lt;u_years,W106*u_price*(1+u_esc)^W$5,0)</f>
        <v/>
      </c>
      <c r="X108" s="25">
        <f>IF(X$5&lt;u_years,X106*u_price*(1+u_esc)^X$5,0)</f>
        <v/>
      </c>
      <c r="Y108" s="25">
        <f>IF(Y$5&lt;u_years,Y106*u_price*(1+u_esc)^Y$5,0)</f>
        <v/>
      </c>
      <c r="Z108" s="25">
        <f>IF(Z$5&lt;u_years,Z106*u_price*(1+u_esc)^Z$5,0)</f>
        <v/>
      </c>
      <c r="AA108" s="25">
        <f>IF(AA$5&lt;u_years,AA106*u_price*(1+u_esc)^AA$5,0)</f>
        <v/>
      </c>
      <c r="AB108" s="25">
        <f>IF(AB$5&lt;u_years,AB106*u_price*(1+u_esc)^AB$5,0)</f>
        <v/>
      </c>
      <c r="AC108" s="25">
        <f>IF(AC$5&lt;u_years,AC106*u_price*(1+u_esc)^AC$5,0)</f>
        <v/>
      </c>
      <c r="AD108" s="25">
        <f>IF(AD$5&lt;u_years,AD106*u_price*(1+u_esc)^AD$5,0)</f>
        <v/>
      </c>
      <c r="AE108" s="25">
        <f>IF(AE$5&lt;u_years,AE106*u_price*(1+u_esc)^AE$5,0)</f>
        <v/>
      </c>
      <c r="AF108" s="25">
        <f>IF(AF$5&lt;u_years,AF106*u_price*(1+u_esc)^AF$5,0)</f>
        <v/>
      </c>
      <c r="AG108" s="25">
        <f>IF(AG$5&lt;u_years,AG106*u_price*(1+u_esc)^AG$5,0)</f>
        <v/>
      </c>
      <c r="AH108" s="25">
        <f>IF(AH$5&lt;u_years,AH106*u_price*(1+u_esc)^AH$5,0)</f>
        <v/>
      </c>
      <c r="AI108" s="25">
        <f>IF(AI$5&lt;u_years,AI106*u_price*(1+u_esc)^AI$5,0)</f>
        <v/>
      </c>
      <c r="AJ108" s="25">
        <f>IF(AJ$5&lt;u_years,AJ106*u_price*(1+u_esc)^AJ$5,0)</f>
        <v/>
      </c>
      <c r="AK108" s="25">
        <f>IF(AK$5&lt;u_years,AK106*u_price*(1+u_esc)^AK$5,0)</f>
        <v/>
      </c>
      <c r="AL108" s="25">
        <f>IF(AL$5&lt;u_years,AL106*u_price*(1+u_esc)^AL$5,0)</f>
        <v/>
      </c>
    </row>
    <row r="109">
      <c r="B109" s="7" t="inlineStr">
        <is>
          <t>Merchant revenue ($)</t>
        </is>
      </c>
      <c r="D109" s="25">
        <f>IF(D$5&lt;u_years,0,D106*(D107+rec_price)+Market!D$13)</f>
        <v/>
      </c>
      <c r="E109" s="25">
        <f>IF(E$5&lt;u_years,0,E106*(E107+rec_price)+Market!E$13)</f>
        <v/>
      </c>
      <c r="F109" s="25">
        <f>IF(F$5&lt;u_years,0,F106*(F107+rec_price)+Market!F$13)</f>
        <v/>
      </c>
      <c r="G109" s="25">
        <f>IF(G$5&lt;u_years,0,G106*(G107+rec_price)+Market!G$13)</f>
        <v/>
      </c>
      <c r="H109" s="25">
        <f>IF(H$5&lt;u_years,0,H106*(H107+rec_price)+Market!H$13)</f>
        <v/>
      </c>
      <c r="I109" s="25">
        <f>IF(I$5&lt;u_years,0,I106*(I107+rec_price)+Market!I$13)</f>
        <v/>
      </c>
      <c r="J109" s="25">
        <f>IF(J$5&lt;u_years,0,J106*(J107+rec_price)+Market!J$13)</f>
        <v/>
      </c>
      <c r="K109" s="25">
        <f>IF(K$5&lt;u_years,0,K106*(K107+rec_price)+Market!K$13)</f>
        <v/>
      </c>
      <c r="L109" s="25">
        <f>IF(L$5&lt;u_years,0,L106*(L107+rec_price)+Market!L$13)</f>
        <v/>
      </c>
      <c r="M109" s="25">
        <f>IF(M$5&lt;u_years,0,M106*(M107+rec_price)+Market!M$13)</f>
        <v/>
      </c>
      <c r="N109" s="25">
        <f>IF(N$5&lt;u_years,0,N106*(N107+rec_price)+Market!N$13)</f>
        <v/>
      </c>
      <c r="O109" s="25">
        <f>IF(O$5&lt;u_years,0,O106*(O107+rec_price)+Market!O$13)</f>
        <v/>
      </c>
      <c r="P109" s="25">
        <f>IF(P$5&lt;u_years,0,P106*(P107+rec_price)+Market!P$13)</f>
        <v/>
      </c>
      <c r="Q109" s="25">
        <f>IF(Q$5&lt;u_years,0,Q106*(Q107+rec_price)+Market!Q$13)</f>
        <v/>
      </c>
      <c r="R109" s="25">
        <f>IF(R$5&lt;u_years,0,R106*(R107+rec_price)+Market!R$13)</f>
        <v/>
      </c>
      <c r="S109" s="25">
        <f>IF(S$5&lt;u_years,0,S106*(S107+rec_price)+Market!S$13)</f>
        <v/>
      </c>
      <c r="T109" s="25">
        <f>IF(T$5&lt;u_years,0,T106*(T107+rec_price)+Market!T$13)</f>
        <v/>
      </c>
      <c r="U109" s="25">
        <f>IF(U$5&lt;u_years,0,U106*(U107+rec_price)+Market!U$13)</f>
        <v/>
      </c>
      <c r="V109" s="25">
        <f>IF(V$5&lt;u_years,0,V106*(V107+rec_price)+Market!V$13)</f>
        <v/>
      </c>
      <c r="W109" s="25">
        <f>IF(W$5&lt;u_years,0,W106*(W107+rec_price)+Market!W$13)</f>
        <v/>
      </c>
      <c r="X109" s="25">
        <f>IF(X$5&lt;u_years,0,X106*(X107+rec_price)+Market!X$13)</f>
        <v/>
      </c>
      <c r="Y109" s="25">
        <f>IF(Y$5&lt;u_years,0,Y106*(Y107+rec_price)+Market!Y$13)</f>
        <v/>
      </c>
      <c r="Z109" s="25">
        <f>IF(Z$5&lt;u_years,0,Z106*(Z107+rec_price)+Market!Z$13)</f>
        <v/>
      </c>
      <c r="AA109" s="25">
        <f>IF(AA$5&lt;u_years,0,AA106*(AA107+rec_price)+Market!AA$13)</f>
        <v/>
      </c>
      <c r="AB109" s="25">
        <f>IF(AB$5&lt;u_years,0,AB106*(AB107+rec_price)+Market!AB$13)</f>
        <v/>
      </c>
      <c r="AC109" s="25">
        <f>IF(AC$5&lt;u_years,0,AC106*(AC107+rec_price)+Market!AC$13)</f>
        <v/>
      </c>
      <c r="AD109" s="25">
        <f>IF(AD$5&lt;u_years,0,AD106*(AD107+rec_price)+Market!AD$13)</f>
        <v/>
      </c>
      <c r="AE109" s="25">
        <f>IF(AE$5&lt;u_years,0,AE106*(AE107+rec_price)+Market!AE$13)</f>
        <v/>
      </c>
      <c r="AF109" s="25">
        <f>IF(AF$5&lt;u_years,0,AF106*(AF107+rec_price)+Market!AF$13)</f>
        <v/>
      </c>
      <c r="AG109" s="25">
        <f>IF(AG$5&lt;u_years,0,AG106*(AG107+rec_price)+Market!AG$13)</f>
        <v/>
      </c>
      <c r="AH109" s="25">
        <f>IF(AH$5&lt;u_years,0,AH106*(AH107+rec_price)+Market!AH$13)</f>
        <v/>
      </c>
      <c r="AI109" s="25">
        <f>IF(AI$5&lt;u_years,0,AI106*(AI107+rec_price)+Market!AI$13)</f>
        <v/>
      </c>
      <c r="AJ109" s="25">
        <f>IF(AJ$5&lt;u_years,0,AJ106*(AJ107+rec_price)+Market!AJ$13)</f>
        <v/>
      </c>
      <c r="AK109" s="25">
        <f>IF(AK$5&lt;u_years,0,AK106*(AK107+rec_price)+Market!AK$13)</f>
        <v/>
      </c>
      <c r="AL109" s="25">
        <f>IF(AL$5&lt;u_years,0,AL106*(AL107+rec_price)+Market!AL$13)</f>
        <v/>
      </c>
    </row>
    <row r="110">
      <c r="B110" s="7" t="inlineStr">
        <is>
          <t>Basis cost kept by the project ($)</t>
        </is>
      </c>
      <c r="D110" s="25" t="n">
        <v>0</v>
      </c>
      <c r="E110" s="25" t="n">
        <v>0</v>
      </c>
      <c r="F110" s="25" t="n">
        <v>0</v>
      </c>
      <c r="G110" s="25" t="n">
        <v>0</v>
      </c>
      <c r="H110" s="25" t="n">
        <v>0</v>
      </c>
      <c r="I110" s="25" t="n">
        <v>0</v>
      </c>
      <c r="J110" s="25" t="n">
        <v>0</v>
      </c>
      <c r="K110" s="25" t="n">
        <v>0</v>
      </c>
      <c r="L110" s="25" t="n">
        <v>0</v>
      </c>
      <c r="M110" s="25" t="n">
        <v>0</v>
      </c>
      <c r="N110" s="25" t="n">
        <v>0</v>
      </c>
      <c r="O110" s="25" t="n">
        <v>0</v>
      </c>
      <c r="P110" s="25" t="n">
        <v>0</v>
      </c>
      <c r="Q110" s="25" t="n">
        <v>0</v>
      </c>
      <c r="R110" s="25" t="n">
        <v>0</v>
      </c>
      <c r="S110" s="25" t="n">
        <v>0</v>
      </c>
      <c r="T110" s="25" t="n">
        <v>0</v>
      </c>
      <c r="U110" s="25" t="n">
        <v>0</v>
      </c>
      <c r="V110" s="25" t="n">
        <v>0</v>
      </c>
      <c r="W110" s="25" t="n">
        <v>0</v>
      </c>
      <c r="X110" s="25" t="n">
        <v>0</v>
      </c>
      <c r="Y110" s="25" t="n">
        <v>0</v>
      </c>
      <c r="Z110" s="25" t="n">
        <v>0</v>
      </c>
      <c r="AA110" s="25" t="n">
        <v>0</v>
      </c>
      <c r="AB110" s="25" t="n">
        <v>0</v>
      </c>
      <c r="AC110" s="25" t="n">
        <v>0</v>
      </c>
      <c r="AD110" s="25" t="n">
        <v>0</v>
      </c>
      <c r="AE110" s="25" t="n">
        <v>0</v>
      </c>
      <c r="AF110" s="25" t="n">
        <v>0</v>
      </c>
      <c r="AG110" s="25" t="n">
        <v>0</v>
      </c>
      <c r="AH110" s="25" t="n">
        <v>0</v>
      </c>
      <c r="AI110" s="25" t="n">
        <v>0</v>
      </c>
      <c r="AJ110" s="25" t="n">
        <v>0</v>
      </c>
      <c r="AK110" s="25" t="n">
        <v>0</v>
      </c>
      <c r="AL110" s="25" t="n">
        <v>0</v>
      </c>
    </row>
    <row r="111">
      <c r="B111" s="7" t="inlineStr">
        <is>
          <t>Operating cost ($)</t>
        </is>
      </c>
      <c r="D111" s="25">
        <f>(om_kw*mwac*1000+ins_rate*$C$103+am_cost+prop_tax+misc_cost)*Opex!D$7+rent_acre*acres_lease*Opex!D$8</f>
        <v/>
      </c>
      <c r="E111" s="25">
        <f>(om_kw*mwac*1000+ins_rate*$C$103+am_cost+prop_tax+misc_cost)*Opex!E$7+rent_acre*acres_lease*Opex!E$8</f>
        <v/>
      </c>
      <c r="F111" s="25">
        <f>(om_kw*mwac*1000+ins_rate*$C$103+am_cost+prop_tax+misc_cost)*Opex!F$7+rent_acre*acres_lease*Opex!F$8</f>
        <v/>
      </c>
      <c r="G111" s="25">
        <f>(om_kw*mwac*1000+ins_rate*$C$103+am_cost+prop_tax+misc_cost)*Opex!G$7+rent_acre*acres_lease*Opex!G$8</f>
        <v/>
      </c>
      <c r="H111" s="25">
        <f>(om_kw*mwac*1000+ins_rate*$C$103+am_cost+prop_tax+misc_cost)*Opex!H$7+rent_acre*acres_lease*Opex!H$8</f>
        <v/>
      </c>
      <c r="I111" s="25">
        <f>(om_kw*mwac*1000+ins_rate*$C$103+am_cost+prop_tax+misc_cost)*Opex!I$7+rent_acre*acres_lease*Opex!I$8</f>
        <v/>
      </c>
      <c r="J111" s="25">
        <f>(om_kw*mwac*1000+ins_rate*$C$103+am_cost+prop_tax+misc_cost)*Opex!J$7+rent_acre*acres_lease*Opex!J$8</f>
        <v/>
      </c>
      <c r="K111" s="25">
        <f>(om_kw*mwac*1000+ins_rate*$C$103+am_cost+prop_tax+misc_cost)*Opex!K$7+rent_acre*acres_lease*Opex!K$8</f>
        <v/>
      </c>
      <c r="L111" s="25">
        <f>(om_kw*mwac*1000+ins_rate*$C$103+am_cost+prop_tax+misc_cost)*Opex!L$7+rent_acre*acres_lease*Opex!L$8</f>
        <v/>
      </c>
      <c r="M111" s="25">
        <f>(om_kw*mwac*1000+ins_rate*$C$103+am_cost+prop_tax+misc_cost)*Opex!M$7+rent_acre*acres_lease*Opex!M$8</f>
        <v/>
      </c>
      <c r="N111" s="25">
        <f>(om_kw*mwac*1000+ins_rate*$C$103+am_cost+prop_tax+misc_cost)*Opex!N$7+rent_acre*acres_lease*Opex!N$8</f>
        <v/>
      </c>
      <c r="O111" s="25">
        <f>(om_kw*mwac*1000+ins_rate*$C$103+am_cost+prop_tax+misc_cost)*Opex!O$7+rent_acre*acres_lease*Opex!O$8</f>
        <v/>
      </c>
      <c r="P111" s="25">
        <f>(om_kw*mwac*1000+ins_rate*$C$103+am_cost+prop_tax+misc_cost)*Opex!P$7+rent_acre*acres_lease*Opex!P$8</f>
        <v/>
      </c>
      <c r="Q111" s="25">
        <f>(om_kw*mwac*1000+ins_rate*$C$103+am_cost+prop_tax+misc_cost)*Opex!Q$7+rent_acre*acres_lease*Opex!Q$8</f>
        <v/>
      </c>
      <c r="R111" s="25">
        <f>(om_kw*mwac*1000+ins_rate*$C$103+am_cost+prop_tax+misc_cost)*Opex!R$7+rent_acre*acres_lease*Opex!R$8</f>
        <v/>
      </c>
      <c r="S111" s="25">
        <f>(om_kw*mwac*1000+ins_rate*$C$103+am_cost+prop_tax+misc_cost)*Opex!S$7+rent_acre*acres_lease*Opex!S$8</f>
        <v/>
      </c>
      <c r="T111" s="25">
        <f>(om_kw*mwac*1000+ins_rate*$C$103+am_cost+prop_tax+misc_cost)*Opex!T$7+rent_acre*acres_lease*Opex!T$8</f>
        <v/>
      </c>
      <c r="U111" s="25">
        <f>(om_kw*mwac*1000+ins_rate*$C$103+am_cost+prop_tax+misc_cost)*Opex!U$7+rent_acre*acres_lease*Opex!U$8</f>
        <v/>
      </c>
      <c r="V111" s="25">
        <f>(om_kw*mwac*1000+ins_rate*$C$103+am_cost+prop_tax+misc_cost)*Opex!V$7+rent_acre*acres_lease*Opex!V$8</f>
        <v/>
      </c>
      <c r="W111" s="25">
        <f>(om_kw*mwac*1000+ins_rate*$C$103+am_cost+prop_tax+misc_cost)*Opex!W$7+rent_acre*acres_lease*Opex!W$8</f>
        <v/>
      </c>
      <c r="X111" s="25">
        <f>(om_kw*mwac*1000+ins_rate*$C$103+am_cost+prop_tax+misc_cost)*Opex!X$7+rent_acre*acres_lease*Opex!X$8</f>
        <v/>
      </c>
      <c r="Y111" s="25">
        <f>(om_kw*mwac*1000+ins_rate*$C$103+am_cost+prop_tax+misc_cost)*Opex!Y$7+rent_acre*acres_lease*Opex!Y$8</f>
        <v/>
      </c>
      <c r="Z111" s="25">
        <f>(om_kw*mwac*1000+ins_rate*$C$103+am_cost+prop_tax+misc_cost)*Opex!Z$7+rent_acre*acres_lease*Opex!Z$8</f>
        <v/>
      </c>
      <c r="AA111" s="25">
        <f>(om_kw*mwac*1000+ins_rate*$C$103+am_cost+prop_tax+misc_cost)*Opex!AA$7+rent_acre*acres_lease*Opex!AA$8</f>
        <v/>
      </c>
      <c r="AB111" s="25">
        <f>(om_kw*mwac*1000+ins_rate*$C$103+am_cost+prop_tax+misc_cost)*Opex!AB$7+rent_acre*acres_lease*Opex!AB$8</f>
        <v/>
      </c>
      <c r="AC111" s="25">
        <f>(om_kw*mwac*1000+ins_rate*$C$103+am_cost+prop_tax+misc_cost)*Opex!AC$7+rent_acre*acres_lease*Opex!AC$8</f>
        <v/>
      </c>
      <c r="AD111" s="25">
        <f>(om_kw*mwac*1000+ins_rate*$C$103+am_cost+prop_tax+misc_cost)*Opex!AD$7+rent_acre*acres_lease*Opex!AD$8</f>
        <v/>
      </c>
      <c r="AE111" s="25">
        <f>(om_kw*mwac*1000+ins_rate*$C$103+am_cost+prop_tax+misc_cost)*Opex!AE$7+rent_acre*acres_lease*Opex!AE$8</f>
        <v/>
      </c>
      <c r="AF111" s="25">
        <f>(om_kw*mwac*1000+ins_rate*$C$103+am_cost+prop_tax+misc_cost)*Opex!AF$7+rent_acre*acres_lease*Opex!AF$8</f>
        <v/>
      </c>
      <c r="AG111" s="25">
        <f>(om_kw*mwac*1000+ins_rate*$C$103+am_cost+prop_tax+misc_cost)*Opex!AG$7+rent_acre*acres_lease*Opex!AG$8</f>
        <v/>
      </c>
      <c r="AH111" s="25">
        <f>(om_kw*mwac*1000+ins_rate*$C$103+am_cost+prop_tax+misc_cost)*Opex!AH$7+rent_acre*acres_lease*Opex!AH$8</f>
        <v/>
      </c>
      <c r="AI111" s="25">
        <f>(om_kw*mwac*1000+ins_rate*$C$103+am_cost+prop_tax+misc_cost)*Opex!AI$7+rent_acre*acres_lease*Opex!AI$8</f>
        <v/>
      </c>
      <c r="AJ111" s="25">
        <f>(om_kw*mwac*1000+ins_rate*$C$103+am_cost+prop_tax+misc_cost)*Opex!AJ$7+rent_acre*acres_lease*Opex!AJ$8</f>
        <v/>
      </c>
      <c r="AK111" s="25">
        <f>(om_kw*mwac*1000+ins_rate*$C$103+am_cost+prop_tax+misc_cost)*Opex!AK$7+rent_acre*acres_lease*Opex!AK$8</f>
        <v/>
      </c>
      <c r="AL111" s="25">
        <f>(om_kw*mwac*1000+ins_rate*$C$103+am_cost+prop_tax+misc_cost)*Opex!AL$7+rent_acre*acres_lease*Opex!AL$8</f>
        <v/>
      </c>
    </row>
    <row r="112">
      <c r="B112" s="7" t="inlineStr">
        <is>
          <t>Credit cash ($)</t>
        </is>
      </c>
      <c r="D112" s="25">
        <f>IF(sw_credit="PTC",IF(D$5&lt;ptc_years,D106*Credits!D$8*(1+sw_bonus)*transfer_ptc,0),0)+IF(D$5=0,$C$105,0)</f>
        <v/>
      </c>
      <c r="E112" s="25">
        <f>IF(sw_credit="PTC",IF(E$5&lt;ptc_years,E106*Credits!E$8*(1+sw_bonus)*transfer_ptc,0),0)+IF(E$5=0,$C$105,0)</f>
        <v/>
      </c>
      <c r="F112" s="25">
        <f>IF(sw_credit="PTC",IF(F$5&lt;ptc_years,F106*Credits!F$8*(1+sw_bonus)*transfer_ptc,0),0)+IF(F$5=0,$C$105,0)</f>
        <v/>
      </c>
      <c r="G112" s="25">
        <f>IF(sw_credit="PTC",IF(G$5&lt;ptc_years,G106*Credits!G$8*(1+sw_bonus)*transfer_ptc,0),0)+IF(G$5=0,$C$105,0)</f>
        <v/>
      </c>
      <c r="H112" s="25">
        <f>IF(sw_credit="PTC",IF(H$5&lt;ptc_years,H106*Credits!H$8*(1+sw_bonus)*transfer_ptc,0),0)+IF(H$5=0,$C$105,0)</f>
        <v/>
      </c>
      <c r="I112" s="25">
        <f>IF(sw_credit="PTC",IF(I$5&lt;ptc_years,I106*Credits!I$8*(1+sw_bonus)*transfer_ptc,0),0)+IF(I$5=0,$C$105,0)</f>
        <v/>
      </c>
      <c r="J112" s="25">
        <f>IF(sw_credit="PTC",IF(J$5&lt;ptc_years,J106*Credits!J$8*(1+sw_bonus)*transfer_ptc,0),0)+IF(J$5=0,$C$105,0)</f>
        <v/>
      </c>
      <c r="K112" s="25">
        <f>IF(sw_credit="PTC",IF(K$5&lt;ptc_years,K106*Credits!K$8*(1+sw_bonus)*transfer_ptc,0),0)+IF(K$5=0,$C$105,0)</f>
        <v/>
      </c>
      <c r="L112" s="25">
        <f>IF(sw_credit="PTC",IF(L$5&lt;ptc_years,L106*Credits!L$8*(1+sw_bonus)*transfer_ptc,0),0)+IF(L$5=0,$C$105,0)</f>
        <v/>
      </c>
      <c r="M112" s="25">
        <f>IF(sw_credit="PTC",IF(M$5&lt;ptc_years,M106*Credits!M$8*(1+sw_bonus)*transfer_ptc,0),0)+IF(M$5=0,$C$105,0)</f>
        <v/>
      </c>
      <c r="N112" s="25">
        <f>IF(sw_credit="PTC",IF(N$5&lt;ptc_years,N106*Credits!N$8*(1+sw_bonus)*transfer_ptc,0),0)+IF(N$5=0,$C$105,0)</f>
        <v/>
      </c>
      <c r="O112" s="25">
        <f>IF(sw_credit="PTC",IF(O$5&lt;ptc_years,O106*Credits!O$8*(1+sw_bonus)*transfer_ptc,0),0)+IF(O$5=0,$C$105,0)</f>
        <v/>
      </c>
      <c r="P112" s="25">
        <f>IF(sw_credit="PTC",IF(P$5&lt;ptc_years,P106*Credits!P$8*(1+sw_bonus)*transfer_ptc,0),0)+IF(P$5=0,$C$105,0)</f>
        <v/>
      </c>
      <c r="Q112" s="25">
        <f>IF(sw_credit="PTC",IF(Q$5&lt;ptc_years,Q106*Credits!Q$8*(1+sw_bonus)*transfer_ptc,0),0)+IF(Q$5=0,$C$105,0)</f>
        <v/>
      </c>
      <c r="R112" s="25">
        <f>IF(sw_credit="PTC",IF(R$5&lt;ptc_years,R106*Credits!R$8*(1+sw_bonus)*transfer_ptc,0),0)+IF(R$5=0,$C$105,0)</f>
        <v/>
      </c>
      <c r="S112" s="25">
        <f>IF(sw_credit="PTC",IF(S$5&lt;ptc_years,S106*Credits!S$8*(1+sw_bonus)*transfer_ptc,0),0)+IF(S$5=0,$C$105,0)</f>
        <v/>
      </c>
      <c r="T112" s="25">
        <f>IF(sw_credit="PTC",IF(T$5&lt;ptc_years,T106*Credits!T$8*(1+sw_bonus)*transfer_ptc,0),0)+IF(T$5=0,$C$105,0)</f>
        <v/>
      </c>
      <c r="U112" s="25">
        <f>IF(sw_credit="PTC",IF(U$5&lt;ptc_years,U106*Credits!U$8*(1+sw_bonus)*transfer_ptc,0),0)+IF(U$5=0,$C$105,0)</f>
        <v/>
      </c>
      <c r="V112" s="25">
        <f>IF(sw_credit="PTC",IF(V$5&lt;ptc_years,V106*Credits!V$8*(1+sw_bonus)*transfer_ptc,0),0)+IF(V$5=0,$C$105,0)</f>
        <v/>
      </c>
      <c r="W112" s="25">
        <f>IF(sw_credit="PTC",IF(W$5&lt;ptc_years,W106*Credits!W$8*(1+sw_bonus)*transfer_ptc,0),0)+IF(W$5=0,$C$105,0)</f>
        <v/>
      </c>
      <c r="X112" s="25">
        <f>IF(sw_credit="PTC",IF(X$5&lt;ptc_years,X106*Credits!X$8*(1+sw_bonus)*transfer_ptc,0),0)+IF(X$5=0,$C$105,0)</f>
        <v/>
      </c>
      <c r="Y112" s="25">
        <f>IF(sw_credit="PTC",IF(Y$5&lt;ptc_years,Y106*Credits!Y$8*(1+sw_bonus)*transfer_ptc,0),0)+IF(Y$5=0,$C$105,0)</f>
        <v/>
      </c>
      <c r="Z112" s="25">
        <f>IF(sw_credit="PTC",IF(Z$5&lt;ptc_years,Z106*Credits!Z$8*(1+sw_bonus)*transfer_ptc,0),0)+IF(Z$5=0,$C$105,0)</f>
        <v/>
      </c>
      <c r="AA112" s="25">
        <f>IF(sw_credit="PTC",IF(AA$5&lt;ptc_years,AA106*Credits!AA$8*(1+sw_bonus)*transfer_ptc,0),0)+IF(AA$5=0,$C$105,0)</f>
        <v/>
      </c>
      <c r="AB112" s="25">
        <f>IF(sw_credit="PTC",IF(AB$5&lt;ptc_years,AB106*Credits!AB$8*(1+sw_bonus)*transfer_ptc,0),0)+IF(AB$5=0,$C$105,0)</f>
        <v/>
      </c>
      <c r="AC112" s="25">
        <f>IF(sw_credit="PTC",IF(AC$5&lt;ptc_years,AC106*Credits!AC$8*(1+sw_bonus)*transfer_ptc,0),0)+IF(AC$5=0,$C$105,0)</f>
        <v/>
      </c>
      <c r="AD112" s="25">
        <f>IF(sw_credit="PTC",IF(AD$5&lt;ptc_years,AD106*Credits!AD$8*(1+sw_bonus)*transfer_ptc,0),0)+IF(AD$5=0,$C$105,0)</f>
        <v/>
      </c>
      <c r="AE112" s="25">
        <f>IF(sw_credit="PTC",IF(AE$5&lt;ptc_years,AE106*Credits!AE$8*(1+sw_bonus)*transfer_ptc,0),0)+IF(AE$5=0,$C$105,0)</f>
        <v/>
      </c>
      <c r="AF112" s="25">
        <f>IF(sw_credit="PTC",IF(AF$5&lt;ptc_years,AF106*Credits!AF$8*(1+sw_bonus)*transfer_ptc,0),0)+IF(AF$5=0,$C$105,0)</f>
        <v/>
      </c>
      <c r="AG112" s="25">
        <f>IF(sw_credit="PTC",IF(AG$5&lt;ptc_years,AG106*Credits!AG$8*(1+sw_bonus)*transfer_ptc,0),0)+IF(AG$5=0,$C$105,0)</f>
        <v/>
      </c>
      <c r="AH112" s="25">
        <f>IF(sw_credit="PTC",IF(AH$5&lt;ptc_years,AH106*Credits!AH$8*(1+sw_bonus)*transfer_ptc,0),0)+IF(AH$5=0,$C$105,0)</f>
        <v/>
      </c>
      <c r="AI112" s="25">
        <f>IF(sw_credit="PTC",IF(AI$5&lt;ptc_years,AI106*Credits!AI$8*(1+sw_bonus)*transfer_ptc,0),0)+IF(AI$5=0,$C$105,0)</f>
        <v/>
      </c>
      <c r="AJ112" s="25">
        <f>IF(sw_credit="PTC",IF(AJ$5&lt;ptc_years,AJ106*Credits!AJ$8*(1+sw_bonus)*transfer_ptc,0),0)+IF(AJ$5=0,$C$105,0)</f>
        <v/>
      </c>
      <c r="AK112" s="25">
        <f>IF(sw_credit="PTC",IF(AK$5&lt;ptc_years,AK106*Credits!AK$8*(1+sw_bonus)*transfer_ptc,0),0)+IF(AK$5=0,$C$105,0)</f>
        <v/>
      </c>
      <c r="AL112" s="25">
        <f>IF(sw_credit="PTC",IF(AL$5&lt;ptc_years,AL106*Credits!AL$8*(1+sw_bonus)*transfer_ptc,0),0)+IF(AL$5=0,$C$105,0)</f>
        <v/>
      </c>
    </row>
    <row r="113">
      <c r="B113" s="14" t="inlineStr">
        <is>
          <t>EBITDA ($)</t>
        </is>
      </c>
      <c r="D113" s="26">
        <f>D108+D109-D110-D111</f>
        <v/>
      </c>
      <c r="E113" s="26">
        <f>E108+E109-E110-E111</f>
        <v/>
      </c>
      <c r="F113" s="26">
        <f>F108+F109-F110-F111</f>
        <v/>
      </c>
      <c r="G113" s="26">
        <f>G108+G109-G110-G111</f>
        <v/>
      </c>
      <c r="H113" s="26">
        <f>H108+H109-H110-H111</f>
        <v/>
      </c>
      <c r="I113" s="26">
        <f>I108+I109-I110-I111</f>
        <v/>
      </c>
      <c r="J113" s="26">
        <f>J108+J109-J110-J111</f>
        <v/>
      </c>
      <c r="K113" s="26">
        <f>K108+K109-K110-K111</f>
        <v/>
      </c>
      <c r="L113" s="26">
        <f>L108+L109-L110-L111</f>
        <v/>
      </c>
      <c r="M113" s="26">
        <f>M108+M109-M110-M111</f>
        <v/>
      </c>
      <c r="N113" s="26">
        <f>N108+N109-N110-N111</f>
        <v/>
      </c>
      <c r="O113" s="26">
        <f>O108+O109-O110-O111</f>
        <v/>
      </c>
      <c r="P113" s="26">
        <f>P108+P109-P110-P111</f>
        <v/>
      </c>
      <c r="Q113" s="26">
        <f>Q108+Q109-Q110-Q111</f>
        <v/>
      </c>
      <c r="R113" s="26">
        <f>R108+R109-R110-R111</f>
        <v/>
      </c>
      <c r="S113" s="26">
        <f>S108+S109-S110-S111</f>
        <v/>
      </c>
      <c r="T113" s="26">
        <f>T108+T109-T110-T111</f>
        <v/>
      </c>
      <c r="U113" s="26">
        <f>U108+U109-U110-U111</f>
        <v/>
      </c>
      <c r="V113" s="26">
        <f>V108+V109-V110-V111</f>
        <v/>
      </c>
      <c r="W113" s="26">
        <f>W108+W109-W110-W111</f>
        <v/>
      </c>
      <c r="X113" s="26">
        <f>X108+X109-X110-X111</f>
        <v/>
      </c>
      <c r="Y113" s="26">
        <f>Y108+Y109-Y110-Y111</f>
        <v/>
      </c>
      <c r="Z113" s="26">
        <f>Z108+Z109-Z110-Z111</f>
        <v/>
      </c>
      <c r="AA113" s="26">
        <f>AA108+AA109-AA110-AA111</f>
        <v/>
      </c>
      <c r="AB113" s="26">
        <f>AB108+AB109-AB110-AB111</f>
        <v/>
      </c>
      <c r="AC113" s="26">
        <f>AC108+AC109-AC110-AC111</f>
        <v/>
      </c>
      <c r="AD113" s="26">
        <f>AD108+AD109-AD110-AD111</f>
        <v/>
      </c>
      <c r="AE113" s="26">
        <f>AE108+AE109-AE110-AE111</f>
        <v/>
      </c>
      <c r="AF113" s="26">
        <f>AF108+AF109-AF110-AF111</f>
        <v/>
      </c>
      <c r="AG113" s="26">
        <f>AG108+AG109-AG110-AG111</f>
        <v/>
      </c>
      <c r="AH113" s="26">
        <f>AH108+AH109-AH110-AH111</f>
        <v/>
      </c>
      <c r="AI113" s="26">
        <f>AI108+AI109-AI110-AI111</f>
        <v/>
      </c>
      <c r="AJ113" s="26">
        <f>AJ108+AJ109-AJ110-AJ111</f>
        <v/>
      </c>
      <c r="AK113" s="26">
        <f>AK108+AK109-AK110-AK111</f>
        <v/>
      </c>
      <c r="AL113" s="26">
        <f>AL108+AL109-AL110-AL111</f>
        <v/>
      </c>
    </row>
    <row r="114">
      <c r="B114" s="7" t="inlineStr">
        <is>
          <t>Discount factor to 1 January 2027, contracted rate</t>
        </is>
      </c>
      <c r="D114" s="22">
        <f>1/(1+x_rc)^(D$5+2)</f>
        <v/>
      </c>
      <c r="E114" s="22">
        <f>1/(1+x_rc)^(E$5+2)</f>
        <v/>
      </c>
      <c r="F114" s="22">
        <f>1/(1+x_rc)^(F$5+2)</f>
        <v/>
      </c>
      <c r="G114" s="22">
        <f>1/(1+x_rc)^(G$5+2)</f>
        <v/>
      </c>
      <c r="H114" s="22">
        <f>1/(1+x_rc)^(H$5+2)</f>
        <v/>
      </c>
      <c r="I114" s="22">
        <f>1/(1+x_rc)^(I$5+2)</f>
        <v/>
      </c>
      <c r="J114" s="22">
        <f>1/(1+x_rc)^(J$5+2)</f>
        <v/>
      </c>
      <c r="K114" s="22">
        <f>1/(1+x_rc)^(K$5+2)</f>
        <v/>
      </c>
      <c r="L114" s="22">
        <f>1/(1+x_rc)^(L$5+2)</f>
        <v/>
      </c>
      <c r="M114" s="22">
        <f>1/(1+x_rc)^(M$5+2)</f>
        <v/>
      </c>
      <c r="N114" s="22">
        <f>1/(1+x_rc)^(N$5+2)</f>
        <v/>
      </c>
      <c r="O114" s="22">
        <f>1/(1+x_rc)^(O$5+2)</f>
        <v/>
      </c>
      <c r="P114" s="22">
        <f>1/(1+x_rc)^(P$5+2)</f>
        <v/>
      </c>
      <c r="Q114" s="22">
        <f>1/(1+x_rc)^(Q$5+2)</f>
        <v/>
      </c>
      <c r="R114" s="22">
        <f>1/(1+x_rc)^(R$5+2)</f>
        <v/>
      </c>
      <c r="S114" s="22">
        <f>1/(1+x_rc)^(S$5+2)</f>
        <v/>
      </c>
      <c r="T114" s="22">
        <f>1/(1+x_rc)^(T$5+2)</f>
        <v/>
      </c>
      <c r="U114" s="22">
        <f>1/(1+x_rc)^(U$5+2)</f>
        <v/>
      </c>
      <c r="V114" s="22">
        <f>1/(1+x_rc)^(V$5+2)</f>
        <v/>
      </c>
      <c r="W114" s="22">
        <f>1/(1+x_rc)^(W$5+2)</f>
        <v/>
      </c>
      <c r="X114" s="22">
        <f>1/(1+x_rc)^(X$5+2)</f>
        <v/>
      </c>
      <c r="Y114" s="22">
        <f>1/(1+x_rc)^(Y$5+2)</f>
        <v/>
      </c>
      <c r="Z114" s="22">
        <f>1/(1+x_rc)^(Z$5+2)</f>
        <v/>
      </c>
      <c r="AA114" s="22">
        <f>1/(1+x_rc)^(AA$5+2)</f>
        <v/>
      </c>
      <c r="AB114" s="22">
        <f>1/(1+x_rc)^(AB$5+2)</f>
        <v/>
      </c>
      <c r="AC114" s="22">
        <f>1/(1+x_rc)^(AC$5+2)</f>
        <v/>
      </c>
      <c r="AD114" s="22">
        <f>1/(1+x_rc)^(AD$5+2)</f>
        <v/>
      </c>
      <c r="AE114" s="22">
        <f>1/(1+x_rc)^(AE$5+2)</f>
        <v/>
      </c>
      <c r="AF114" s="22">
        <f>1/(1+x_rc)^(AF$5+2)</f>
        <v/>
      </c>
      <c r="AG114" s="22">
        <f>1/(1+x_rc)^(AG$5+2)</f>
        <v/>
      </c>
      <c r="AH114" s="22">
        <f>1/(1+x_rc)^(AH$5+2)</f>
        <v/>
      </c>
      <c r="AI114" s="22">
        <f>1/(1+x_rc)^(AI$5+2)</f>
        <v/>
      </c>
      <c r="AJ114" s="22">
        <f>1/(1+x_rc)^(AJ$5+2)</f>
        <v/>
      </c>
      <c r="AK114" s="22">
        <f>1/(1+x_rc)^(AK$5+2)</f>
        <v/>
      </c>
      <c r="AL114" s="22">
        <f>1/(1+x_rc)^(AL$5+2)</f>
        <v/>
      </c>
    </row>
    <row r="115">
      <c r="B115" s="7" t="inlineStr">
        <is>
          <t>Discount factor to 1 January 2027, merchant rate</t>
        </is>
      </c>
      <c r="D115" s="22">
        <f>1/(1+x_rm)^(D$5+2)</f>
        <v/>
      </c>
      <c r="E115" s="22">
        <f>1/(1+x_rm)^(E$5+2)</f>
        <v/>
      </c>
      <c r="F115" s="22">
        <f>1/(1+x_rm)^(F$5+2)</f>
        <v/>
      </c>
      <c r="G115" s="22">
        <f>1/(1+x_rm)^(G$5+2)</f>
        <v/>
      </c>
      <c r="H115" s="22">
        <f>1/(1+x_rm)^(H$5+2)</f>
        <v/>
      </c>
      <c r="I115" s="22">
        <f>1/(1+x_rm)^(I$5+2)</f>
        <v/>
      </c>
      <c r="J115" s="22">
        <f>1/(1+x_rm)^(J$5+2)</f>
        <v/>
      </c>
      <c r="K115" s="22">
        <f>1/(1+x_rm)^(K$5+2)</f>
        <v/>
      </c>
      <c r="L115" s="22">
        <f>1/(1+x_rm)^(L$5+2)</f>
        <v/>
      </c>
      <c r="M115" s="22">
        <f>1/(1+x_rm)^(M$5+2)</f>
        <v/>
      </c>
      <c r="N115" s="22">
        <f>1/(1+x_rm)^(N$5+2)</f>
        <v/>
      </c>
      <c r="O115" s="22">
        <f>1/(1+x_rm)^(O$5+2)</f>
        <v/>
      </c>
      <c r="P115" s="22">
        <f>1/(1+x_rm)^(P$5+2)</f>
        <v/>
      </c>
      <c r="Q115" s="22">
        <f>1/(1+x_rm)^(Q$5+2)</f>
        <v/>
      </c>
      <c r="R115" s="22">
        <f>1/(1+x_rm)^(R$5+2)</f>
        <v/>
      </c>
      <c r="S115" s="22">
        <f>1/(1+x_rm)^(S$5+2)</f>
        <v/>
      </c>
      <c r="T115" s="22">
        <f>1/(1+x_rm)^(T$5+2)</f>
        <v/>
      </c>
      <c r="U115" s="22">
        <f>1/(1+x_rm)^(U$5+2)</f>
        <v/>
      </c>
      <c r="V115" s="22">
        <f>1/(1+x_rm)^(V$5+2)</f>
        <v/>
      </c>
      <c r="W115" s="22">
        <f>1/(1+x_rm)^(W$5+2)</f>
        <v/>
      </c>
      <c r="X115" s="22">
        <f>1/(1+x_rm)^(X$5+2)</f>
        <v/>
      </c>
      <c r="Y115" s="22">
        <f>1/(1+x_rm)^(Y$5+2)</f>
        <v/>
      </c>
      <c r="Z115" s="22">
        <f>1/(1+x_rm)^(Z$5+2)</f>
        <v/>
      </c>
      <c r="AA115" s="22">
        <f>1/(1+x_rm)^(AA$5+2)</f>
        <v/>
      </c>
      <c r="AB115" s="22">
        <f>1/(1+x_rm)^(AB$5+2)</f>
        <v/>
      </c>
      <c r="AC115" s="22">
        <f>1/(1+x_rm)^(AC$5+2)</f>
        <v/>
      </c>
      <c r="AD115" s="22">
        <f>1/(1+x_rm)^(AD$5+2)</f>
        <v/>
      </c>
      <c r="AE115" s="22">
        <f>1/(1+x_rm)^(AE$5+2)</f>
        <v/>
      </c>
      <c r="AF115" s="22">
        <f>1/(1+x_rm)^(AF$5+2)</f>
        <v/>
      </c>
      <c r="AG115" s="22">
        <f>1/(1+x_rm)^(AG$5+2)</f>
        <v/>
      </c>
      <c r="AH115" s="22">
        <f>1/(1+x_rm)^(AH$5+2)</f>
        <v/>
      </c>
      <c r="AI115" s="22">
        <f>1/(1+x_rm)^(AI$5+2)</f>
        <v/>
      </c>
      <c r="AJ115" s="22">
        <f>1/(1+x_rm)^(AJ$5+2)</f>
        <v/>
      </c>
      <c r="AK115" s="22">
        <f>1/(1+x_rm)^(AK$5+2)</f>
        <v/>
      </c>
      <c r="AL115" s="22">
        <f>1/(1+x_rm)^(AL$5+2)</f>
        <v/>
      </c>
    </row>
    <row r="116">
      <c r="B116" s="7" t="inlineStr">
        <is>
          <t>Value on 1 January 2027 of the flows from 2028 (split rates) ($)</t>
        </is>
      </c>
      <c r="C116" s="25">
        <f>SUMPRODUCT($D$108:$AL$108,$D$114:$AL$114)+SUMPRODUCT($D$112:$AL$112,$D$114:$AL$114)-SUMPRODUCT($D$110:$AL$110,$D$114:$AL$114)-SUMPRODUCT($D$111:$AL$111,$D$114:$AL$114)+SUMPRODUCT($D$109:$AL$109,$D$115:$AL$115)-decom_end/(1+x_rc)^(life_years+1)</f>
        <v/>
      </c>
    </row>
    <row r="117">
      <c r="B117" s="14" t="inlineStr">
        <is>
          <t>Development value on 1 January 2027: value less the capital cost ($)</t>
        </is>
      </c>
      <c r="C117" s="26">
        <f>C116-C103/(1+x_rc)</f>
        <v/>
      </c>
    </row>
    <row r="118">
      <c r="B118" s="7" t="inlineStr">
        <is>
          <t>Highest premium Ashgrove can pay at NTP ($)</t>
        </is>
      </c>
      <c r="C118" s="25">
        <f>C117-reimb+reimb/(1+x_rc)</f>
        <v/>
      </c>
    </row>
    <row r="121">
      <c r="B121" s="6" t="inlineStr">
        <is>
          <t>Network upgrades, first shock, case C</t>
        </is>
      </c>
    </row>
    <row r="122">
      <c r="B122" s="7" t="inlineStr">
        <is>
          <t>Capital cost ($)</t>
        </is>
      </c>
      <c r="C122" s="25">
        <f>((x_module+x_tracker+x_bos)*mwdc*1000000+x_inverter*mwac*1000000+x_sub)*(1+contingency)+sens_ic_30+owner</f>
        <v/>
      </c>
    </row>
    <row r="123">
      <c r="B123" s="7" t="inlineStr">
        <is>
          <t>ITC eligible basis ($)</t>
        </is>
      </c>
      <c r="C123" s="25">
        <f>((x_module+x_tracker+x_bos)*mwdc*1000000+x_inverter*mwac*1000000+x_sub)*(1+contingency)-gentie_share*x_sub</f>
        <v/>
      </c>
    </row>
    <row r="124">
      <c r="B124" s="7" t="inlineStr">
        <is>
          <t>ITC cash at the end of 2028, if elected ($)</t>
        </is>
      </c>
      <c r="C124" s="25">
        <f>IF(sw_credit="ITC",C123*(itc_rate+sw_bonus)*transfer_itc,0)</f>
        <v/>
      </c>
    </row>
    <row r="125">
      <c r="B125" s="7" t="inlineStr">
        <is>
          <t>Energy (MWh)</t>
        </is>
      </c>
      <c r="D125" s="23">
        <f>mwac*hours*cf_p50*Energy!D$7*x_scale</f>
        <v/>
      </c>
      <c r="E125" s="23">
        <f>mwac*hours*cf_p50*Energy!E$7*x_scale</f>
        <v/>
      </c>
      <c r="F125" s="23">
        <f>mwac*hours*cf_p50*Energy!F$7*x_scale</f>
        <v/>
      </c>
      <c r="G125" s="23">
        <f>mwac*hours*cf_p50*Energy!G$7*x_scale</f>
        <v/>
      </c>
      <c r="H125" s="23">
        <f>mwac*hours*cf_p50*Energy!H$7*x_scale</f>
        <v/>
      </c>
      <c r="I125" s="23">
        <f>mwac*hours*cf_p50*Energy!I$7*x_scale</f>
        <v/>
      </c>
      <c r="J125" s="23">
        <f>mwac*hours*cf_p50*Energy!J$7*x_scale</f>
        <v/>
      </c>
      <c r="K125" s="23">
        <f>mwac*hours*cf_p50*Energy!K$7*x_scale</f>
        <v/>
      </c>
      <c r="L125" s="23">
        <f>mwac*hours*cf_p50*Energy!L$7*x_scale</f>
        <v/>
      </c>
      <c r="M125" s="23">
        <f>mwac*hours*cf_p50*Energy!M$7*x_scale</f>
        <v/>
      </c>
      <c r="N125" s="23">
        <f>mwac*hours*cf_p50*Energy!N$7*x_scale</f>
        <v/>
      </c>
      <c r="O125" s="23">
        <f>mwac*hours*cf_p50*Energy!O$7*x_scale</f>
        <v/>
      </c>
      <c r="P125" s="23">
        <f>mwac*hours*cf_p50*Energy!P$7*x_scale</f>
        <v/>
      </c>
      <c r="Q125" s="23">
        <f>mwac*hours*cf_p50*Energy!Q$7*x_scale</f>
        <v/>
      </c>
      <c r="R125" s="23">
        <f>mwac*hours*cf_p50*Energy!R$7*x_scale</f>
        <v/>
      </c>
      <c r="S125" s="23">
        <f>mwac*hours*cf_p50*Energy!S$7*x_scale</f>
        <v/>
      </c>
      <c r="T125" s="23">
        <f>mwac*hours*cf_p50*Energy!T$7*x_scale</f>
        <v/>
      </c>
      <c r="U125" s="23">
        <f>mwac*hours*cf_p50*Energy!U$7*x_scale</f>
        <v/>
      </c>
      <c r="V125" s="23">
        <f>mwac*hours*cf_p50*Energy!V$7*x_scale</f>
        <v/>
      </c>
      <c r="W125" s="23">
        <f>mwac*hours*cf_p50*Energy!W$7*x_scale</f>
        <v/>
      </c>
      <c r="X125" s="23">
        <f>mwac*hours*cf_p50*Energy!X$7*x_scale</f>
        <v/>
      </c>
      <c r="Y125" s="23">
        <f>mwac*hours*cf_p50*Energy!Y$7*x_scale</f>
        <v/>
      </c>
      <c r="Z125" s="23">
        <f>mwac*hours*cf_p50*Energy!Z$7*x_scale</f>
        <v/>
      </c>
      <c r="AA125" s="23">
        <f>mwac*hours*cf_p50*Energy!AA$7*x_scale</f>
        <v/>
      </c>
      <c r="AB125" s="23">
        <f>mwac*hours*cf_p50*Energy!AB$7*x_scale</f>
        <v/>
      </c>
      <c r="AC125" s="23">
        <f>mwac*hours*cf_p50*Energy!AC$7*x_scale</f>
        <v/>
      </c>
      <c r="AD125" s="23">
        <f>mwac*hours*cf_p50*Energy!AD$7*x_scale</f>
        <v/>
      </c>
      <c r="AE125" s="23">
        <f>mwac*hours*cf_p50*Energy!AE$7*x_scale</f>
        <v/>
      </c>
      <c r="AF125" s="23">
        <f>mwac*hours*cf_p50*Energy!AF$7*x_scale</f>
        <v/>
      </c>
      <c r="AG125" s="23">
        <f>mwac*hours*cf_p50*Energy!AG$7*x_scale</f>
        <v/>
      </c>
      <c r="AH125" s="23">
        <f>mwac*hours*cf_p50*Energy!AH$7*x_scale</f>
        <v/>
      </c>
      <c r="AI125" s="23">
        <f>mwac*hours*cf_p50*Energy!AI$7*x_scale</f>
        <v/>
      </c>
      <c r="AJ125" s="23">
        <f>mwac*hours*cf_p50*Energy!AJ$7*x_scale</f>
        <v/>
      </c>
      <c r="AK125" s="23">
        <f>mwac*hours*cf_p50*Energy!AK$7*x_scale</f>
        <v/>
      </c>
      <c r="AL125" s="23">
        <f>mwac*hours*cf_p50*Energy!AL$7*x_scale</f>
        <v/>
      </c>
    </row>
    <row r="126">
      <c r="B126" s="7" t="inlineStr">
        <is>
          <t>Node price, hub switch applied ($/MWh)</t>
        </is>
      </c>
      <c r="D126" s="32">
        <f>Market!D$7*(1+sw_hub)*Market!D$8+Market!D$10</f>
        <v/>
      </c>
      <c r="E126" s="32">
        <f>Market!E$7*(1+sw_hub)*Market!E$8+Market!E$10</f>
        <v/>
      </c>
      <c r="F126" s="32">
        <f>Market!F$7*(1+sw_hub)*Market!F$8+Market!F$10</f>
        <v/>
      </c>
      <c r="G126" s="32">
        <f>Market!G$7*(1+sw_hub)*Market!G$8+Market!G$10</f>
        <v/>
      </c>
      <c r="H126" s="32">
        <f>Market!H$7*(1+sw_hub)*Market!H$8+Market!H$10</f>
        <v/>
      </c>
      <c r="I126" s="32">
        <f>Market!I$7*(1+sw_hub)*Market!I$8+Market!I$10</f>
        <v/>
      </c>
      <c r="J126" s="32">
        <f>Market!J$7*(1+sw_hub)*Market!J$8+Market!J$10</f>
        <v/>
      </c>
      <c r="K126" s="32">
        <f>Market!K$7*(1+sw_hub)*Market!K$8+Market!K$10</f>
        <v/>
      </c>
      <c r="L126" s="32">
        <f>Market!L$7*(1+sw_hub)*Market!L$8+Market!L$10</f>
        <v/>
      </c>
      <c r="M126" s="32">
        <f>Market!M$7*(1+sw_hub)*Market!M$8+Market!M$10</f>
        <v/>
      </c>
      <c r="N126" s="32">
        <f>Market!N$7*(1+sw_hub)*Market!N$8+Market!N$10</f>
        <v/>
      </c>
      <c r="O126" s="32">
        <f>Market!O$7*(1+sw_hub)*Market!O$8+Market!O$10</f>
        <v/>
      </c>
      <c r="P126" s="32">
        <f>Market!P$7*(1+sw_hub)*Market!P$8+Market!P$10</f>
        <v/>
      </c>
      <c r="Q126" s="32">
        <f>Market!Q$7*(1+sw_hub)*Market!Q$8+Market!Q$10</f>
        <v/>
      </c>
      <c r="R126" s="32">
        <f>Market!R$7*(1+sw_hub)*Market!R$8+Market!R$10</f>
        <v/>
      </c>
      <c r="S126" s="32">
        <f>Market!S$7*(1+sw_hub)*Market!S$8+Market!S$10</f>
        <v/>
      </c>
      <c r="T126" s="32">
        <f>Market!T$7*(1+sw_hub)*Market!T$8+Market!T$10</f>
        <v/>
      </c>
      <c r="U126" s="32">
        <f>Market!U$7*(1+sw_hub)*Market!U$8+Market!U$10</f>
        <v/>
      </c>
      <c r="V126" s="32">
        <f>Market!V$7*(1+sw_hub)*Market!V$8+Market!V$10</f>
        <v/>
      </c>
      <c r="W126" s="32">
        <f>Market!W$7*(1+sw_hub)*Market!W$8+Market!W$10</f>
        <v/>
      </c>
      <c r="X126" s="32">
        <f>Market!X$7*(1+sw_hub)*Market!X$8+Market!X$10</f>
        <v/>
      </c>
      <c r="Y126" s="32">
        <f>Market!Y$7*(1+sw_hub)*Market!Y$8+Market!Y$10</f>
        <v/>
      </c>
      <c r="Z126" s="32">
        <f>Market!Z$7*(1+sw_hub)*Market!Z$8+Market!Z$10</f>
        <v/>
      </c>
      <c r="AA126" s="32">
        <f>Market!AA$7*(1+sw_hub)*Market!AA$8+Market!AA$10</f>
        <v/>
      </c>
      <c r="AB126" s="32">
        <f>Market!AB$7*(1+sw_hub)*Market!AB$8+Market!AB$10</f>
        <v/>
      </c>
      <c r="AC126" s="32">
        <f>Market!AC$7*(1+sw_hub)*Market!AC$8+Market!AC$10</f>
        <v/>
      </c>
      <c r="AD126" s="32">
        <f>Market!AD$7*(1+sw_hub)*Market!AD$8+Market!AD$10</f>
        <v/>
      </c>
      <c r="AE126" s="32">
        <f>Market!AE$7*(1+sw_hub)*Market!AE$8+Market!AE$10</f>
        <v/>
      </c>
      <c r="AF126" s="32">
        <f>Market!AF$7*(1+sw_hub)*Market!AF$8+Market!AF$10</f>
        <v/>
      </c>
      <c r="AG126" s="32">
        <f>Market!AG$7*(1+sw_hub)*Market!AG$8+Market!AG$10</f>
        <v/>
      </c>
      <c r="AH126" s="32">
        <f>Market!AH$7*(1+sw_hub)*Market!AH$8+Market!AH$10</f>
        <v/>
      </c>
      <c r="AI126" s="32">
        <f>Market!AI$7*(1+sw_hub)*Market!AI$8+Market!AI$10</f>
        <v/>
      </c>
      <c r="AJ126" s="32">
        <f>Market!AJ$7*(1+sw_hub)*Market!AJ$8+Market!AJ$10</f>
        <v/>
      </c>
      <c r="AK126" s="32">
        <f>Market!AK$7*(1+sw_hub)*Market!AK$8+Market!AK$10</f>
        <v/>
      </c>
      <c r="AL126" s="32">
        <f>Market!AL$7*(1+sw_hub)*Market!AL$8+Market!AL$10</f>
        <v/>
      </c>
    </row>
    <row r="127">
      <c r="B127" s="7" t="inlineStr">
        <is>
          <t>Contracted revenue ($)</t>
        </is>
      </c>
      <c r="D127" s="25">
        <f>IF(D$5&lt;c_years,D125*c_price,0)</f>
        <v/>
      </c>
      <c r="E127" s="25">
        <f>IF(E$5&lt;c_years,E125*c_price,0)</f>
        <v/>
      </c>
      <c r="F127" s="25">
        <f>IF(F$5&lt;c_years,F125*c_price,0)</f>
        <v/>
      </c>
      <c r="G127" s="25">
        <f>IF(G$5&lt;c_years,G125*c_price,0)</f>
        <v/>
      </c>
      <c r="H127" s="25">
        <f>IF(H$5&lt;c_years,H125*c_price,0)</f>
        <v/>
      </c>
      <c r="I127" s="25">
        <f>IF(I$5&lt;c_years,I125*c_price,0)</f>
        <v/>
      </c>
      <c r="J127" s="25">
        <f>IF(J$5&lt;c_years,J125*c_price,0)</f>
        <v/>
      </c>
      <c r="K127" s="25">
        <f>IF(K$5&lt;c_years,K125*c_price,0)</f>
        <v/>
      </c>
      <c r="L127" s="25">
        <f>IF(L$5&lt;c_years,L125*c_price,0)</f>
        <v/>
      </c>
      <c r="M127" s="25">
        <f>IF(M$5&lt;c_years,M125*c_price,0)</f>
        <v/>
      </c>
      <c r="N127" s="25">
        <f>IF(N$5&lt;c_years,N125*c_price,0)</f>
        <v/>
      </c>
      <c r="O127" s="25">
        <f>IF(O$5&lt;c_years,O125*c_price,0)</f>
        <v/>
      </c>
      <c r="P127" s="25">
        <f>IF(P$5&lt;c_years,P125*c_price,0)</f>
        <v/>
      </c>
      <c r="Q127" s="25">
        <f>IF(Q$5&lt;c_years,Q125*c_price,0)</f>
        <v/>
      </c>
      <c r="R127" s="25">
        <f>IF(R$5&lt;c_years,R125*c_price,0)</f>
        <v/>
      </c>
      <c r="S127" s="25">
        <f>IF(S$5&lt;c_years,S125*c_price,0)</f>
        <v/>
      </c>
      <c r="T127" s="25">
        <f>IF(T$5&lt;c_years,T125*c_price,0)</f>
        <v/>
      </c>
      <c r="U127" s="25">
        <f>IF(U$5&lt;c_years,U125*c_price,0)</f>
        <v/>
      </c>
      <c r="V127" s="25">
        <f>IF(V$5&lt;c_years,V125*c_price,0)</f>
        <v/>
      </c>
      <c r="W127" s="25">
        <f>IF(W$5&lt;c_years,W125*c_price,0)</f>
        <v/>
      </c>
      <c r="X127" s="25">
        <f>IF(X$5&lt;c_years,X125*c_price,0)</f>
        <v/>
      </c>
      <c r="Y127" s="25">
        <f>IF(Y$5&lt;c_years,Y125*c_price,0)</f>
        <v/>
      </c>
      <c r="Z127" s="25">
        <f>IF(Z$5&lt;c_years,Z125*c_price,0)</f>
        <v/>
      </c>
      <c r="AA127" s="25">
        <f>IF(AA$5&lt;c_years,AA125*c_price,0)</f>
        <v/>
      </c>
      <c r="AB127" s="25">
        <f>IF(AB$5&lt;c_years,AB125*c_price,0)</f>
        <v/>
      </c>
      <c r="AC127" s="25">
        <f>IF(AC$5&lt;c_years,AC125*c_price,0)</f>
        <v/>
      </c>
      <c r="AD127" s="25">
        <f>IF(AD$5&lt;c_years,AD125*c_price,0)</f>
        <v/>
      </c>
      <c r="AE127" s="25">
        <f>IF(AE$5&lt;c_years,AE125*c_price,0)</f>
        <v/>
      </c>
      <c r="AF127" s="25">
        <f>IF(AF$5&lt;c_years,AF125*c_price,0)</f>
        <v/>
      </c>
      <c r="AG127" s="25">
        <f>IF(AG$5&lt;c_years,AG125*c_price,0)</f>
        <v/>
      </c>
      <c r="AH127" s="25">
        <f>IF(AH$5&lt;c_years,AH125*c_price,0)</f>
        <v/>
      </c>
      <c r="AI127" s="25">
        <f>IF(AI$5&lt;c_years,AI125*c_price,0)</f>
        <v/>
      </c>
      <c r="AJ127" s="25">
        <f>IF(AJ$5&lt;c_years,AJ125*c_price,0)</f>
        <v/>
      </c>
      <c r="AK127" s="25">
        <f>IF(AK$5&lt;c_years,AK125*c_price,0)</f>
        <v/>
      </c>
      <c r="AL127" s="25">
        <f>IF(AL$5&lt;c_years,AL125*c_price,0)</f>
        <v/>
      </c>
    </row>
    <row r="128">
      <c r="B128" s="7" t="inlineStr">
        <is>
          <t>Merchant revenue ($)</t>
        </is>
      </c>
      <c r="D128" s="25">
        <f>IF(D$5&lt;c_years,Market!D$13,D125*(D126+rec_price)+Market!D$13)</f>
        <v/>
      </c>
      <c r="E128" s="25">
        <f>IF(E$5&lt;c_years,Market!E$13,E125*(E126+rec_price)+Market!E$13)</f>
        <v/>
      </c>
      <c r="F128" s="25">
        <f>IF(F$5&lt;c_years,Market!F$13,F125*(F126+rec_price)+Market!F$13)</f>
        <v/>
      </c>
      <c r="G128" s="25">
        <f>IF(G$5&lt;c_years,Market!G$13,G125*(G126+rec_price)+Market!G$13)</f>
        <v/>
      </c>
      <c r="H128" s="25">
        <f>IF(H$5&lt;c_years,Market!H$13,H125*(H126+rec_price)+Market!H$13)</f>
        <v/>
      </c>
      <c r="I128" s="25">
        <f>IF(I$5&lt;c_years,Market!I$13,I125*(I126+rec_price)+Market!I$13)</f>
        <v/>
      </c>
      <c r="J128" s="25">
        <f>IF(J$5&lt;c_years,Market!J$13,J125*(J126+rec_price)+Market!J$13)</f>
        <v/>
      </c>
      <c r="K128" s="25">
        <f>IF(K$5&lt;c_years,Market!K$13,K125*(K126+rec_price)+Market!K$13)</f>
        <v/>
      </c>
      <c r="L128" s="25">
        <f>IF(L$5&lt;c_years,Market!L$13,L125*(L126+rec_price)+Market!L$13)</f>
        <v/>
      </c>
      <c r="M128" s="25">
        <f>IF(M$5&lt;c_years,Market!M$13,M125*(M126+rec_price)+Market!M$13)</f>
        <v/>
      </c>
      <c r="N128" s="25">
        <f>IF(N$5&lt;c_years,Market!N$13,N125*(N126+rec_price)+Market!N$13)</f>
        <v/>
      </c>
      <c r="O128" s="25">
        <f>IF(O$5&lt;c_years,Market!O$13,O125*(O126+rec_price)+Market!O$13)</f>
        <v/>
      </c>
      <c r="P128" s="25">
        <f>IF(P$5&lt;c_years,Market!P$13,P125*(P126+rec_price)+Market!P$13)</f>
        <v/>
      </c>
      <c r="Q128" s="25">
        <f>IF(Q$5&lt;c_years,Market!Q$13,Q125*(Q126+rec_price)+Market!Q$13)</f>
        <v/>
      </c>
      <c r="R128" s="25">
        <f>IF(R$5&lt;c_years,Market!R$13,R125*(R126+rec_price)+Market!R$13)</f>
        <v/>
      </c>
      <c r="S128" s="25">
        <f>IF(S$5&lt;c_years,Market!S$13,S125*(S126+rec_price)+Market!S$13)</f>
        <v/>
      </c>
      <c r="T128" s="25">
        <f>IF(T$5&lt;c_years,Market!T$13,T125*(T126+rec_price)+Market!T$13)</f>
        <v/>
      </c>
      <c r="U128" s="25">
        <f>IF(U$5&lt;c_years,Market!U$13,U125*(U126+rec_price)+Market!U$13)</f>
        <v/>
      </c>
      <c r="V128" s="25">
        <f>IF(V$5&lt;c_years,Market!V$13,V125*(V126+rec_price)+Market!V$13)</f>
        <v/>
      </c>
      <c r="W128" s="25">
        <f>IF(W$5&lt;c_years,Market!W$13,W125*(W126+rec_price)+Market!W$13)</f>
        <v/>
      </c>
      <c r="X128" s="25">
        <f>IF(X$5&lt;c_years,Market!X$13,X125*(X126+rec_price)+Market!X$13)</f>
        <v/>
      </c>
      <c r="Y128" s="25">
        <f>IF(Y$5&lt;c_years,Market!Y$13,Y125*(Y126+rec_price)+Market!Y$13)</f>
        <v/>
      </c>
      <c r="Z128" s="25">
        <f>IF(Z$5&lt;c_years,Market!Z$13,Z125*(Z126+rec_price)+Market!Z$13)</f>
        <v/>
      </c>
      <c r="AA128" s="25">
        <f>IF(AA$5&lt;c_years,Market!AA$13,AA125*(AA126+rec_price)+Market!AA$13)</f>
        <v/>
      </c>
      <c r="AB128" s="25">
        <f>IF(AB$5&lt;c_years,Market!AB$13,AB125*(AB126+rec_price)+Market!AB$13)</f>
        <v/>
      </c>
      <c r="AC128" s="25">
        <f>IF(AC$5&lt;c_years,Market!AC$13,AC125*(AC126+rec_price)+Market!AC$13)</f>
        <v/>
      </c>
      <c r="AD128" s="25">
        <f>IF(AD$5&lt;c_years,Market!AD$13,AD125*(AD126+rec_price)+Market!AD$13)</f>
        <v/>
      </c>
      <c r="AE128" s="25">
        <f>IF(AE$5&lt;c_years,Market!AE$13,AE125*(AE126+rec_price)+Market!AE$13)</f>
        <v/>
      </c>
      <c r="AF128" s="25">
        <f>IF(AF$5&lt;c_years,Market!AF$13,AF125*(AF126+rec_price)+Market!AF$13)</f>
        <v/>
      </c>
      <c r="AG128" s="25">
        <f>IF(AG$5&lt;c_years,Market!AG$13,AG125*(AG126+rec_price)+Market!AG$13)</f>
        <v/>
      </c>
      <c r="AH128" s="25">
        <f>IF(AH$5&lt;c_years,Market!AH$13,AH125*(AH126+rec_price)+Market!AH$13)</f>
        <v/>
      </c>
      <c r="AI128" s="25">
        <f>IF(AI$5&lt;c_years,Market!AI$13,AI125*(AI126+rec_price)+Market!AI$13)</f>
        <v/>
      </c>
      <c r="AJ128" s="25">
        <f>IF(AJ$5&lt;c_years,Market!AJ$13,AJ125*(AJ126+rec_price)+Market!AJ$13)</f>
        <v/>
      </c>
      <c r="AK128" s="25">
        <f>IF(AK$5&lt;c_years,Market!AK$13,AK125*(AK126+rec_price)+Market!AK$13)</f>
        <v/>
      </c>
      <c r="AL128" s="25">
        <f>IF(AL$5&lt;c_years,Market!AL$13,AL125*(AL126+rec_price)+Market!AL$13)</f>
        <v/>
      </c>
    </row>
    <row r="129">
      <c r="B129" s="7" t="inlineStr">
        <is>
          <t>Basis cost kept by the project ($)</t>
        </is>
      </c>
      <c r="D129" s="25">
        <f>IF(D$5&lt;c_years,-D125*Market!D$10,0)</f>
        <v/>
      </c>
      <c r="E129" s="25">
        <f>IF(E$5&lt;c_years,-E125*Market!E$10,0)</f>
        <v/>
      </c>
      <c r="F129" s="25">
        <f>IF(F$5&lt;c_years,-F125*Market!F$10,0)</f>
        <v/>
      </c>
      <c r="G129" s="25">
        <f>IF(G$5&lt;c_years,-G125*Market!G$10,0)</f>
        <v/>
      </c>
      <c r="H129" s="25">
        <f>IF(H$5&lt;c_years,-H125*Market!H$10,0)</f>
        <v/>
      </c>
      <c r="I129" s="25">
        <f>IF(I$5&lt;c_years,-I125*Market!I$10,0)</f>
        <v/>
      </c>
      <c r="J129" s="25">
        <f>IF(J$5&lt;c_years,-J125*Market!J$10,0)</f>
        <v/>
      </c>
      <c r="K129" s="25">
        <f>IF(K$5&lt;c_years,-K125*Market!K$10,0)</f>
        <v/>
      </c>
      <c r="L129" s="25">
        <f>IF(L$5&lt;c_years,-L125*Market!L$10,0)</f>
        <v/>
      </c>
      <c r="M129" s="25">
        <f>IF(M$5&lt;c_years,-M125*Market!M$10,0)</f>
        <v/>
      </c>
      <c r="N129" s="25">
        <f>IF(N$5&lt;c_years,-N125*Market!N$10,0)</f>
        <v/>
      </c>
      <c r="O129" s="25">
        <f>IF(O$5&lt;c_years,-O125*Market!O$10,0)</f>
        <v/>
      </c>
      <c r="P129" s="25">
        <f>IF(P$5&lt;c_years,-P125*Market!P$10,0)</f>
        <v/>
      </c>
      <c r="Q129" s="25">
        <f>IF(Q$5&lt;c_years,-Q125*Market!Q$10,0)</f>
        <v/>
      </c>
      <c r="R129" s="25">
        <f>IF(R$5&lt;c_years,-R125*Market!R$10,0)</f>
        <v/>
      </c>
      <c r="S129" s="25">
        <f>IF(S$5&lt;c_years,-S125*Market!S$10,0)</f>
        <v/>
      </c>
      <c r="T129" s="25">
        <f>IF(T$5&lt;c_years,-T125*Market!T$10,0)</f>
        <v/>
      </c>
      <c r="U129" s="25">
        <f>IF(U$5&lt;c_years,-U125*Market!U$10,0)</f>
        <v/>
      </c>
      <c r="V129" s="25">
        <f>IF(V$5&lt;c_years,-V125*Market!V$10,0)</f>
        <v/>
      </c>
      <c r="W129" s="25">
        <f>IF(W$5&lt;c_years,-W125*Market!W$10,0)</f>
        <v/>
      </c>
      <c r="X129" s="25">
        <f>IF(X$5&lt;c_years,-X125*Market!X$10,0)</f>
        <v/>
      </c>
      <c r="Y129" s="25">
        <f>IF(Y$5&lt;c_years,-Y125*Market!Y$10,0)</f>
        <v/>
      </c>
      <c r="Z129" s="25">
        <f>IF(Z$5&lt;c_years,-Z125*Market!Z$10,0)</f>
        <v/>
      </c>
      <c r="AA129" s="25">
        <f>IF(AA$5&lt;c_years,-AA125*Market!AA$10,0)</f>
        <v/>
      </c>
      <c r="AB129" s="25">
        <f>IF(AB$5&lt;c_years,-AB125*Market!AB$10,0)</f>
        <v/>
      </c>
      <c r="AC129" s="25">
        <f>IF(AC$5&lt;c_years,-AC125*Market!AC$10,0)</f>
        <v/>
      </c>
      <c r="AD129" s="25">
        <f>IF(AD$5&lt;c_years,-AD125*Market!AD$10,0)</f>
        <v/>
      </c>
      <c r="AE129" s="25">
        <f>IF(AE$5&lt;c_years,-AE125*Market!AE$10,0)</f>
        <v/>
      </c>
      <c r="AF129" s="25">
        <f>IF(AF$5&lt;c_years,-AF125*Market!AF$10,0)</f>
        <v/>
      </c>
      <c r="AG129" s="25">
        <f>IF(AG$5&lt;c_years,-AG125*Market!AG$10,0)</f>
        <v/>
      </c>
      <c r="AH129" s="25">
        <f>IF(AH$5&lt;c_years,-AH125*Market!AH$10,0)</f>
        <v/>
      </c>
      <c r="AI129" s="25">
        <f>IF(AI$5&lt;c_years,-AI125*Market!AI$10,0)</f>
        <v/>
      </c>
      <c r="AJ129" s="25">
        <f>IF(AJ$5&lt;c_years,-AJ125*Market!AJ$10,0)</f>
        <v/>
      </c>
      <c r="AK129" s="25">
        <f>IF(AK$5&lt;c_years,-AK125*Market!AK$10,0)</f>
        <v/>
      </c>
      <c r="AL129" s="25">
        <f>IF(AL$5&lt;c_years,-AL125*Market!AL$10,0)</f>
        <v/>
      </c>
    </row>
    <row r="130">
      <c r="B130" s="7" t="inlineStr">
        <is>
          <t>Operating cost ($)</t>
        </is>
      </c>
      <c r="D130" s="25">
        <f>(om_kw*mwac*1000+ins_rate*$C$122+am_cost+prop_tax+misc_cost)*Opex!D$7+rent_acre*acres_lease*Opex!D$8</f>
        <v/>
      </c>
      <c r="E130" s="25">
        <f>(om_kw*mwac*1000+ins_rate*$C$122+am_cost+prop_tax+misc_cost)*Opex!E$7+rent_acre*acres_lease*Opex!E$8</f>
        <v/>
      </c>
      <c r="F130" s="25">
        <f>(om_kw*mwac*1000+ins_rate*$C$122+am_cost+prop_tax+misc_cost)*Opex!F$7+rent_acre*acres_lease*Opex!F$8</f>
        <v/>
      </c>
      <c r="G130" s="25">
        <f>(om_kw*mwac*1000+ins_rate*$C$122+am_cost+prop_tax+misc_cost)*Opex!G$7+rent_acre*acres_lease*Opex!G$8</f>
        <v/>
      </c>
      <c r="H130" s="25">
        <f>(om_kw*mwac*1000+ins_rate*$C$122+am_cost+prop_tax+misc_cost)*Opex!H$7+rent_acre*acres_lease*Opex!H$8</f>
        <v/>
      </c>
      <c r="I130" s="25">
        <f>(om_kw*mwac*1000+ins_rate*$C$122+am_cost+prop_tax+misc_cost)*Opex!I$7+rent_acre*acres_lease*Opex!I$8</f>
        <v/>
      </c>
      <c r="J130" s="25">
        <f>(om_kw*mwac*1000+ins_rate*$C$122+am_cost+prop_tax+misc_cost)*Opex!J$7+rent_acre*acres_lease*Opex!J$8</f>
        <v/>
      </c>
      <c r="K130" s="25">
        <f>(om_kw*mwac*1000+ins_rate*$C$122+am_cost+prop_tax+misc_cost)*Opex!K$7+rent_acre*acres_lease*Opex!K$8</f>
        <v/>
      </c>
      <c r="L130" s="25">
        <f>(om_kw*mwac*1000+ins_rate*$C$122+am_cost+prop_tax+misc_cost)*Opex!L$7+rent_acre*acres_lease*Opex!L$8</f>
        <v/>
      </c>
      <c r="M130" s="25">
        <f>(om_kw*mwac*1000+ins_rate*$C$122+am_cost+prop_tax+misc_cost)*Opex!M$7+rent_acre*acres_lease*Opex!M$8</f>
        <v/>
      </c>
      <c r="N130" s="25">
        <f>(om_kw*mwac*1000+ins_rate*$C$122+am_cost+prop_tax+misc_cost)*Opex!N$7+rent_acre*acres_lease*Opex!N$8</f>
        <v/>
      </c>
      <c r="O130" s="25">
        <f>(om_kw*mwac*1000+ins_rate*$C$122+am_cost+prop_tax+misc_cost)*Opex!O$7+rent_acre*acres_lease*Opex!O$8</f>
        <v/>
      </c>
      <c r="P130" s="25">
        <f>(om_kw*mwac*1000+ins_rate*$C$122+am_cost+prop_tax+misc_cost)*Opex!P$7+rent_acre*acres_lease*Opex!P$8</f>
        <v/>
      </c>
      <c r="Q130" s="25">
        <f>(om_kw*mwac*1000+ins_rate*$C$122+am_cost+prop_tax+misc_cost)*Opex!Q$7+rent_acre*acres_lease*Opex!Q$8</f>
        <v/>
      </c>
      <c r="R130" s="25">
        <f>(om_kw*mwac*1000+ins_rate*$C$122+am_cost+prop_tax+misc_cost)*Opex!R$7+rent_acre*acres_lease*Opex!R$8</f>
        <v/>
      </c>
      <c r="S130" s="25">
        <f>(om_kw*mwac*1000+ins_rate*$C$122+am_cost+prop_tax+misc_cost)*Opex!S$7+rent_acre*acres_lease*Opex!S$8</f>
        <v/>
      </c>
      <c r="T130" s="25">
        <f>(om_kw*mwac*1000+ins_rate*$C$122+am_cost+prop_tax+misc_cost)*Opex!T$7+rent_acre*acres_lease*Opex!T$8</f>
        <v/>
      </c>
      <c r="U130" s="25">
        <f>(om_kw*mwac*1000+ins_rate*$C$122+am_cost+prop_tax+misc_cost)*Opex!U$7+rent_acre*acres_lease*Opex!U$8</f>
        <v/>
      </c>
      <c r="V130" s="25">
        <f>(om_kw*mwac*1000+ins_rate*$C$122+am_cost+prop_tax+misc_cost)*Opex!V$7+rent_acre*acres_lease*Opex!V$8</f>
        <v/>
      </c>
      <c r="W130" s="25">
        <f>(om_kw*mwac*1000+ins_rate*$C$122+am_cost+prop_tax+misc_cost)*Opex!W$7+rent_acre*acres_lease*Opex!W$8</f>
        <v/>
      </c>
      <c r="X130" s="25">
        <f>(om_kw*mwac*1000+ins_rate*$C$122+am_cost+prop_tax+misc_cost)*Opex!X$7+rent_acre*acres_lease*Opex!X$8</f>
        <v/>
      </c>
      <c r="Y130" s="25">
        <f>(om_kw*mwac*1000+ins_rate*$C$122+am_cost+prop_tax+misc_cost)*Opex!Y$7+rent_acre*acres_lease*Opex!Y$8</f>
        <v/>
      </c>
      <c r="Z130" s="25">
        <f>(om_kw*mwac*1000+ins_rate*$C$122+am_cost+prop_tax+misc_cost)*Opex!Z$7+rent_acre*acres_lease*Opex!Z$8</f>
        <v/>
      </c>
      <c r="AA130" s="25">
        <f>(om_kw*mwac*1000+ins_rate*$C$122+am_cost+prop_tax+misc_cost)*Opex!AA$7+rent_acre*acres_lease*Opex!AA$8</f>
        <v/>
      </c>
      <c r="AB130" s="25">
        <f>(om_kw*mwac*1000+ins_rate*$C$122+am_cost+prop_tax+misc_cost)*Opex!AB$7+rent_acre*acres_lease*Opex!AB$8</f>
        <v/>
      </c>
      <c r="AC130" s="25">
        <f>(om_kw*mwac*1000+ins_rate*$C$122+am_cost+prop_tax+misc_cost)*Opex!AC$7+rent_acre*acres_lease*Opex!AC$8</f>
        <v/>
      </c>
      <c r="AD130" s="25">
        <f>(om_kw*mwac*1000+ins_rate*$C$122+am_cost+prop_tax+misc_cost)*Opex!AD$7+rent_acre*acres_lease*Opex!AD$8</f>
        <v/>
      </c>
      <c r="AE130" s="25">
        <f>(om_kw*mwac*1000+ins_rate*$C$122+am_cost+prop_tax+misc_cost)*Opex!AE$7+rent_acre*acres_lease*Opex!AE$8</f>
        <v/>
      </c>
      <c r="AF130" s="25">
        <f>(om_kw*mwac*1000+ins_rate*$C$122+am_cost+prop_tax+misc_cost)*Opex!AF$7+rent_acre*acres_lease*Opex!AF$8</f>
        <v/>
      </c>
      <c r="AG130" s="25">
        <f>(om_kw*mwac*1000+ins_rate*$C$122+am_cost+prop_tax+misc_cost)*Opex!AG$7+rent_acre*acres_lease*Opex!AG$8</f>
        <v/>
      </c>
      <c r="AH130" s="25">
        <f>(om_kw*mwac*1000+ins_rate*$C$122+am_cost+prop_tax+misc_cost)*Opex!AH$7+rent_acre*acres_lease*Opex!AH$8</f>
        <v/>
      </c>
      <c r="AI130" s="25">
        <f>(om_kw*mwac*1000+ins_rate*$C$122+am_cost+prop_tax+misc_cost)*Opex!AI$7+rent_acre*acres_lease*Opex!AI$8</f>
        <v/>
      </c>
      <c r="AJ130" s="25">
        <f>(om_kw*mwac*1000+ins_rate*$C$122+am_cost+prop_tax+misc_cost)*Opex!AJ$7+rent_acre*acres_lease*Opex!AJ$8</f>
        <v/>
      </c>
      <c r="AK130" s="25">
        <f>(om_kw*mwac*1000+ins_rate*$C$122+am_cost+prop_tax+misc_cost)*Opex!AK$7+rent_acre*acres_lease*Opex!AK$8</f>
        <v/>
      </c>
      <c r="AL130" s="25">
        <f>(om_kw*mwac*1000+ins_rate*$C$122+am_cost+prop_tax+misc_cost)*Opex!AL$7+rent_acre*acres_lease*Opex!AL$8</f>
        <v/>
      </c>
    </row>
    <row r="131">
      <c r="B131" s="7" t="inlineStr">
        <is>
          <t>Credit cash ($)</t>
        </is>
      </c>
      <c r="D131" s="25">
        <f>IF(sw_credit="PTC",IF(D$5&lt;ptc_years,D125*Credits!D$8*(1+sw_bonus)*transfer_ptc,0),0)+IF(D$5=0,$C$124,0)</f>
        <v/>
      </c>
      <c r="E131" s="25">
        <f>IF(sw_credit="PTC",IF(E$5&lt;ptc_years,E125*Credits!E$8*(1+sw_bonus)*transfer_ptc,0),0)+IF(E$5=0,$C$124,0)</f>
        <v/>
      </c>
      <c r="F131" s="25">
        <f>IF(sw_credit="PTC",IF(F$5&lt;ptc_years,F125*Credits!F$8*(1+sw_bonus)*transfer_ptc,0),0)+IF(F$5=0,$C$124,0)</f>
        <v/>
      </c>
      <c r="G131" s="25">
        <f>IF(sw_credit="PTC",IF(G$5&lt;ptc_years,G125*Credits!G$8*(1+sw_bonus)*transfer_ptc,0),0)+IF(G$5=0,$C$124,0)</f>
        <v/>
      </c>
      <c r="H131" s="25">
        <f>IF(sw_credit="PTC",IF(H$5&lt;ptc_years,H125*Credits!H$8*(1+sw_bonus)*transfer_ptc,0),0)+IF(H$5=0,$C$124,0)</f>
        <v/>
      </c>
      <c r="I131" s="25">
        <f>IF(sw_credit="PTC",IF(I$5&lt;ptc_years,I125*Credits!I$8*(1+sw_bonus)*transfer_ptc,0),0)+IF(I$5=0,$C$124,0)</f>
        <v/>
      </c>
      <c r="J131" s="25">
        <f>IF(sw_credit="PTC",IF(J$5&lt;ptc_years,J125*Credits!J$8*(1+sw_bonus)*transfer_ptc,0),0)+IF(J$5=0,$C$124,0)</f>
        <v/>
      </c>
      <c r="K131" s="25">
        <f>IF(sw_credit="PTC",IF(K$5&lt;ptc_years,K125*Credits!K$8*(1+sw_bonus)*transfer_ptc,0),0)+IF(K$5=0,$C$124,0)</f>
        <v/>
      </c>
      <c r="L131" s="25">
        <f>IF(sw_credit="PTC",IF(L$5&lt;ptc_years,L125*Credits!L$8*(1+sw_bonus)*transfer_ptc,0),0)+IF(L$5=0,$C$124,0)</f>
        <v/>
      </c>
      <c r="M131" s="25">
        <f>IF(sw_credit="PTC",IF(M$5&lt;ptc_years,M125*Credits!M$8*(1+sw_bonus)*transfer_ptc,0),0)+IF(M$5=0,$C$124,0)</f>
        <v/>
      </c>
      <c r="N131" s="25">
        <f>IF(sw_credit="PTC",IF(N$5&lt;ptc_years,N125*Credits!N$8*(1+sw_bonus)*transfer_ptc,0),0)+IF(N$5=0,$C$124,0)</f>
        <v/>
      </c>
      <c r="O131" s="25">
        <f>IF(sw_credit="PTC",IF(O$5&lt;ptc_years,O125*Credits!O$8*(1+sw_bonus)*transfer_ptc,0),0)+IF(O$5=0,$C$124,0)</f>
        <v/>
      </c>
      <c r="P131" s="25">
        <f>IF(sw_credit="PTC",IF(P$5&lt;ptc_years,P125*Credits!P$8*(1+sw_bonus)*transfer_ptc,0),0)+IF(P$5=0,$C$124,0)</f>
        <v/>
      </c>
      <c r="Q131" s="25">
        <f>IF(sw_credit="PTC",IF(Q$5&lt;ptc_years,Q125*Credits!Q$8*(1+sw_bonus)*transfer_ptc,0),0)+IF(Q$5=0,$C$124,0)</f>
        <v/>
      </c>
      <c r="R131" s="25">
        <f>IF(sw_credit="PTC",IF(R$5&lt;ptc_years,R125*Credits!R$8*(1+sw_bonus)*transfer_ptc,0),0)+IF(R$5=0,$C$124,0)</f>
        <v/>
      </c>
      <c r="S131" s="25">
        <f>IF(sw_credit="PTC",IF(S$5&lt;ptc_years,S125*Credits!S$8*(1+sw_bonus)*transfer_ptc,0),0)+IF(S$5=0,$C$124,0)</f>
        <v/>
      </c>
      <c r="T131" s="25">
        <f>IF(sw_credit="PTC",IF(T$5&lt;ptc_years,T125*Credits!T$8*(1+sw_bonus)*transfer_ptc,0),0)+IF(T$5=0,$C$124,0)</f>
        <v/>
      </c>
      <c r="U131" s="25">
        <f>IF(sw_credit="PTC",IF(U$5&lt;ptc_years,U125*Credits!U$8*(1+sw_bonus)*transfer_ptc,0),0)+IF(U$5=0,$C$124,0)</f>
        <v/>
      </c>
      <c r="V131" s="25">
        <f>IF(sw_credit="PTC",IF(V$5&lt;ptc_years,V125*Credits!V$8*(1+sw_bonus)*transfer_ptc,0),0)+IF(V$5=0,$C$124,0)</f>
        <v/>
      </c>
      <c r="W131" s="25">
        <f>IF(sw_credit="PTC",IF(W$5&lt;ptc_years,W125*Credits!W$8*(1+sw_bonus)*transfer_ptc,0),0)+IF(W$5=0,$C$124,0)</f>
        <v/>
      </c>
      <c r="X131" s="25">
        <f>IF(sw_credit="PTC",IF(X$5&lt;ptc_years,X125*Credits!X$8*(1+sw_bonus)*transfer_ptc,0),0)+IF(X$5=0,$C$124,0)</f>
        <v/>
      </c>
      <c r="Y131" s="25">
        <f>IF(sw_credit="PTC",IF(Y$5&lt;ptc_years,Y125*Credits!Y$8*(1+sw_bonus)*transfer_ptc,0),0)+IF(Y$5=0,$C$124,0)</f>
        <v/>
      </c>
      <c r="Z131" s="25">
        <f>IF(sw_credit="PTC",IF(Z$5&lt;ptc_years,Z125*Credits!Z$8*(1+sw_bonus)*transfer_ptc,0),0)+IF(Z$5=0,$C$124,0)</f>
        <v/>
      </c>
      <c r="AA131" s="25">
        <f>IF(sw_credit="PTC",IF(AA$5&lt;ptc_years,AA125*Credits!AA$8*(1+sw_bonus)*transfer_ptc,0),0)+IF(AA$5=0,$C$124,0)</f>
        <v/>
      </c>
      <c r="AB131" s="25">
        <f>IF(sw_credit="PTC",IF(AB$5&lt;ptc_years,AB125*Credits!AB$8*(1+sw_bonus)*transfer_ptc,0),0)+IF(AB$5=0,$C$124,0)</f>
        <v/>
      </c>
      <c r="AC131" s="25">
        <f>IF(sw_credit="PTC",IF(AC$5&lt;ptc_years,AC125*Credits!AC$8*(1+sw_bonus)*transfer_ptc,0),0)+IF(AC$5=0,$C$124,0)</f>
        <v/>
      </c>
      <c r="AD131" s="25">
        <f>IF(sw_credit="PTC",IF(AD$5&lt;ptc_years,AD125*Credits!AD$8*(1+sw_bonus)*transfer_ptc,0),0)+IF(AD$5=0,$C$124,0)</f>
        <v/>
      </c>
      <c r="AE131" s="25">
        <f>IF(sw_credit="PTC",IF(AE$5&lt;ptc_years,AE125*Credits!AE$8*(1+sw_bonus)*transfer_ptc,0),0)+IF(AE$5=0,$C$124,0)</f>
        <v/>
      </c>
      <c r="AF131" s="25">
        <f>IF(sw_credit="PTC",IF(AF$5&lt;ptc_years,AF125*Credits!AF$8*(1+sw_bonus)*transfer_ptc,0),0)+IF(AF$5=0,$C$124,0)</f>
        <v/>
      </c>
      <c r="AG131" s="25">
        <f>IF(sw_credit="PTC",IF(AG$5&lt;ptc_years,AG125*Credits!AG$8*(1+sw_bonus)*transfer_ptc,0),0)+IF(AG$5=0,$C$124,0)</f>
        <v/>
      </c>
      <c r="AH131" s="25">
        <f>IF(sw_credit="PTC",IF(AH$5&lt;ptc_years,AH125*Credits!AH$8*(1+sw_bonus)*transfer_ptc,0),0)+IF(AH$5=0,$C$124,0)</f>
        <v/>
      </c>
      <c r="AI131" s="25">
        <f>IF(sw_credit="PTC",IF(AI$5&lt;ptc_years,AI125*Credits!AI$8*(1+sw_bonus)*transfer_ptc,0),0)+IF(AI$5=0,$C$124,0)</f>
        <v/>
      </c>
      <c r="AJ131" s="25">
        <f>IF(sw_credit="PTC",IF(AJ$5&lt;ptc_years,AJ125*Credits!AJ$8*(1+sw_bonus)*transfer_ptc,0),0)+IF(AJ$5=0,$C$124,0)</f>
        <v/>
      </c>
      <c r="AK131" s="25">
        <f>IF(sw_credit="PTC",IF(AK$5&lt;ptc_years,AK125*Credits!AK$8*(1+sw_bonus)*transfer_ptc,0),0)+IF(AK$5=0,$C$124,0)</f>
        <v/>
      </c>
      <c r="AL131" s="25">
        <f>IF(sw_credit="PTC",IF(AL$5&lt;ptc_years,AL125*Credits!AL$8*(1+sw_bonus)*transfer_ptc,0),0)+IF(AL$5=0,$C$124,0)</f>
        <v/>
      </c>
    </row>
    <row r="132">
      <c r="B132" s="14" t="inlineStr">
        <is>
          <t>EBITDA ($)</t>
        </is>
      </c>
      <c r="D132" s="26">
        <f>D127+D128-D129-D130</f>
        <v/>
      </c>
      <c r="E132" s="26">
        <f>E127+E128-E129-E130</f>
        <v/>
      </c>
      <c r="F132" s="26">
        <f>F127+F128-F129-F130</f>
        <v/>
      </c>
      <c r="G132" s="26">
        <f>G127+G128-G129-G130</f>
        <v/>
      </c>
      <c r="H132" s="26">
        <f>H127+H128-H129-H130</f>
        <v/>
      </c>
      <c r="I132" s="26">
        <f>I127+I128-I129-I130</f>
        <v/>
      </c>
      <c r="J132" s="26">
        <f>J127+J128-J129-J130</f>
        <v/>
      </c>
      <c r="K132" s="26">
        <f>K127+K128-K129-K130</f>
        <v/>
      </c>
      <c r="L132" s="26">
        <f>L127+L128-L129-L130</f>
        <v/>
      </c>
      <c r="M132" s="26">
        <f>M127+M128-M129-M130</f>
        <v/>
      </c>
      <c r="N132" s="26">
        <f>N127+N128-N129-N130</f>
        <v/>
      </c>
      <c r="O132" s="26">
        <f>O127+O128-O129-O130</f>
        <v/>
      </c>
      <c r="P132" s="26">
        <f>P127+P128-P129-P130</f>
        <v/>
      </c>
      <c r="Q132" s="26">
        <f>Q127+Q128-Q129-Q130</f>
        <v/>
      </c>
      <c r="R132" s="26">
        <f>R127+R128-R129-R130</f>
        <v/>
      </c>
      <c r="S132" s="26">
        <f>S127+S128-S129-S130</f>
        <v/>
      </c>
      <c r="T132" s="26">
        <f>T127+T128-T129-T130</f>
        <v/>
      </c>
      <c r="U132" s="26">
        <f>U127+U128-U129-U130</f>
        <v/>
      </c>
      <c r="V132" s="26">
        <f>V127+V128-V129-V130</f>
        <v/>
      </c>
      <c r="W132" s="26">
        <f>W127+W128-W129-W130</f>
        <v/>
      </c>
      <c r="X132" s="26">
        <f>X127+X128-X129-X130</f>
        <v/>
      </c>
      <c r="Y132" s="26">
        <f>Y127+Y128-Y129-Y130</f>
        <v/>
      </c>
      <c r="Z132" s="26">
        <f>Z127+Z128-Z129-Z130</f>
        <v/>
      </c>
      <c r="AA132" s="26">
        <f>AA127+AA128-AA129-AA130</f>
        <v/>
      </c>
      <c r="AB132" s="26">
        <f>AB127+AB128-AB129-AB130</f>
        <v/>
      </c>
      <c r="AC132" s="26">
        <f>AC127+AC128-AC129-AC130</f>
        <v/>
      </c>
      <c r="AD132" s="26">
        <f>AD127+AD128-AD129-AD130</f>
        <v/>
      </c>
      <c r="AE132" s="26">
        <f>AE127+AE128-AE129-AE130</f>
        <v/>
      </c>
      <c r="AF132" s="26">
        <f>AF127+AF128-AF129-AF130</f>
        <v/>
      </c>
      <c r="AG132" s="26">
        <f>AG127+AG128-AG129-AG130</f>
        <v/>
      </c>
      <c r="AH132" s="26">
        <f>AH127+AH128-AH129-AH130</f>
        <v/>
      </c>
      <c r="AI132" s="26">
        <f>AI127+AI128-AI129-AI130</f>
        <v/>
      </c>
      <c r="AJ132" s="26">
        <f>AJ127+AJ128-AJ129-AJ130</f>
        <v/>
      </c>
      <c r="AK132" s="26">
        <f>AK127+AK128-AK129-AK130</f>
        <v/>
      </c>
      <c r="AL132" s="26">
        <f>AL127+AL128-AL129-AL130</f>
        <v/>
      </c>
    </row>
    <row r="133">
      <c r="B133" s="7" t="inlineStr">
        <is>
          <t>Discount factor to 1 January 2027, contracted rate</t>
        </is>
      </c>
      <c r="D133" s="22">
        <f>1/(1+x_rc)^(D$5+2)</f>
        <v/>
      </c>
      <c r="E133" s="22">
        <f>1/(1+x_rc)^(E$5+2)</f>
        <v/>
      </c>
      <c r="F133" s="22">
        <f>1/(1+x_rc)^(F$5+2)</f>
        <v/>
      </c>
      <c r="G133" s="22">
        <f>1/(1+x_rc)^(G$5+2)</f>
        <v/>
      </c>
      <c r="H133" s="22">
        <f>1/(1+x_rc)^(H$5+2)</f>
        <v/>
      </c>
      <c r="I133" s="22">
        <f>1/(1+x_rc)^(I$5+2)</f>
        <v/>
      </c>
      <c r="J133" s="22">
        <f>1/(1+x_rc)^(J$5+2)</f>
        <v/>
      </c>
      <c r="K133" s="22">
        <f>1/(1+x_rc)^(K$5+2)</f>
        <v/>
      </c>
      <c r="L133" s="22">
        <f>1/(1+x_rc)^(L$5+2)</f>
        <v/>
      </c>
      <c r="M133" s="22">
        <f>1/(1+x_rc)^(M$5+2)</f>
        <v/>
      </c>
      <c r="N133" s="22">
        <f>1/(1+x_rc)^(N$5+2)</f>
        <v/>
      </c>
      <c r="O133" s="22">
        <f>1/(1+x_rc)^(O$5+2)</f>
        <v/>
      </c>
      <c r="P133" s="22">
        <f>1/(1+x_rc)^(P$5+2)</f>
        <v/>
      </c>
      <c r="Q133" s="22">
        <f>1/(1+x_rc)^(Q$5+2)</f>
        <v/>
      </c>
      <c r="R133" s="22">
        <f>1/(1+x_rc)^(R$5+2)</f>
        <v/>
      </c>
      <c r="S133" s="22">
        <f>1/(1+x_rc)^(S$5+2)</f>
        <v/>
      </c>
      <c r="T133" s="22">
        <f>1/(1+x_rc)^(T$5+2)</f>
        <v/>
      </c>
      <c r="U133" s="22">
        <f>1/(1+x_rc)^(U$5+2)</f>
        <v/>
      </c>
      <c r="V133" s="22">
        <f>1/(1+x_rc)^(V$5+2)</f>
        <v/>
      </c>
      <c r="W133" s="22">
        <f>1/(1+x_rc)^(W$5+2)</f>
        <v/>
      </c>
      <c r="X133" s="22">
        <f>1/(1+x_rc)^(X$5+2)</f>
        <v/>
      </c>
      <c r="Y133" s="22">
        <f>1/(1+x_rc)^(Y$5+2)</f>
        <v/>
      </c>
      <c r="Z133" s="22">
        <f>1/(1+x_rc)^(Z$5+2)</f>
        <v/>
      </c>
      <c r="AA133" s="22">
        <f>1/(1+x_rc)^(AA$5+2)</f>
        <v/>
      </c>
      <c r="AB133" s="22">
        <f>1/(1+x_rc)^(AB$5+2)</f>
        <v/>
      </c>
      <c r="AC133" s="22">
        <f>1/(1+x_rc)^(AC$5+2)</f>
        <v/>
      </c>
      <c r="AD133" s="22">
        <f>1/(1+x_rc)^(AD$5+2)</f>
        <v/>
      </c>
      <c r="AE133" s="22">
        <f>1/(1+x_rc)^(AE$5+2)</f>
        <v/>
      </c>
      <c r="AF133" s="22">
        <f>1/(1+x_rc)^(AF$5+2)</f>
        <v/>
      </c>
      <c r="AG133" s="22">
        <f>1/(1+x_rc)^(AG$5+2)</f>
        <v/>
      </c>
      <c r="AH133" s="22">
        <f>1/(1+x_rc)^(AH$5+2)</f>
        <v/>
      </c>
      <c r="AI133" s="22">
        <f>1/(1+x_rc)^(AI$5+2)</f>
        <v/>
      </c>
      <c r="AJ133" s="22">
        <f>1/(1+x_rc)^(AJ$5+2)</f>
        <v/>
      </c>
      <c r="AK133" s="22">
        <f>1/(1+x_rc)^(AK$5+2)</f>
        <v/>
      </c>
      <c r="AL133" s="22">
        <f>1/(1+x_rc)^(AL$5+2)</f>
        <v/>
      </c>
    </row>
    <row r="134">
      <c r="B134" s="7" t="inlineStr">
        <is>
          <t>Discount factor to 1 January 2027, merchant rate</t>
        </is>
      </c>
      <c r="D134" s="22">
        <f>1/(1+x_rm)^(D$5+2)</f>
        <v/>
      </c>
      <c r="E134" s="22">
        <f>1/(1+x_rm)^(E$5+2)</f>
        <v/>
      </c>
      <c r="F134" s="22">
        <f>1/(1+x_rm)^(F$5+2)</f>
        <v/>
      </c>
      <c r="G134" s="22">
        <f>1/(1+x_rm)^(G$5+2)</f>
        <v/>
      </c>
      <c r="H134" s="22">
        <f>1/(1+x_rm)^(H$5+2)</f>
        <v/>
      </c>
      <c r="I134" s="22">
        <f>1/(1+x_rm)^(I$5+2)</f>
        <v/>
      </c>
      <c r="J134" s="22">
        <f>1/(1+x_rm)^(J$5+2)</f>
        <v/>
      </c>
      <c r="K134" s="22">
        <f>1/(1+x_rm)^(K$5+2)</f>
        <v/>
      </c>
      <c r="L134" s="22">
        <f>1/(1+x_rm)^(L$5+2)</f>
        <v/>
      </c>
      <c r="M134" s="22">
        <f>1/(1+x_rm)^(M$5+2)</f>
        <v/>
      </c>
      <c r="N134" s="22">
        <f>1/(1+x_rm)^(N$5+2)</f>
        <v/>
      </c>
      <c r="O134" s="22">
        <f>1/(1+x_rm)^(O$5+2)</f>
        <v/>
      </c>
      <c r="P134" s="22">
        <f>1/(1+x_rm)^(P$5+2)</f>
        <v/>
      </c>
      <c r="Q134" s="22">
        <f>1/(1+x_rm)^(Q$5+2)</f>
        <v/>
      </c>
      <c r="R134" s="22">
        <f>1/(1+x_rm)^(R$5+2)</f>
        <v/>
      </c>
      <c r="S134" s="22">
        <f>1/(1+x_rm)^(S$5+2)</f>
        <v/>
      </c>
      <c r="T134" s="22">
        <f>1/(1+x_rm)^(T$5+2)</f>
        <v/>
      </c>
      <c r="U134" s="22">
        <f>1/(1+x_rm)^(U$5+2)</f>
        <v/>
      </c>
      <c r="V134" s="22">
        <f>1/(1+x_rm)^(V$5+2)</f>
        <v/>
      </c>
      <c r="W134" s="22">
        <f>1/(1+x_rm)^(W$5+2)</f>
        <v/>
      </c>
      <c r="X134" s="22">
        <f>1/(1+x_rm)^(X$5+2)</f>
        <v/>
      </c>
      <c r="Y134" s="22">
        <f>1/(1+x_rm)^(Y$5+2)</f>
        <v/>
      </c>
      <c r="Z134" s="22">
        <f>1/(1+x_rm)^(Z$5+2)</f>
        <v/>
      </c>
      <c r="AA134" s="22">
        <f>1/(1+x_rm)^(AA$5+2)</f>
        <v/>
      </c>
      <c r="AB134" s="22">
        <f>1/(1+x_rm)^(AB$5+2)</f>
        <v/>
      </c>
      <c r="AC134" s="22">
        <f>1/(1+x_rm)^(AC$5+2)</f>
        <v/>
      </c>
      <c r="AD134" s="22">
        <f>1/(1+x_rm)^(AD$5+2)</f>
        <v/>
      </c>
      <c r="AE134" s="22">
        <f>1/(1+x_rm)^(AE$5+2)</f>
        <v/>
      </c>
      <c r="AF134" s="22">
        <f>1/(1+x_rm)^(AF$5+2)</f>
        <v/>
      </c>
      <c r="AG134" s="22">
        <f>1/(1+x_rm)^(AG$5+2)</f>
        <v/>
      </c>
      <c r="AH134" s="22">
        <f>1/(1+x_rm)^(AH$5+2)</f>
        <v/>
      </c>
      <c r="AI134" s="22">
        <f>1/(1+x_rm)^(AI$5+2)</f>
        <v/>
      </c>
      <c r="AJ134" s="22">
        <f>1/(1+x_rm)^(AJ$5+2)</f>
        <v/>
      </c>
      <c r="AK134" s="22">
        <f>1/(1+x_rm)^(AK$5+2)</f>
        <v/>
      </c>
      <c r="AL134" s="22">
        <f>1/(1+x_rm)^(AL$5+2)</f>
        <v/>
      </c>
    </row>
    <row r="135">
      <c r="B135" s="7" t="inlineStr">
        <is>
          <t>Value on 1 January 2027 of the flows from 2028 (split rates) ($)</t>
        </is>
      </c>
      <c r="C135" s="25">
        <f>SUMPRODUCT($D$127:$AL$127,$D$133:$AL$133)+SUMPRODUCT($D$131:$AL$131,$D$133:$AL$133)-SUMPRODUCT($D$129:$AL$129,$D$133:$AL$133)-SUMPRODUCT($D$130:$AL$130,$D$133:$AL$133)+SUMPRODUCT($D$128:$AL$128,$D$134:$AL$134)-decom_end/(1+x_rc)^(life_years+1)</f>
        <v/>
      </c>
    </row>
    <row r="136">
      <c r="B136" s="14" t="inlineStr">
        <is>
          <t>Development value on 1 January 2027: value less the capital cost ($)</t>
        </is>
      </c>
      <c r="C136" s="26">
        <f>C135-C122/(1+x_rc)</f>
        <v/>
      </c>
    </row>
    <row r="137">
      <c r="B137" s="7" t="inlineStr">
        <is>
          <t>Highest premium Ashgrove can pay at NTP ($)</t>
        </is>
      </c>
      <c r="C137" s="25">
        <f>C136-reimb+reimb/(1+x_rc)</f>
        <v/>
      </c>
    </row>
    <row r="140">
      <c r="B140" s="6" t="inlineStr">
        <is>
          <t>Modules at the high price, case U</t>
        </is>
      </c>
    </row>
    <row r="141">
      <c r="B141" s="7" t="inlineStr">
        <is>
          <t>Capital cost ($)</t>
        </is>
      </c>
      <c r="C141" s="25">
        <f>((sens_mod_hi+x_tracker+x_bos)*mwdc*1000000+x_inverter*mwac*1000000+x_sub)*(1+contingency)+x_ic+owner</f>
        <v/>
      </c>
    </row>
    <row r="142">
      <c r="B142" s="7" t="inlineStr">
        <is>
          <t>ITC eligible basis ($)</t>
        </is>
      </c>
      <c r="C142" s="25">
        <f>((sens_mod_hi+x_tracker+x_bos)*mwdc*1000000+x_inverter*mwac*1000000+x_sub)*(1+contingency)-gentie_share*x_sub</f>
        <v/>
      </c>
    </row>
    <row r="143">
      <c r="B143" s="7" t="inlineStr">
        <is>
          <t>ITC cash at the end of 2028, if elected ($)</t>
        </is>
      </c>
      <c r="C143" s="25">
        <f>IF(sw_credit="ITC",C142*(itc_rate+sw_bonus)*transfer_itc,0)</f>
        <v/>
      </c>
    </row>
    <row r="144">
      <c r="B144" s="7" t="inlineStr">
        <is>
          <t>Energy (MWh)</t>
        </is>
      </c>
      <c r="D144" s="23">
        <f>mwac*hours*cf_p50*Energy!D$7*x_scale</f>
        <v/>
      </c>
      <c r="E144" s="23">
        <f>mwac*hours*cf_p50*Energy!E$7*x_scale</f>
        <v/>
      </c>
      <c r="F144" s="23">
        <f>mwac*hours*cf_p50*Energy!F$7*x_scale</f>
        <v/>
      </c>
      <c r="G144" s="23">
        <f>mwac*hours*cf_p50*Energy!G$7*x_scale</f>
        <v/>
      </c>
      <c r="H144" s="23">
        <f>mwac*hours*cf_p50*Energy!H$7*x_scale</f>
        <v/>
      </c>
      <c r="I144" s="23">
        <f>mwac*hours*cf_p50*Energy!I$7*x_scale</f>
        <v/>
      </c>
      <c r="J144" s="23">
        <f>mwac*hours*cf_p50*Energy!J$7*x_scale</f>
        <v/>
      </c>
      <c r="K144" s="23">
        <f>mwac*hours*cf_p50*Energy!K$7*x_scale</f>
        <v/>
      </c>
      <c r="L144" s="23">
        <f>mwac*hours*cf_p50*Energy!L$7*x_scale</f>
        <v/>
      </c>
      <c r="M144" s="23">
        <f>mwac*hours*cf_p50*Energy!M$7*x_scale</f>
        <v/>
      </c>
      <c r="N144" s="23">
        <f>mwac*hours*cf_p50*Energy!N$7*x_scale</f>
        <v/>
      </c>
      <c r="O144" s="23">
        <f>mwac*hours*cf_p50*Energy!O$7*x_scale</f>
        <v/>
      </c>
      <c r="P144" s="23">
        <f>mwac*hours*cf_p50*Energy!P$7*x_scale</f>
        <v/>
      </c>
      <c r="Q144" s="23">
        <f>mwac*hours*cf_p50*Energy!Q$7*x_scale</f>
        <v/>
      </c>
      <c r="R144" s="23">
        <f>mwac*hours*cf_p50*Energy!R$7*x_scale</f>
        <v/>
      </c>
      <c r="S144" s="23">
        <f>mwac*hours*cf_p50*Energy!S$7*x_scale</f>
        <v/>
      </c>
      <c r="T144" s="23">
        <f>mwac*hours*cf_p50*Energy!T$7*x_scale</f>
        <v/>
      </c>
      <c r="U144" s="23">
        <f>mwac*hours*cf_p50*Energy!U$7*x_scale</f>
        <v/>
      </c>
      <c r="V144" s="23">
        <f>mwac*hours*cf_p50*Energy!V$7*x_scale</f>
        <v/>
      </c>
      <c r="W144" s="23">
        <f>mwac*hours*cf_p50*Energy!W$7*x_scale</f>
        <v/>
      </c>
      <c r="X144" s="23">
        <f>mwac*hours*cf_p50*Energy!X$7*x_scale</f>
        <v/>
      </c>
      <c r="Y144" s="23">
        <f>mwac*hours*cf_p50*Energy!Y$7*x_scale</f>
        <v/>
      </c>
      <c r="Z144" s="23">
        <f>mwac*hours*cf_p50*Energy!Z$7*x_scale</f>
        <v/>
      </c>
      <c r="AA144" s="23">
        <f>mwac*hours*cf_p50*Energy!AA$7*x_scale</f>
        <v/>
      </c>
      <c r="AB144" s="23">
        <f>mwac*hours*cf_p50*Energy!AB$7*x_scale</f>
        <v/>
      </c>
      <c r="AC144" s="23">
        <f>mwac*hours*cf_p50*Energy!AC$7*x_scale</f>
        <v/>
      </c>
      <c r="AD144" s="23">
        <f>mwac*hours*cf_p50*Energy!AD$7*x_scale</f>
        <v/>
      </c>
      <c r="AE144" s="23">
        <f>mwac*hours*cf_p50*Energy!AE$7*x_scale</f>
        <v/>
      </c>
      <c r="AF144" s="23">
        <f>mwac*hours*cf_p50*Energy!AF$7*x_scale</f>
        <v/>
      </c>
      <c r="AG144" s="23">
        <f>mwac*hours*cf_p50*Energy!AG$7*x_scale</f>
        <v/>
      </c>
      <c r="AH144" s="23">
        <f>mwac*hours*cf_p50*Energy!AH$7*x_scale</f>
        <v/>
      </c>
      <c r="AI144" s="23">
        <f>mwac*hours*cf_p50*Energy!AI$7*x_scale</f>
        <v/>
      </c>
      <c r="AJ144" s="23">
        <f>mwac*hours*cf_p50*Energy!AJ$7*x_scale</f>
        <v/>
      </c>
      <c r="AK144" s="23">
        <f>mwac*hours*cf_p50*Energy!AK$7*x_scale</f>
        <v/>
      </c>
      <c r="AL144" s="23">
        <f>mwac*hours*cf_p50*Energy!AL$7*x_scale</f>
        <v/>
      </c>
    </row>
    <row r="145">
      <c r="B145" s="7" t="inlineStr">
        <is>
          <t>Node price, hub switch applied ($/MWh)</t>
        </is>
      </c>
      <c r="D145" s="32">
        <f>Market!D$7*(1+sw_hub)*Market!D$8+Market!D$10</f>
        <v/>
      </c>
      <c r="E145" s="32">
        <f>Market!E$7*(1+sw_hub)*Market!E$8+Market!E$10</f>
        <v/>
      </c>
      <c r="F145" s="32">
        <f>Market!F$7*(1+sw_hub)*Market!F$8+Market!F$10</f>
        <v/>
      </c>
      <c r="G145" s="32">
        <f>Market!G$7*(1+sw_hub)*Market!G$8+Market!G$10</f>
        <v/>
      </c>
      <c r="H145" s="32">
        <f>Market!H$7*(1+sw_hub)*Market!H$8+Market!H$10</f>
        <v/>
      </c>
      <c r="I145" s="32">
        <f>Market!I$7*(1+sw_hub)*Market!I$8+Market!I$10</f>
        <v/>
      </c>
      <c r="J145" s="32">
        <f>Market!J$7*(1+sw_hub)*Market!J$8+Market!J$10</f>
        <v/>
      </c>
      <c r="K145" s="32">
        <f>Market!K$7*(1+sw_hub)*Market!K$8+Market!K$10</f>
        <v/>
      </c>
      <c r="L145" s="32">
        <f>Market!L$7*(1+sw_hub)*Market!L$8+Market!L$10</f>
        <v/>
      </c>
      <c r="M145" s="32">
        <f>Market!M$7*(1+sw_hub)*Market!M$8+Market!M$10</f>
        <v/>
      </c>
      <c r="N145" s="32">
        <f>Market!N$7*(1+sw_hub)*Market!N$8+Market!N$10</f>
        <v/>
      </c>
      <c r="O145" s="32">
        <f>Market!O$7*(1+sw_hub)*Market!O$8+Market!O$10</f>
        <v/>
      </c>
      <c r="P145" s="32">
        <f>Market!P$7*(1+sw_hub)*Market!P$8+Market!P$10</f>
        <v/>
      </c>
      <c r="Q145" s="32">
        <f>Market!Q$7*(1+sw_hub)*Market!Q$8+Market!Q$10</f>
        <v/>
      </c>
      <c r="R145" s="32">
        <f>Market!R$7*(1+sw_hub)*Market!R$8+Market!R$10</f>
        <v/>
      </c>
      <c r="S145" s="32">
        <f>Market!S$7*(1+sw_hub)*Market!S$8+Market!S$10</f>
        <v/>
      </c>
      <c r="T145" s="32">
        <f>Market!T$7*(1+sw_hub)*Market!T$8+Market!T$10</f>
        <v/>
      </c>
      <c r="U145" s="32">
        <f>Market!U$7*(1+sw_hub)*Market!U$8+Market!U$10</f>
        <v/>
      </c>
      <c r="V145" s="32">
        <f>Market!V$7*(1+sw_hub)*Market!V$8+Market!V$10</f>
        <v/>
      </c>
      <c r="W145" s="32">
        <f>Market!W$7*(1+sw_hub)*Market!W$8+Market!W$10</f>
        <v/>
      </c>
      <c r="X145" s="32">
        <f>Market!X$7*(1+sw_hub)*Market!X$8+Market!X$10</f>
        <v/>
      </c>
      <c r="Y145" s="32">
        <f>Market!Y$7*(1+sw_hub)*Market!Y$8+Market!Y$10</f>
        <v/>
      </c>
      <c r="Z145" s="32">
        <f>Market!Z$7*(1+sw_hub)*Market!Z$8+Market!Z$10</f>
        <v/>
      </c>
      <c r="AA145" s="32">
        <f>Market!AA$7*(1+sw_hub)*Market!AA$8+Market!AA$10</f>
        <v/>
      </c>
      <c r="AB145" s="32">
        <f>Market!AB$7*(1+sw_hub)*Market!AB$8+Market!AB$10</f>
        <v/>
      </c>
      <c r="AC145" s="32">
        <f>Market!AC$7*(1+sw_hub)*Market!AC$8+Market!AC$10</f>
        <v/>
      </c>
      <c r="AD145" s="32">
        <f>Market!AD$7*(1+sw_hub)*Market!AD$8+Market!AD$10</f>
        <v/>
      </c>
      <c r="AE145" s="32">
        <f>Market!AE$7*(1+sw_hub)*Market!AE$8+Market!AE$10</f>
        <v/>
      </c>
      <c r="AF145" s="32">
        <f>Market!AF$7*(1+sw_hub)*Market!AF$8+Market!AF$10</f>
        <v/>
      </c>
      <c r="AG145" s="32">
        <f>Market!AG$7*(1+sw_hub)*Market!AG$8+Market!AG$10</f>
        <v/>
      </c>
      <c r="AH145" s="32">
        <f>Market!AH$7*(1+sw_hub)*Market!AH$8+Market!AH$10</f>
        <v/>
      </c>
      <c r="AI145" s="32">
        <f>Market!AI$7*(1+sw_hub)*Market!AI$8+Market!AI$10</f>
        <v/>
      </c>
      <c r="AJ145" s="32">
        <f>Market!AJ$7*(1+sw_hub)*Market!AJ$8+Market!AJ$10</f>
        <v/>
      </c>
      <c r="AK145" s="32">
        <f>Market!AK$7*(1+sw_hub)*Market!AK$8+Market!AK$10</f>
        <v/>
      </c>
      <c r="AL145" s="32">
        <f>Market!AL$7*(1+sw_hub)*Market!AL$8+Market!AL$10</f>
        <v/>
      </c>
    </row>
    <row r="146">
      <c r="B146" s="7" t="inlineStr">
        <is>
          <t>Contracted revenue ($)</t>
        </is>
      </c>
      <c r="D146" s="25">
        <f>IF(D$5&lt;u_years,D144*u_price*(1+u_esc)^D$5,0)</f>
        <v/>
      </c>
      <c r="E146" s="25">
        <f>IF(E$5&lt;u_years,E144*u_price*(1+u_esc)^E$5,0)</f>
        <v/>
      </c>
      <c r="F146" s="25">
        <f>IF(F$5&lt;u_years,F144*u_price*(1+u_esc)^F$5,0)</f>
        <v/>
      </c>
      <c r="G146" s="25">
        <f>IF(G$5&lt;u_years,G144*u_price*(1+u_esc)^G$5,0)</f>
        <v/>
      </c>
      <c r="H146" s="25">
        <f>IF(H$5&lt;u_years,H144*u_price*(1+u_esc)^H$5,0)</f>
        <v/>
      </c>
      <c r="I146" s="25">
        <f>IF(I$5&lt;u_years,I144*u_price*(1+u_esc)^I$5,0)</f>
        <v/>
      </c>
      <c r="J146" s="25">
        <f>IF(J$5&lt;u_years,J144*u_price*(1+u_esc)^J$5,0)</f>
        <v/>
      </c>
      <c r="K146" s="25">
        <f>IF(K$5&lt;u_years,K144*u_price*(1+u_esc)^K$5,0)</f>
        <v/>
      </c>
      <c r="L146" s="25">
        <f>IF(L$5&lt;u_years,L144*u_price*(1+u_esc)^L$5,0)</f>
        <v/>
      </c>
      <c r="M146" s="25">
        <f>IF(M$5&lt;u_years,M144*u_price*(1+u_esc)^M$5,0)</f>
        <v/>
      </c>
      <c r="N146" s="25">
        <f>IF(N$5&lt;u_years,N144*u_price*(1+u_esc)^N$5,0)</f>
        <v/>
      </c>
      <c r="O146" s="25">
        <f>IF(O$5&lt;u_years,O144*u_price*(1+u_esc)^O$5,0)</f>
        <v/>
      </c>
      <c r="P146" s="25">
        <f>IF(P$5&lt;u_years,P144*u_price*(1+u_esc)^P$5,0)</f>
        <v/>
      </c>
      <c r="Q146" s="25">
        <f>IF(Q$5&lt;u_years,Q144*u_price*(1+u_esc)^Q$5,0)</f>
        <v/>
      </c>
      <c r="R146" s="25">
        <f>IF(R$5&lt;u_years,R144*u_price*(1+u_esc)^R$5,0)</f>
        <v/>
      </c>
      <c r="S146" s="25">
        <f>IF(S$5&lt;u_years,S144*u_price*(1+u_esc)^S$5,0)</f>
        <v/>
      </c>
      <c r="T146" s="25">
        <f>IF(T$5&lt;u_years,T144*u_price*(1+u_esc)^T$5,0)</f>
        <v/>
      </c>
      <c r="U146" s="25">
        <f>IF(U$5&lt;u_years,U144*u_price*(1+u_esc)^U$5,0)</f>
        <v/>
      </c>
      <c r="V146" s="25">
        <f>IF(V$5&lt;u_years,V144*u_price*(1+u_esc)^V$5,0)</f>
        <v/>
      </c>
      <c r="W146" s="25">
        <f>IF(W$5&lt;u_years,W144*u_price*(1+u_esc)^W$5,0)</f>
        <v/>
      </c>
      <c r="X146" s="25">
        <f>IF(X$5&lt;u_years,X144*u_price*(1+u_esc)^X$5,0)</f>
        <v/>
      </c>
      <c r="Y146" s="25">
        <f>IF(Y$5&lt;u_years,Y144*u_price*(1+u_esc)^Y$5,0)</f>
        <v/>
      </c>
      <c r="Z146" s="25">
        <f>IF(Z$5&lt;u_years,Z144*u_price*(1+u_esc)^Z$5,0)</f>
        <v/>
      </c>
      <c r="AA146" s="25">
        <f>IF(AA$5&lt;u_years,AA144*u_price*(1+u_esc)^AA$5,0)</f>
        <v/>
      </c>
      <c r="AB146" s="25">
        <f>IF(AB$5&lt;u_years,AB144*u_price*(1+u_esc)^AB$5,0)</f>
        <v/>
      </c>
      <c r="AC146" s="25">
        <f>IF(AC$5&lt;u_years,AC144*u_price*(1+u_esc)^AC$5,0)</f>
        <v/>
      </c>
      <c r="AD146" s="25">
        <f>IF(AD$5&lt;u_years,AD144*u_price*(1+u_esc)^AD$5,0)</f>
        <v/>
      </c>
      <c r="AE146" s="25">
        <f>IF(AE$5&lt;u_years,AE144*u_price*(1+u_esc)^AE$5,0)</f>
        <v/>
      </c>
      <c r="AF146" s="25">
        <f>IF(AF$5&lt;u_years,AF144*u_price*(1+u_esc)^AF$5,0)</f>
        <v/>
      </c>
      <c r="AG146" s="25">
        <f>IF(AG$5&lt;u_years,AG144*u_price*(1+u_esc)^AG$5,0)</f>
        <v/>
      </c>
      <c r="AH146" s="25">
        <f>IF(AH$5&lt;u_years,AH144*u_price*(1+u_esc)^AH$5,0)</f>
        <v/>
      </c>
      <c r="AI146" s="25">
        <f>IF(AI$5&lt;u_years,AI144*u_price*(1+u_esc)^AI$5,0)</f>
        <v/>
      </c>
      <c r="AJ146" s="25">
        <f>IF(AJ$5&lt;u_years,AJ144*u_price*(1+u_esc)^AJ$5,0)</f>
        <v/>
      </c>
      <c r="AK146" s="25">
        <f>IF(AK$5&lt;u_years,AK144*u_price*(1+u_esc)^AK$5,0)</f>
        <v/>
      </c>
      <c r="AL146" s="25">
        <f>IF(AL$5&lt;u_years,AL144*u_price*(1+u_esc)^AL$5,0)</f>
        <v/>
      </c>
    </row>
    <row r="147">
      <c r="B147" s="7" t="inlineStr">
        <is>
          <t>Merchant revenue ($)</t>
        </is>
      </c>
      <c r="D147" s="25">
        <f>IF(D$5&lt;u_years,0,D144*(D145+rec_price)+Market!D$13)</f>
        <v/>
      </c>
      <c r="E147" s="25">
        <f>IF(E$5&lt;u_years,0,E144*(E145+rec_price)+Market!E$13)</f>
        <v/>
      </c>
      <c r="F147" s="25">
        <f>IF(F$5&lt;u_years,0,F144*(F145+rec_price)+Market!F$13)</f>
        <v/>
      </c>
      <c r="G147" s="25">
        <f>IF(G$5&lt;u_years,0,G144*(G145+rec_price)+Market!G$13)</f>
        <v/>
      </c>
      <c r="H147" s="25">
        <f>IF(H$5&lt;u_years,0,H144*(H145+rec_price)+Market!H$13)</f>
        <v/>
      </c>
      <c r="I147" s="25">
        <f>IF(I$5&lt;u_years,0,I144*(I145+rec_price)+Market!I$13)</f>
        <v/>
      </c>
      <c r="J147" s="25">
        <f>IF(J$5&lt;u_years,0,J144*(J145+rec_price)+Market!J$13)</f>
        <v/>
      </c>
      <c r="K147" s="25">
        <f>IF(K$5&lt;u_years,0,K144*(K145+rec_price)+Market!K$13)</f>
        <v/>
      </c>
      <c r="L147" s="25">
        <f>IF(L$5&lt;u_years,0,L144*(L145+rec_price)+Market!L$13)</f>
        <v/>
      </c>
      <c r="M147" s="25">
        <f>IF(M$5&lt;u_years,0,M144*(M145+rec_price)+Market!M$13)</f>
        <v/>
      </c>
      <c r="N147" s="25">
        <f>IF(N$5&lt;u_years,0,N144*(N145+rec_price)+Market!N$13)</f>
        <v/>
      </c>
      <c r="O147" s="25">
        <f>IF(O$5&lt;u_years,0,O144*(O145+rec_price)+Market!O$13)</f>
        <v/>
      </c>
      <c r="P147" s="25">
        <f>IF(P$5&lt;u_years,0,P144*(P145+rec_price)+Market!P$13)</f>
        <v/>
      </c>
      <c r="Q147" s="25">
        <f>IF(Q$5&lt;u_years,0,Q144*(Q145+rec_price)+Market!Q$13)</f>
        <v/>
      </c>
      <c r="R147" s="25">
        <f>IF(R$5&lt;u_years,0,R144*(R145+rec_price)+Market!R$13)</f>
        <v/>
      </c>
      <c r="S147" s="25">
        <f>IF(S$5&lt;u_years,0,S144*(S145+rec_price)+Market!S$13)</f>
        <v/>
      </c>
      <c r="T147" s="25">
        <f>IF(T$5&lt;u_years,0,T144*(T145+rec_price)+Market!T$13)</f>
        <v/>
      </c>
      <c r="U147" s="25">
        <f>IF(U$5&lt;u_years,0,U144*(U145+rec_price)+Market!U$13)</f>
        <v/>
      </c>
      <c r="V147" s="25">
        <f>IF(V$5&lt;u_years,0,V144*(V145+rec_price)+Market!V$13)</f>
        <v/>
      </c>
      <c r="W147" s="25">
        <f>IF(W$5&lt;u_years,0,W144*(W145+rec_price)+Market!W$13)</f>
        <v/>
      </c>
      <c r="X147" s="25">
        <f>IF(X$5&lt;u_years,0,X144*(X145+rec_price)+Market!X$13)</f>
        <v/>
      </c>
      <c r="Y147" s="25">
        <f>IF(Y$5&lt;u_years,0,Y144*(Y145+rec_price)+Market!Y$13)</f>
        <v/>
      </c>
      <c r="Z147" s="25">
        <f>IF(Z$5&lt;u_years,0,Z144*(Z145+rec_price)+Market!Z$13)</f>
        <v/>
      </c>
      <c r="AA147" s="25">
        <f>IF(AA$5&lt;u_years,0,AA144*(AA145+rec_price)+Market!AA$13)</f>
        <v/>
      </c>
      <c r="AB147" s="25">
        <f>IF(AB$5&lt;u_years,0,AB144*(AB145+rec_price)+Market!AB$13)</f>
        <v/>
      </c>
      <c r="AC147" s="25">
        <f>IF(AC$5&lt;u_years,0,AC144*(AC145+rec_price)+Market!AC$13)</f>
        <v/>
      </c>
      <c r="AD147" s="25">
        <f>IF(AD$5&lt;u_years,0,AD144*(AD145+rec_price)+Market!AD$13)</f>
        <v/>
      </c>
      <c r="AE147" s="25">
        <f>IF(AE$5&lt;u_years,0,AE144*(AE145+rec_price)+Market!AE$13)</f>
        <v/>
      </c>
      <c r="AF147" s="25">
        <f>IF(AF$5&lt;u_years,0,AF144*(AF145+rec_price)+Market!AF$13)</f>
        <v/>
      </c>
      <c r="AG147" s="25">
        <f>IF(AG$5&lt;u_years,0,AG144*(AG145+rec_price)+Market!AG$13)</f>
        <v/>
      </c>
      <c r="AH147" s="25">
        <f>IF(AH$5&lt;u_years,0,AH144*(AH145+rec_price)+Market!AH$13)</f>
        <v/>
      </c>
      <c r="AI147" s="25">
        <f>IF(AI$5&lt;u_years,0,AI144*(AI145+rec_price)+Market!AI$13)</f>
        <v/>
      </c>
      <c r="AJ147" s="25">
        <f>IF(AJ$5&lt;u_years,0,AJ144*(AJ145+rec_price)+Market!AJ$13)</f>
        <v/>
      </c>
      <c r="AK147" s="25">
        <f>IF(AK$5&lt;u_years,0,AK144*(AK145+rec_price)+Market!AK$13)</f>
        <v/>
      </c>
      <c r="AL147" s="25">
        <f>IF(AL$5&lt;u_years,0,AL144*(AL145+rec_price)+Market!AL$13)</f>
        <v/>
      </c>
    </row>
    <row r="148">
      <c r="B148" s="7" t="inlineStr">
        <is>
          <t>Basis cost kept by the project ($)</t>
        </is>
      </c>
      <c r="D148" s="25" t="n">
        <v>0</v>
      </c>
      <c r="E148" s="25" t="n">
        <v>0</v>
      </c>
      <c r="F148" s="25" t="n">
        <v>0</v>
      </c>
      <c r="G148" s="25" t="n">
        <v>0</v>
      </c>
      <c r="H148" s="25" t="n">
        <v>0</v>
      </c>
      <c r="I148" s="25" t="n">
        <v>0</v>
      </c>
      <c r="J148" s="25" t="n">
        <v>0</v>
      </c>
      <c r="K148" s="25" t="n">
        <v>0</v>
      </c>
      <c r="L148" s="25" t="n">
        <v>0</v>
      </c>
      <c r="M148" s="25" t="n">
        <v>0</v>
      </c>
      <c r="N148" s="25" t="n">
        <v>0</v>
      </c>
      <c r="O148" s="25" t="n">
        <v>0</v>
      </c>
      <c r="P148" s="25" t="n">
        <v>0</v>
      </c>
      <c r="Q148" s="25" t="n">
        <v>0</v>
      </c>
      <c r="R148" s="25" t="n">
        <v>0</v>
      </c>
      <c r="S148" s="25" t="n">
        <v>0</v>
      </c>
      <c r="T148" s="25" t="n">
        <v>0</v>
      </c>
      <c r="U148" s="25" t="n">
        <v>0</v>
      </c>
      <c r="V148" s="25" t="n">
        <v>0</v>
      </c>
      <c r="W148" s="25" t="n">
        <v>0</v>
      </c>
      <c r="X148" s="25" t="n">
        <v>0</v>
      </c>
      <c r="Y148" s="25" t="n">
        <v>0</v>
      </c>
      <c r="Z148" s="25" t="n">
        <v>0</v>
      </c>
      <c r="AA148" s="25" t="n">
        <v>0</v>
      </c>
      <c r="AB148" s="25" t="n">
        <v>0</v>
      </c>
      <c r="AC148" s="25" t="n">
        <v>0</v>
      </c>
      <c r="AD148" s="25" t="n">
        <v>0</v>
      </c>
      <c r="AE148" s="25" t="n">
        <v>0</v>
      </c>
      <c r="AF148" s="25" t="n">
        <v>0</v>
      </c>
      <c r="AG148" s="25" t="n">
        <v>0</v>
      </c>
      <c r="AH148" s="25" t="n">
        <v>0</v>
      </c>
      <c r="AI148" s="25" t="n">
        <v>0</v>
      </c>
      <c r="AJ148" s="25" t="n">
        <v>0</v>
      </c>
      <c r="AK148" s="25" t="n">
        <v>0</v>
      </c>
      <c r="AL148" s="25" t="n">
        <v>0</v>
      </c>
    </row>
    <row r="149">
      <c r="B149" s="7" t="inlineStr">
        <is>
          <t>Operating cost ($)</t>
        </is>
      </c>
      <c r="D149" s="25">
        <f>(om_kw*mwac*1000+ins_rate*$C$141+am_cost+prop_tax+misc_cost)*Opex!D$7+rent_acre*acres_lease*Opex!D$8</f>
        <v/>
      </c>
      <c r="E149" s="25">
        <f>(om_kw*mwac*1000+ins_rate*$C$141+am_cost+prop_tax+misc_cost)*Opex!E$7+rent_acre*acres_lease*Opex!E$8</f>
        <v/>
      </c>
      <c r="F149" s="25">
        <f>(om_kw*mwac*1000+ins_rate*$C$141+am_cost+prop_tax+misc_cost)*Opex!F$7+rent_acre*acres_lease*Opex!F$8</f>
        <v/>
      </c>
      <c r="G149" s="25">
        <f>(om_kw*mwac*1000+ins_rate*$C$141+am_cost+prop_tax+misc_cost)*Opex!G$7+rent_acre*acres_lease*Opex!G$8</f>
        <v/>
      </c>
      <c r="H149" s="25">
        <f>(om_kw*mwac*1000+ins_rate*$C$141+am_cost+prop_tax+misc_cost)*Opex!H$7+rent_acre*acres_lease*Opex!H$8</f>
        <v/>
      </c>
      <c r="I149" s="25">
        <f>(om_kw*mwac*1000+ins_rate*$C$141+am_cost+prop_tax+misc_cost)*Opex!I$7+rent_acre*acres_lease*Opex!I$8</f>
        <v/>
      </c>
      <c r="J149" s="25">
        <f>(om_kw*mwac*1000+ins_rate*$C$141+am_cost+prop_tax+misc_cost)*Opex!J$7+rent_acre*acres_lease*Opex!J$8</f>
        <v/>
      </c>
      <c r="K149" s="25">
        <f>(om_kw*mwac*1000+ins_rate*$C$141+am_cost+prop_tax+misc_cost)*Opex!K$7+rent_acre*acres_lease*Opex!K$8</f>
        <v/>
      </c>
      <c r="L149" s="25">
        <f>(om_kw*mwac*1000+ins_rate*$C$141+am_cost+prop_tax+misc_cost)*Opex!L$7+rent_acre*acres_lease*Opex!L$8</f>
        <v/>
      </c>
      <c r="M149" s="25">
        <f>(om_kw*mwac*1000+ins_rate*$C$141+am_cost+prop_tax+misc_cost)*Opex!M$7+rent_acre*acres_lease*Opex!M$8</f>
        <v/>
      </c>
      <c r="N149" s="25">
        <f>(om_kw*mwac*1000+ins_rate*$C$141+am_cost+prop_tax+misc_cost)*Opex!N$7+rent_acre*acres_lease*Opex!N$8</f>
        <v/>
      </c>
      <c r="O149" s="25">
        <f>(om_kw*mwac*1000+ins_rate*$C$141+am_cost+prop_tax+misc_cost)*Opex!O$7+rent_acre*acres_lease*Opex!O$8</f>
        <v/>
      </c>
      <c r="P149" s="25">
        <f>(om_kw*mwac*1000+ins_rate*$C$141+am_cost+prop_tax+misc_cost)*Opex!P$7+rent_acre*acres_lease*Opex!P$8</f>
        <v/>
      </c>
      <c r="Q149" s="25">
        <f>(om_kw*mwac*1000+ins_rate*$C$141+am_cost+prop_tax+misc_cost)*Opex!Q$7+rent_acre*acres_lease*Opex!Q$8</f>
        <v/>
      </c>
      <c r="R149" s="25">
        <f>(om_kw*mwac*1000+ins_rate*$C$141+am_cost+prop_tax+misc_cost)*Opex!R$7+rent_acre*acres_lease*Opex!R$8</f>
        <v/>
      </c>
      <c r="S149" s="25">
        <f>(om_kw*mwac*1000+ins_rate*$C$141+am_cost+prop_tax+misc_cost)*Opex!S$7+rent_acre*acres_lease*Opex!S$8</f>
        <v/>
      </c>
      <c r="T149" s="25">
        <f>(om_kw*mwac*1000+ins_rate*$C$141+am_cost+prop_tax+misc_cost)*Opex!T$7+rent_acre*acres_lease*Opex!T$8</f>
        <v/>
      </c>
      <c r="U149" s="25">
        <f>(om_kw*mwac*1000+ins_rate*$C$141+am_cost+prop_tax+misc_cost)*Opex!U$7+rent_acre*acres_lease*Opex!U$8</f>
        <v/>
      </c>
      <c r="V149" s="25">
        <f>(om_kw*mwac*1000+ins_rate*$C$141+am_cost+prop_tax+misc_cost)*Opex!V$7+rent_acre*acres_lease*Opex!V$8</f>
        <v/>
      </c>
      <c r="W149" s="25">
        <f>(om_kw*mwac*1000+ins_rate*$C$141+am_cost+prop_tax+misc_cost)*Opex!W$7+rent_acre*acres_lease*Opex!W$8</f>
        <v/>
      </c>
      <c r="X149" s="25">
        <f>(om_kw*mwac*1000+ins_rate*$C$141+am_cost+prop_tax+misc_cost)*Opex!X$7+rent_acre*acres_lease*Opex!X$8</f>
        <v/>
      </c>
      <c r="Y149" s="25">
        <f>(om_kw*mwac*1000+ins_rate*$C$141+am_cost+prop_tax+misc_cost)*Opex!Y$7+rent_acre*acres_lease*Opex!Y$8</f>
        <v/>
      </c>
      <c r="Z149" s="25">
        <f>(om_kw*mwac*1000+ins_rate*$C$141+am_cost+prop_tax+misc_cost)*Opex!Z$7+rent_acre*acres_lease*Opex!Z$8</f>
        <v/>
      </c>
      <c r="AA149" s="25">
        <f>(om_kw*mwac*1000+ins_rate*$C$141+am_cost+prop_tax+misc_cost)*Opex!AA$7+rent_acre*acres_lease*Opex!AA$8</f>
        <v/>
      </c>
      <c r="AB149" s="25">
        <f>(om_kw*mwac*1000+ins_rate*$C$141+am_cost+prop_tax+misc_cost)*Opex!AB$7+rent_acre*acres_lease*Opex!AB$8</f>
        <v/>
      </c>
      <c r="AC149" s="25">
        <f>(om_kw*mwac*1000+ins_rate*$C$141+am_cost+prop_tax+misc_cost)*Opex!AC$7+rent_acre*acres_lease*Opex!AC$8</f>
        <v/>
      </c>
      <c r="AD149" s="25">
        <f>(om_kw*mwac*1000+ins_rate*$C$141+am_cost+prop_tax+misc_cost)*Opex!AD$7+rent_acre*acres_lease*Opex!AD$8</f>
        <v/>
      </c>
      <c r="AE149" s="25">
        <f>(om_kw*mwac*1000+ins_rate*$C$141+am_cost+prop_tax+misc_cost)*Opex!AE$7+rent_acre*acres_lease*Opex!AE$8</f>
        <v/>
      </c>
      <c r="AF149" s="25">
        <f>(om_kw*mwac*1000+ins_rate*$C$141+am_cost+prop_tax+misc_cost)*Opex!AF$7+rent_acre*acres_lease*Opex!AF$8</f>
        <v/>
      </c>
      <c r="AG149" s="25">
        <f>(om_kw*mwac*1000+ins_rate*$C$141+am_cost+prop_tax+misc_cost)*Opex!AG$7+rent_acre*acres_lease*Opex!AG$8</f>
        <v/>
      </c>
      <c r="AH149" s="25">
        <f>(om_kw*mwac*1000+ins_rate*$C$141+am_cost+prop_tax+misc_cost)*Opex!AH$7+rent_acre*acres_lease*Opex!AH$8</f>
        <v/>
      </c>
      <c r="AI149" s="25">
        <f>(om_kw*mwac*1000+ins_rate*$C$141+am_cost+prop_tax+misc_cost)*Opex!AI$7+rent_acre*acres_lease*Opex!AI$8</f>
        <v/>
      </c>
      <c r="AJ149" s="25">
        <f>(om_kw*mwac*1000+ins_rate*$C$141+am_cost+prop_tax+misc_cost)*Opex!AJ$7+rent_acre*acres_lease*Opex!AJ$8</f>
        <v/>
      </c>
      <c r="AK149" s="25">
        <f>(om_kw*mwac*1000+ins_rate*$C$141+am_cost+prop_tax+misc_cost)*Opex!AK$7+rent_acre*acres_lease*Opex!AK$8</f>
        <v/>
      </c>
      <c r="AL149" s="25">
        <f>(om_kw*mwac*1000+ins_rate*$C$141+am_cost+prop_tax+misc_cost)*Opex!AL$7+rent_acre*acres_lease*Opex!AL$8</f>
        <v/>
      </c>
    </row>
    <row r="150">
      <c r="B150" s="7" t="inlineStr">
        <is>
          <t>Credit cash ($)</t>
        </is>
      </c>
      <c r="D150" s="25">
        <f>IF(sw_credit="PTC",IF(D$5&lt;ptc_years,D144*Credits!D$8*(1+sw_bonus)*transfer_ptc,0),0)+IF(D$5=0,$C$143,0)</f>
        <v/>
      </c>
      <c r="E150" s="25">
        <f>IF(sw_credit="PTC",IF(E$5&lt;ptc_years,E144*Credits!E$8*(1+sw_bonus)*transfer_ptc,0),0)+IF(E$5=0,$C$143,0)</f>
        <v/>
      </c>
      <c r="F150" s="25">
        <f>IF(sw_credit="PTC",IF(F$5&lt;ptc_years,F144*Credits!F$8*(1+sw_bonus)*transfer_ptc,0),0)+IF(F$5=0,$C$143,0)</f>
        <v/>
      </c>
      <c r="G150" s="25">
        <f>IF(sw_credit="PTC",IF(G$5&lt;ptc_years,G144*Credits!G$8*(1+sw_bonus)*transfer_ptc,0),0)+IF(G$5=0,$C$143,0)</f>
        <v/>
      </c>
      <c r="H150" s="25">
        <f>IF(sw_credit="PTC",IF(H$5&lt;ptc_years,H144*Credits!H$8*(1+sw_bonus)*transfer_ptc,0),0)+IF(H$5=0,$C$143,0)</f>
        <v/>
      </c>
      <c r="I150" s="25">
        <f>IF(sw_credit="PTC",IF(I$5&lt;ptc_years,I144*Credits!I$8*(1+sw_bonus)*transfer_ptc,0),0)+IF(I$5=0,$C$143,0)</f>
        <v/>
      </c>
      <c r="J150" s="25">
        <f>IF(sw_credit="PTC",IF(J$5&lt;ptc_years,J144*Credits!J$8*(1+sw_bonus)*transfer_ptc,0),0)+IF(J$5=0,$C$143,0)</f>
        <v/>
      </c>
      <c r="K150" s="25">
        <f>IF(sw_credit="PTC",IF(K$5&lt;ptc_years,K144*Credits!K$8*(1+sw_bonus)*transfer_ptc,0),0)+IF(K$5=0,$C$143,0)</f>
        <v/>
      </c>
      <c r="L150" s="25">
        <f>IF(sw_credit="PTC",IF(L$5&lt;ptc_years,L144*Credits!L$8*(1+sw_bonus)*transfer_ptc,0),0)+IF(L$5=0,$C$143,0)</f>
        <v/>
      </c>
      <c r="M150" s="25">
        <f>IF(sw_credit="PTC",IF(M$5&lt;ptc_years,M144*Credits!M$8*(1+sw_bonus)*transfer_ptc,0),0)+IF(M$5=0,$C$143,0)</f>
        <v/>
      </c>
      <c r="N150" s="25">
        <f>IF(sw_credit="PTC",IF(N$5&lt;ptc_years,N144*Credits!N$8*(1+sw_bonus)*transfer_ptc,0),0)+IF(N$5=0,$C$143,0)</f>
        <v/>
      </c>
      <c r="O150" s="25">
        <f>IF(sw_credit="PTC",IF(O$5&lt;ptc_years,O144*Credits!O$8*(1+sw_bonus)*transfer_ptc,0),0)+IF(O$5=0,$C$143,0)</f>
        <v/>
      </c>
      <c r="P150" s="25">
        <f>IF(sw_credit="PTC",IF(P$5&lt;ptc_years,P144*Credits!P$8*(1+sw_bonus)*transfer_ptc,0),0)+IF(P$5=0,$C$143,0)</f>
        <v/>
      </c>
      <c r="Q150" s="25">
        <f>IF(sw_credit="PTC",IF(Q$5&lt;ptc_years,Q144*Credits!Q$8*(1+sw_bonus)*transfer_ptc,0),0)+IF(Q$5=0,$C$143,0)</f>
        <v/>
      </c>
      <c r="R150" s="25">
        <f>IF(sw_credit="PTC",IF(R$5&lt;ptc_years,R144*Credits!R$8*(1+sw_bonus)*transfer_ptc,0),0)+IF(R$5=0,$C$143,0)</f>
        <v/>
      </c>
      <c r="S150" s="25">
        <f>IF(sw_credit="PTC",IF(S$5&lt;ptc_years,S144*Credits!S$8*(1+sw_bonus)*transfer_ptc,0),0)+IF(S$5=0,$C$143,0)</f>
        <v/>
      </c>
      <c r="T150" s="25">
        <f>IF(sw_credit="PTC",IF(T$5&lt;ptc_years,T144*Credits!T$8*(1+sw_bonus)*transfer_ptc,0),0)+IF(T$5=0,$C$143,0)</f>
        <v/>
      </c>
      <c r="U150" s="25">
        <f>IF(sw_credit="PTC",IF(U$5&lt;ptc_years,U144*Credits!U$8*(1+sw_bonus)*transfer_ptc,0),0)+IF(U$5=0,$C$143,0)</f>
        <v/>
      </c>
      <c r="V150" s="25">
        <f>IF(sw_credit="PTC",IF(V$5&lt;ptc_years,V144*Credits!V$8*(1+sw_bonus)*transfer_ptc,0),0)+IF(V$5=0,$C$143,0)</f>
        <v/>
      </c>
      <c r="W150" s="25">
        <f>IF(sw_credit="PTC",IF(W$5&lt;ptc_years,W144*Credits!W$8*(1+sw_bonus)*transfer_ptc,0),0)+IF(W$5=0,$C$143,0)</f>
        <v/>
      </c>
      <c r="X150" s="25">
        <f>IF(sw_credit="PTC",IF(X$5&lt;ptc_years,X144*Credits!X$8*(1+sw_bonus)*transfer_ptc,0),0)+IF(X$5=0,$C$143,0)</f>
        <v/>
      </c>
      <c r="Y150" s="25">
        <f>IF(sw_credit="PTC",IF(Y$5&lt;ptc_years,Y144*Credits!Y$8*(1+sw_bonus)*transfer_ptc,0),0)+IF(Y$5=0,$C$143,0)</f>
        <v/>
      </c>
      <c r="Z150" s="25">
        <f>IF(sw_credit="PTC",IF(Z$5&lt;ptc_years,Z144*Credits!Z$8*(1+sw_bonus)*transfer_ptc,0),0)+IF(Z$5=0,$C$143,0)</f>
        <v/>
      </c>
      <c r="AA150" s="25">
        <f>IF(sw_credit="PTC",IF(AA$5&lt;ptc_years,AA144*Credits!AA$8*(1+sw_bonus)*transfer_ptc,0),0)+IF(AA$5=0,$C$143,0)</f>
        <v/>
      </c>
      <c r="AB150" s="25">
        <f>IF(sw_credit="PTC",IF(AB$5&lt;ptc_years,AB144*Credits!AB$8*(1+sw_bonus)*transfer_ptc,0),0)+IF(AB$5=0,$C$143,0)</f>
        <v/>
      </c>
      <c r="AC150" s="25">
        <f>IF(sw_credit="PTC",IF(AC$5&lt;ptc_years,AC144*Credits!AC$8*(1+sw_bonus)*transfer_ptc,0),0)+IF(AC$5=0,$C$143,0)</f>
        <v/>
      </c>
      <c r="AD150" s="25">
        <f>IF(sw_credit="PTC",IF(AD$5&lt;ptc_years,AD144*Credits!AD$8*(1+sw_bonus)*transfer_ptc,0),0)+IF(AD$5=0,$C$143,0)</f>
        <v/>
      </c>
      <c r="AE150" s="25">
        <f>IF(sw_credit="PTC",IF(AE$5&lt;ptc_years,AE144*Credits!AE$8*(1+sw_bonus)*transfer_ptc,0),0)+IF(AE$5=0,$C$143,0)</f>
        <v/>
      </c>
      <c r="AF150" s="25">
        <f>IF(sw_credit="PTC",IF(AF$5&lt;ptc_years,AF144*Credits!AF$8*(1+sw_bonus)*transfer_ptc,0),0)+IF(AF$5=0,$C$143,0)</f>
        <v/>
      </c>
      <c r="AG150" s="25">
        <f>IF(sw_credit="PTC",IF(AG$5&lt;ptc_years,AG144*Credits!AG$8*(1+sw_bonus)*transfer_ptc,0),0)+IF(AG$5=0,$C$143,0)</f>
        <v/>
      </c>
      <c r="AH150" s="25">
        <f>IF(sw_credit="PTC",IF(AH$5&lt;ptc_years,AH144*Credits!AH$8*(1+sw_bonus)*transfer_ptc,0),0)+IF(AH$5=0,$C$143,0)</f>
        <v/>
      </c>
      <c r="AI150" s="25">
        <f>IF(sw_credit="PTC",IF(AI$5&lt;ptc_years,AI144*Credits!AI$8*(1+sw_bonus)*transfer_ptc,0),0)+IF(AI$5=0,$C$143,0)</f>
        <v/>
      </c>
      <c r="AJ150" s="25">
        <f>IF(sw_credit="PTC",IF(AJ$5&lt;ptc_years,AJ144*Credits!AJ$8*(1+sw_bonus)*transfer_ptc,0),0)+IF(AJ$5=0,$C$143,0)</f>
        <v/>
      </c>
      <c r="AK150" s="25">
        <f>IF(sw_credit="PTC",IF(AK$5&lt;ptc_years,AK144*Credits!AK$8*(1+sw_bonus)*transfer_ptc,0),0)+IF(AK$5=0,$C$143,0)</f>
        <v/>
      </c>
      <c r="AL150" s="25">
        <f>IF(sw_credit="PTC",IF(AL$5&lt;ptc_years,AL144*Credits!AL$8*(1+sw_bonus)*transfer_ptc,0),0)+IF(AL$5=0,$C$143,0)</f>
        <v/>
      </c>
    </row>
    <row r="151">
      <c r="B151" s="14" t="inlineStr">
        <is>
          <t>EBITDA ($)</t>
        </is>
      </c>
      <c r="D151" s="26">
        <f>D146+D147-D148-D149</f>
        <v/>
      </c>
      <c r="E151" s="26">
        <f>E146+E147-E148-E149</f>
        <v/>
      </c>
      <c r="F151" s="26">
        <f>F146+F147-F148-F149</f>
        <v/>
      </c>
      <c r="G151" s="26">
        <f>G146+G147-G148-G149</f>
        <v/>
      </c>
      <c r="H151" s="26">
        <f>H146+H147-H148-H149</f>
        <v/>
      </c>
      <c r="I151" s="26">
        <f>I146+I147-I148-I149</f>
        <v/>
      </c>
      <c r="J151" s="26">
        <f>J146+J147-J148-J149</f>
        <v/>
      </c>
      <c r="K151" s="26">
        <f>K146+K147-K148-K149</f>
        <v/>
      </c>
      <c r="L151" s="26">
        <f>L146+L147-L148-L149</f>
        <v/>
      </c>
      <c r="M151" s="26">
        <f>M146+M147-M148-M149</f>
        <v/>
      </c>
      <c r="N151" s="26">
        <f>N146+N147-N148-N149</f>
        <v/>
      </c>
      <c r="O151" s="26">
        <f>O146+O147-O148-O149</f>
        <v/>
      </c>
      <c r="P151" s="26">
        <f>P146+P147-P148-P149</f>
        <v/>
      </c>
      <c r="Q151" s="26">
        <f>Q146+Q147-Q148-Q149</f>
        <v/>
      </c>
      <c r="R151" s="26">
        <f>R146+R147-R148-R149</f>
        <v/>
      </c>
      <c r="S151" s="26">
        <f>S146+S147-S148-S149</f>
        <v/>
      </c>
      <c r="T151" s="26">
        <f>T146+T147-T148-T149</f>
        <v/>
      </c>
      <c r="U151" s="26">
        <f>U146+U147-U148-U149</f>
        <v/>
      </c>
      <c r="V151" s="26">
        <f>V146+V147-V148-V149</f>
        <v/>
      </c>
      <c r="W151" s="26">
        <f>W146+W147-W148-W149</f>
        <v/>
      </c>
      <c r="X151" s="26">
        <f>X146+X147-X148-X149</f>
        <v/>
      </c>
      <c r="Y151" s="26">
        <f>Y146+Y147-Y148-Y149</f>
        <v/>
      </c>
      <c r="Z151" s="26">
        <f>Z146+Z147-Z148-Z149</f>
        <v/>
      </c>
      <c r="AA151" s="26">
        <f>AA146+AA147-AA148-AA149</f>
        <v/>
      </c>
      <c r="AB151" s="26">
        <f>AB146+AB147-AB148-AB149</f>
        <v/>
      </c>
      <c r="AC151" s="26">
        <f>AC146+AC147-AC148-AC149</f>
        <v/>
      </c>
      <c r="AD151" s="26">
        <f>AD146+AD147-AD148-AD149</f>
        <v/>
      </c>
      <c r="AE151" s="26">
        <f>AE146+AE147-AE148-AE149</f>
        <v/>
      </c>
      <c r="AF151" s="26">
        <f>AF146+AF147-AF148-AF149</f>
        <v/>
      </c>
      <c r="AG151" s="26">
        <f>AG146+AG147-AG148-AG149</f>
        <v/>
      </c>
      <c r="AH151" s="26">
        <f>AH146+AH147-AH148-AH149</f>
        <v/>
      </c>
      <c r="AI151" s="26">
        <f>AI146+AI147-AI148-AI149</f>
        <v/>
      </c>
      <c r="AJ151" s="26">
        <f>AJ146+AJ147-AJ148-AJ149</f>
        <v/>
      </c>
      <c r="AK151" s="26">
        <f>AK146+AK147-AK148-AK149</f>
        <v/>
      </c>
      <c r="AL151" s="26">
        <f>AL146+AL147-AL148-AL149</f>
        <v/>
      </c>
    </row>
    <row r="152">
      <c r="B152" s="7" t="inlineStr">
        <is>
          <t>Discount factor to 1 January 2027, contracted rate</t>
        </is>
      </c>
      <c r="D152" s="22">
        <f>1/(1+x_rc)^(D$5+2)</f>
        <v/>
      </c>
      <c r="E152" s="22">
        <f>1/(1+x_rc)^(E$5+2)</f>
        <v/>
      </c>
      <c r="F152" s="22">
        <f>1/(1+x_rc)^(F$5+2)</f>
        <v/>
      </c>
      <c r="G152" s="22">
        <f>1/(1+x_rc)^(G$5+2)</f>
        <v/>
      </c>
      <c r="H152" s="22">
        <f>1/(1+x_rc)^(H$5+2)</f>
        <v/>
      </c>
      <c r="I152" s="22">
        <f>1/(1+x_rc)^(I$5+2)</f>
        <v/>
      </c>
      <c r="J152" s="22">
        <f>1/(1+x_rc)^(J$5+2)</f>
        <v/>
      </c>
      <c r="K152" s="22">
        <f>1/(1+x_rc)^(K$5+2)</f>
        <v/>
      </c>
      <c r="L152" s="22">
        <f>1/(1+x_rc)^(L$5+2)</f>
        <v/>
      </c>
      <c r="M152" s="22">
        <f>1/(1+x_rc)^(M$5+2)</f>
        <v/>
      </c>
      <c r="N152" s="22">
        <f>1/(1+x_rc)^(N$5+2)</f>
        <v/>
      </c>
      <c r="O152" s="22">
        <f>1/(1+x_rc)^(O$5+2)</f>
        <v/>
      </c>
      <c r="P152" s="22">
        <f>1/(1+x_rc)^(P$5+2)</f>
        <v/>
      </c>
      <c r="Q152" s="22">
        <f>1/(1+x_rc)^(Q$5+2)</f>
        <v/>
      </c>
      <c r="R152" s="22">
        <f>1/(1+x_rc)^(R$5+2)</f>
        <v/>
      </c>
      <c r="S152" s="22">
        <f>1/(1+x_rc)^(S$5+2)</f>
        <v/>
      </c>
      <c r="T152" s="22">
        <f>1/(1+x_rc)^(T$5+2)</f>
        <v/>
      </c>
      <c r="U152" s="22">
        <f>1/(1+x_rc)^(U$5+2)</f>
        <v/>
      </c>
      <c r="V152" s="22">
        <f>1/(1+x_rc)^(V$5+2)</f>
        <v/>
      </c>
      <c r="W152" s="22">
        <f>1/(1+x_rc)^(W$5+2)</f>
        <v/>
      </c>
      <c r="X152" s="22">
        <f>1/(1+x_rc)^(X$5+2)</f>
        <v/>
      </c>
      <c r="Y152" s="22">
        <f>1/(1+x_rc)^(Y$5+2)</f>
        <v/>
      </c>
      <c r="Z152" s="22">
        <f>1/(1+x_rc)^(Z$5+2)</f>
        <v/>
      </c>
      <c r="AA152" s="22">
        <f>1/(1+x_rc)^(AA$5+2)</f>
        <v/>
      </c>
      <c r="AB152" s="22">
        <f>1/(1+x_rc)^(AB$5+2)</f>
        <v/>
      </c>
      <c r="AC152" s="22">
        <f>1/(1+x_rc)^(AC$5+2)</f>
        <v/>
      </c>
      <c r="AD152" s="22">
        <f>1/(1+x_rc)^(AD$5+2)</f>
        <v/>
      </c>
      <c r="AE152" s="22">
        <f>1/(1+x_rc)^(AE$5+2)</f>
        <v/>
      </c>
      <c r="AF152" s="22">
        <f>1/(1+x_rc)^(AF$5+2)</f>
        <v/>
      </c>
      <c r="AG152" s="22">
        <f>1/(1+x_rc)^(AG$5+2)</f>
        <v/>
      </c>
      <c r="AH152" s="22">
        <f>1/(1+x_rc)^(AH$5+2)</f>
        <v/>
      </c>
      <c r="AI152" s="22">
        <f>1/(1+x_rc)^(AI$5+2)</f>
        <v/>
      </c>
      <c r="AJ152" s="22">
        <f>1/(1+x_rc)^(AJ$5+2)</f>
        <v/>
      </c>
      <c r="AK152" s="22">
        <f>1/(1+x_rc)^(AK$5+2)</f>
        <v/>
      </c>
      <c r="AL152" s="22">
        <f>1/(1+x_rc)^(AL$5+2)</f>
        <v/>
      </c>
    </row>
    <row r="153">
      <c r="B153" s="7" t="inlineStr">
        <is>
          <t>Discount factor to 1 January 2027, merchant rate</t>
        </is>
      </c>
      <c r="D153" s="22">
        <f>1/(1+x_rm)^(D$5+2)</f>
        <v/>
      </c>
      <c r="E153" s="22">
        <f>1/(1+x_rm)^(E$5+2)</f>
        <v/>
      </c>
      <c r="F153" s="22">
        <f>1/(1+x_rm)^(F$5+2)</f>
        <v/>
      </c>
      <c r="G153" s="22">
        <f>1/(1+x_rm)^(G$5+2)</f>
        <v/>
      </c>
      <c r="H153" s="22">
        <f>1/(1+x_rm)^(H$5+2)</f>
        <v/>
      </c>
      <c r="I153" s="22">
        <f>1/(1+x_rm)^(I$5+2)</f>
        <v/>
      </c>
      <c r="J153" s="22">
        <f>1/(1+x_rm)^(J$5+2)</f>
        <v/>
      </c>
      <c r="K153" s="22">
        <f>1/(1+x_rm)^(K$5+2)</f>
        <v/>
      </c>
      <c r="L153" s="22">
        <f>1/(1+x_rm)^(L$5+2)</f>
        <v/>
      </c>
      <c r="M153" s="22">
        <f>1/(1+x_rm)^(M$5+2)</f>
        <v/>
      </c>
      <c r="N153" s="22">
        <f>1/(1+x_rm)^(N$5+2)</f>
        <v/>
      </c>
      <c r="O153" s="22">
        <f>1/(1+x_rm)^(O$5+2)</f>
        <v/>
      </c>
      <c r="P153" s="22">
        <f>1/(1+x_rm)^(P$5+2)</f>
        <v/>
      </c>
      <c r="Q153" s="22">
        <f>1/(1+x_rm)^(Q$5+2)</f>
        <v/>
      </c>
      <c r="R153" s="22">
        <f>1/(1+x_rm)^(R$5+2)</f>
        <v/>
      </c>
      <c r="S153" s="22">
        <f>1/(1+x_rm)^(S$5+2)</f>
        <v/>
      </c>
      <c r="T153" s="22">
        <f>1/(1+x_rm)^(T$5+2)</f>
        <v/>
      </c>
      <c r="U153" s="22">
        <f>1/(1+x_rm)^(U$5+2)</f>
        <v/>
      </c>
      <c r="V153" s="22">
        <f>1/(1+x_rm)^(V$5+2)</f>
        <v/>
      </c>
      <c r="W153" s="22">
        <f>1/(1+x_rm)^(W$5+2)</f>
        <v/>
      </c>
      <c r="X153" s="22">
        <f>1/(1+x_rm)^(X$5+2)</f>
        <v/>
      </c>
      <c r="Y153" s="22">
        <f>1/(1+x_rm)^(Y$5+2)</f>
        <v/>
      </c>
      <c r="Z153" s="22">
        <f>1/(1+x_rm)^(Z$5+2)</f>
        <v/>
      </c>
      <c r="AA153" s="22">
        <f>1/(1+x_rm)^(AA$5+2)</f>
        <v/>
      </c>
      <c r="AB153" s="22">
        <f>1/(1+x_rm)^(AB$5+2)</f>
        <v/>
      </c>
      <c r="AC153" s="22">
        <f>1/(1+x_rm)^(AC$5+2)</f>
        <v/>
      </c>
      <c r="AD153" s="22">
        <f>1/(1+x_rm)^(AD$5+2)</f>
        <v/>
      </c>
      <c r="AE153" s="22">
        <f>1/(1+x_rm)^(AE$5+2)</f>
        <v/>
      </c>
      <c r="AF153" s="22">
        <f>1/(1+x_rm)^(AF$5+2)</f>
        <v/>
      </c>
      <c r="AG153" s="22">
        <f>1/(1+x_rm)^(AG$5+2)</f>
        <v/>
      </c>
      <c r="AH153" s="22">
        <f>1/(1+x_rm)^(AH$5+2)</f>
        <v/>
      </c>
      <c r="AI153" s="22">
        <f>1/(1+x_rm)^(AI$5+2)</f>
        <v/>
      </c>
      <c r="AJ153" s="22">
        <f>1/(1+x_rm)^(AJ$5+2)</f>
        <v/>
      </c>
      <c r="AK153" s="22">
        <f>1/(1+x_rm)^(AK$5+2)</f>
        <v/>
      </c>
      <c r="AL153" s="22">
        <f>1/(1+x_rm)^(AL$5+2)</f>
        <v/>
      </c>
    </row>
    <row r="154">
      <c r="B154" s="7" t="inlineStr">
        <is>
          <t>Value on 1 January 2027 of the flows from 2028 (split rates) ($)</t>
        </is>
      </c>
      <c r="C154" s="25">
        <f>SUMPRODUCT($D$146:$AL$146,$D$152:$AL$152)+SUMPRODUCT($D$150:$AL$150,$D$152:$AL$152)-SUMPRODUCT($D$148:$AL$148,$D$152:$AL$152)-SUMPRODUCT($D$149:$AL$149,$D$152:$AL$152)+SUMPRODUCT($D$147:$AL$147,$D$153:$AL$153)-decom_end/(1+x_rc)^(life_years+1)</f>
        <v/>
      </c>
    </row>
    <row r="155">
      <c r="B155" s="14" t="inlineStr">
        <is>
          <t>Development value on 1 January 2027: value less the capital cost ($)</t>
        </is>
      </c>
      <c r="C155" s="26">
        <f>C154-C141/(1+x_rc)</f>
        <v/>
      </c>
    </row>
    <row r="156">
      <c r="B156" s="7" t="inlineStr">
        <is>
          <t>Highest premium Ashgrove can pay at NTP ($)</t>
        </is>
      </c>
      <c r="C156" s="25">
        <f>C155-reimb+reimb/(1+x_rc)</f>
        <v/>
      </c>
    </row>
    <row r="159">
      <c r="B159" s="6" t="inlineStr">
        <is>
          <t>Modules at the high price, case C</t>
        </is>
      </c>
    </row>
    <row r="160">
      <c r="B160" s="7" t="inlineStr">
        <is>
          <t>Capital cost ($)</t>
        </is>
      </c>
      <c r="C160" s="25">
        <f>((sens_mod_hi+x_tracker+x_bos)*mwdc*1000000+x_inverter*mwac*1000000+x_sub)*(1+contingency)+x_ic+owner</f>
        <v/>
      </c>
    </row>
    <row r="161">
      <c r="B161" s="7" t="inlineStr">
        <is>
          <t>ITC eligible basis ($)</t>
        </is>
      </c>
      <c r="C161" s="25">
        <f>((sens_mod_hi+x_tracker+x_bos)*mwdc*1000000+x_inverter*mwac*1000000+x_sub)*(1+contingency)-gentie_share*x_sub</f>
        <v/>
      </c>
    </row>
    <row r="162">
      <c r="B162" s="7" t="inlineStr">
        <is>
          <t>ITC cash at the end of 2028, if elected ($)</t>
        </is>
      </c>
      <c r="C162" s="25">
        <f>IF(sw_credit="ITC",C161*(itc_rate+sw_bonus)*transfer_itc,0)</f>
        <v/>
      </c>
    </row>
    <row r="163">
      <c r="B163" s="7" t="inlineStr">
        <is>
          <t>Energy (MWh)</t>
        </is>
      </c>
      <c r="D163" s="23">
        <f>mwac*hours*cf_p50*Energy!D$7*x_scale</f>
        <v/>
      </c>
      <c r="E163" s="23">
        <f>mwac*hours*cf_p50*Energy!E$7*x_scale</f>
        <v/>
      </c>
      <c r="F163" s="23">
        <f>mwac*hours*cf_p50*Energy!F$7*x_scale</f>
        <v/>
      </c>
      <c r="G163" s="23">
        <f>mwac*hours*cf_p50*Energy!G$7*x_scale</f>
        <v/>
      </c>
      <c r="H163" s="23">
        <f>mwac*hours*cf_p50*Energy!H$7*x_scale</f>
        <v/>
      </c>
      <c r="I163" s="23">
        <f>mwac*hours*cf_p50*Energy!I$7*x_scale</f>
        <v/>
      </c>
      <c r="J163" s="23">
        <f>mwac*hours*cf_p50*Energy!J$7*x_scale</f>
        <v/>
      </c>
      <c r="K163" s="23">
        <f>mwac*hours*cf_p50*Energy!K$7*x_scale</f>
        <v/>
      </c>
      <c r="L163" s="23">
        <f>mwac*hours*cf_p50*Energy!L$7*x_scale</f>
        <v/>
      </c>
      <c r="M163" s="23">
        <f>mwac*hours*cf_p50*Energy!M$7*x_scale</f>
        <v/>
      </c>
      <c r="N163" s="23">
        <f>mwac*hours*cf_p50*Energy!N$7*x_scale</f>
        <v/>
      </c>
      <c r="O163" s="23">
        <f>mwac*hours*cf_p50*Energy!O$7*x_scale</f>
        <v/>
      </c>
      <c r="P163" s="23">
        <f>mwac*hours*cf_p50*Energy!P$7*x_scale</f>
        <v/>
      </c>
      <c r="Q163" s="23">
        <f>mwac*hours*cf_p50*Energy!Q$7*x_scale</f>
        <v/>
      </c>
      <c r="R163" s="23">
        <f>mwac*hours*cf_p50*Energy!R$7*x_scale</f>
        <v/>
      </c>
      <c r="S163" s="23">
        <f>mwac*hours*cf_p50*Energy!S$7*x_scale</f>
        <v/>
      </c>
      <c r="T163" s="23">
        <f>mwac*hours*cf_p50*Energy!T$7*x_scale</f>
        <v/>
      </c>
      <c r="U163" s="23">
        <f>mwac*hours*cf_p50*Energy!U$7*x_scale</f>
        <v/>
      </c>
      <c r="V163" s="23">
        <f>mwac*hours*cf_p50*Energy!V$7*x_scale</f>
        <v/>
      </c>
      <c r="W163" s="23">
        <f>mwac*hours*cf_p50*Energy!W$7*x_scale</f>
        <v/>
      </c>
      <c r="X163" s="23">
        <f>mwac*hours*cf_p50*Energy!X$7*x_scale</f>
        <v/>
      </c>
      <c r="Y163" s="23">
        <f>mwac*hours*cf_p50*Energy!Y$7*x_scale</f>
        <v/>
      </c>
      <c r="Z163" s="23">
        <f>mwac*hours*cf_p50*Energy!Z$7*x_scale</f>
        <v/>
      </c>
      <c r="AA163" s="23">
        <f>mwac*hours*cf_p50*Energy!AA$7*x_scale</f>
        <v/>
      </c>
      <c r="AB163" s="23">
        <f>mwac*hours*cf_p50*Energy!AB$7*x_scale</f>
        <v/>
      </c>
      <c r="AC163" s="23">
        <f>mwac*hours*cf_p50*Energy!AC$7*x_scale</f>
        <v/>
      </c>
      <c r="AD163" s="23">
        <f>mwac*hours*cf_p50*Energy!AD$7*x_scale</f>
        <v/>
      </c>
      <c r="AE163" s="23">
        <f>mwac*hours*cf_p50*Energy!AE$7*x_scale</f>
        <v/>
      </c>
      <c r="AF163" s="23">
        <f>mwac*hours*cf_p50*Energy!AF$7*x_scale</f>
        <v/>
      </c>
      <c r="AG163" s="23">
        <f>mwac*hours*cf_p50*Energy!AG$7*x_scale</f>
        <v/>
      </c>
      <c r="AH163" s="23">
        <f>mwac*hours*cf_p50*Energy!AH$7*x_scale</f>
        <v/>
      </c>
      <c r="AI163" s="23">
        <f>mwac*hours*cf_p50*Energy!AI$7*x_scale</f>
        <v/>
      </c>
      <c r="AJ163" s="23">
        <f>mwac*hours*cf_p50*Energy!AJ$7*x_scale</f>
        <v/>
      </c>
      <c r="AK163" s="23">
        <f>mwac*hours*cf_p50*Energy!AK$7*x_scale</f>
        <v/>
      </c>
      <c r="AL163" s="23">
        <f>mwac*hours*cf_p50*Energy!AL$7*x_scale</f>
        <v/>
      </c>
    </row>
    <row r="164">
      <c r="B164" s="7" t="inlineStr">
        <is>
          <t>Node price, hub switch applied ($/MWh)</t>
        </is>
      </c>
      <c r="D164" s="32">
        <f>Market!D$7*(1+sw_hub)*Market!D$8+Market!D$10</f>
        <v/>
      </c>
      <c r="E164" s="32">
        <f>Market!E$7*(1+sw_hub)*Market!E$8+Market!E$10</f>
        <v/>
      </c>
      <c r="F164" s="32">
        <f>Market!F$7*(1+sw_hub)*Market!F$8+Market!F$10</f>
        <v/>
      </c>
      <c r="G164" s="32">
        <f>Market!G$7*(1+sw_hub)*Market!G$8+Market!G$10</f>
        <v/>
      </c>
      <c r="H164" s="32">
        <f>Market!H$7*(1+sw_hub)*Market!H$8+Market!H$10</f>
        <v/>
      </c>
      <c r="I164" s="32">
        <f>Market!I$7*(1+sw_hub)*Market!I$8+Market!I$10</f>
        <v/>
      </c>
      <c r="J164" s="32">
        <f>Market!J$7*(1+sw_hub)*Market!J$8+Market!J$10</f>
        <v/>
      </c>
      <c r="K164" s="32">
        <f>Market!K$7*(1+sw_hub)*Market!K$8+Market!K$10</f>
        <v/>
      </c>
      <c r="L164" s="32">
        <f>Market!L$7*(1+sw_hub)*Market!L$8+Market!L$10</f>
        <v/>
      </c>
      <c r="M164" s="32">
        <f>Market!M$7*(1+sw_hub)*Market!M$8+Market!M$10</f>
        <v/>
      </c>
      <c r="N164" s="32">
        <f>Market!N$7*(1+sw_hub)*Market!N$8+Market!N$10</f>
        <v/>
      </c>
      <c r="O164" s="32">
        <f>Market!O$7*(1+sw_hub)*Market!O$8+Market!O$10</f>
        <v/>
      </c>
      <c r="P164" s="32">
        <f>Market!P$7*(1+sw_hub)*Market!P$8+Market!P$10</f>
        <v/>
      </c>
      <c r="Q164" s="32">
        <f>Market!Q$7*(1+sw_hub)*Market!Q$8+Market!Q$10</f>
        <v/>
      </c>
      <c r="R164" s="32">
        <f>Market!R$7*(1+sw_hub)*Market!R$8+Market!R$10</f>
        <v/>
      </c>
      <c r="S164" s="32">
        <f>Market!S$7*(1+sw_hub)*Market!S$8+Market!S$10</f>
        <v/>
      </c>
      <c r="T164" s="32">
        <f>Market!T$7*(1+sw_hub)*Market!T$8+Market!T$10</f>
        <v/>
      </c>
      <c r="U164" s="32">
        <f>Market!U$7*(1+sw_hub)*Market!U$8+Market!U$10</f>
        <v/>
      </c>
      <c r="V164" s="32">
        <f>Market!V$7*(1+sw_hub)*Market!V$8+Market!V$10</f>
        <v/>
      </c>
      <c r="W164" s="32">
        <f>Market!W$7*(1+sw_hub)*Market!W$8+Market!W$10</f>
        <v/>
      </c>
      <c r="X164" s="32">
        <f>Market!X$7*(1+sw_hub)*Market!X$8+Market!X$10</f>
        <v/>
      </c>
      <c r="Y164" s="32">
        <f>Market!Y$7*(1+sw_hub)*Market!Y$8+Market!Y$10</f>
        <v/>
      </c>
      <c r="Z164" s="32">
        <f>Market!Z$7*(1+sw_hub)*Market!Z$8+Market!Z$10</f>
        <v/>
      </c>
      <c r="AA164" s="32">
        <f>Market!AA$7*(1+sw_hub)*Market!AA$8+Market!AA$10</f>
        <v/>
      </c>
      <c r="AB164" s="32">
        <f>Market!AB$7*(1+sw_hub)*Market!AB$8+Market!AB$10</f>
        <v/>
      </c>
      <c r="AC164" s="32">
        <f>Market!AC$7*(1+sw_hub)*Market!AC$8+Market!AC$10</f>
        <v/>
      </c>
      <c r="AD164" s="32">
        <f>Market!AD$7*(1+sw_hub)*Market!AD$8+Market!AD$10</f>
        <v/>
      </c>
      <c r="AE164" s="32">
        <f>Market!AE$7*(1+sw_hub)*Market!AE$8+Market!AE$10</f>
        <v/>
      </c>
      <c r="AF164" s="32">
        <f>Market!AF$7*(1+sw_hub)*Market!AF$8+Market!AF$10</f>
        <v/>
      </c>
      <c r="AG164" s="32">
        <f>Market!AG$7*(1+sw_hub)*Market!AG$8+Market!AG$10</f>
        <v/>
      </c>
      <c r="AH164" s="32">
        <f>Market!AH$7*(1+sw_hub)*Market!AH$8+Market!AH$10</f>
        <v/>
      </c>
      <c r="AI164" s="32">
        <f>Market!AI$7*(1+sw_hub)*Market!AI$8+Market!AI$10</f>
        <v/>
      </c>
      <c r="AJ164" s="32">
        <f>Market!AJ$7*(1+sw_hub)*Market!AJ$8+Market!AJ$10</f>
        <v/>
      </c>
      <c r="AK164" s="32">
        <f>Market!AK$7*(1+sw_hub)*Market!AK$8+Market!AK$10</f>
        <v/>
      </c>
      <c r="AL164" s="32">
        <f>Market!AL$7*(1+sw_hub)*Market!AL$8+Market!AL$10</f>
        <v/>
      </c>
    </row>
    <row r="165">
      <c r="B165" s="7" t="inlineStr">
        <is>
          <t>Contracted revenue ($)</t>
        </is>
      </c>
      <c r="D165" s="25">
        <f>IF(D$5&lt;c_years,D163*c_price,0)</f>
        <v/>
      </c>
      <c r="E165" s="25">
        <f>IF(E$5&lt;c_years,E163*c_price,0)</f>
        <v/>
      </c>
      <c r="F165" s="25">
        <f>IF(F$5&lt;c_years,F163*c_price,0)</f>
        <v/>
      </c>
      <c r="G165" s="25">
        <f>IF(G$5&lt;c_years,G163*c_price,0)</f>
        <v/>
      </c>
      <c r="H165" s="25">
        <f>IF(H$5&lt;c_years,H163*c_price,0)</f>
        <v/>
      </c>
      <c r="I165" s="25">
        <f>IF(I$5&lt;c_years,I163*c_price,0)</f>
        <v/>
      </c>
      <c r="J165" s="25">
        <f>IF(J$5&lt;c_years,J163*c_price,0)</f>
        <v/>
      </c>
      <c r="K165" s="25">
        <f>IF(K$5&lt;c_years,K163*c_price,0)</f>
        <v/>
      </c>
      <c r="L165" s="25">
        <f>IF(L$5&lt;c_years,L163*c_price,0)</f>
        <v/>
      </c>
      <c r="M165" s="25">
        <f>IF(M$5&lt;c_years,M163*c_price,0)</f>
        <v/>
      </c>
      <c r="N165" s="25">
        <f>IF(N$5&lt;c_years,N163*c_price,0)</f>
        <v/>
      </c>
      <c r="O165" s="25">
        <f>IF(O$5&lt;c_years,O163*c_price,0)</f>
        <v/>
      </c>
      <c r="P165" s="25">
        <f>IF(P$5&lt;c_years,P163*c_price,0)</f>
        <v/>
      </c>
      <c r="Q165" s="25">
        <f>IF(Q$5&lt;c_years,Q163*c_price,0)</f>
        <v/>
      </c>
      <c r="R165" s="25">
        <f>IF(R$5&lt;c_years,R163*c_price,0)</f>
        <v/>
      </c>
      <c r="S165" s="25">
        <f>IF(S$5&lt;c_years,S163*c_price,0)</f>
        <v/>
      </c>
      <c r="T165" s="25">
        <f>IF(T$5&lt;c_years,T163*c_price,0)</f>
        <v/>
      </c>
      <c r="U165" s="25">
        <f>IF(U$5&lt;c_years,U163*c_price,0)</f>
        <v/>
      </c>
      <c r="V165" s="25">
        <f>IF(V$5&lt;c_years,V163*c_price,0)</f>
        <v/>
      </c>
      <c r="W165" s="25">
        <f>IF(W$5&lt;c_years,W163*c_price,0)</f>
        <v/>
      </c>
      <c r="X165" s="25">
        <f>IF(X$5&lt;c_years,X163*c_price,0)</f>
        <v/>
      </c>
      <c r="Y165" s="25">
        <f>IF(Y$5&lt;c_years,Y163*c_price,0)</f>
        <v/>
      </c>
      <c r="Z165" s="25">
        <f>IF(Z$5&lt;c_years,Z163*c_price,0)</f>
        <v/>
      </c>
      <c r="AA165" s="25">
        <f>IF(AA$5&lt;c_years,AA163*c_price,0)</f>
        <v/>
      </c>
      <c r="AB165" s="25">
        <f>IF(AB$5&lt;c_years,AB163*c_price,0)</f>
        <v/>
      </c>
      <c r="AC165" s="25">
        <f>IF(AC$5&lt;c_years,AC163*c_price,0)</f>
        <v/>
      </c>
      <c r="AD165" s="25">
        <f>IF(AD$5&lt;c_years,AD163*c_price,0)</f>
        <v/>
      </c>
      <c r="AE165" s="25">
        <f>IF(AE$5&lt;c_years,AE163*c_price,0)</f>
        <v/>
      </c>
      <c r="AF165" s="25">
        <f>IF(AF$5&lt;c_years,AF163*c_price,0)</f>
        <v/>
      </c>
      <c r="AG165" s="25">
        <f>IF(AG$5&lt;c_years,AG163*c_price,0)</f>
        <v/>
      </c>
      <c r="AH165" s="25">
        <f>IF(AH$5&lt;c_years,AH163*c_price,0)</f>
        <v/>
      </c>
      <c r="AI165" s="25">
        <f>IF(AI$5&lt;c_years,AI163*c_price,0)</f>
        <v/>
      </c>
      <c r="AJ165" s="25">
        <f>IF(AJ$5&lt;c_years,AJ163*c_price,0)</f>
        <v/>
      </c>
      <c r="AK165" s="25">
        <f>IF(AK$5&lt;c_years,AK163*c_price,0)</f>
        <v/>
      </c>
      <c r="AL165" s="25">
        <f>IF(AL$5&lt;c_years,AL163*c_price,0)</f>
        <v/>
      </c>
    </row>
    <row r="166">
      <c r="B166" s="7" t="inlineStr">
        <is>
          <t>Merchant revenue ($)</t>
        </is>
      </c>
      <c r="D166" s="25">
        <f>IF(D$5&lt;c_years,Market!D$13,D163*(D164+rec_price)+Market!D$13)</f>
        <v/>
      </c>
      <c r="E166" s="25">
        <f>IF(E$5&lt;c_years,Market!E$13,E163*(E164+rec_price)+Market!E$13)</f>
        <v/>
      </c>
      <c r="F166" s="25">
        <f>IF(F$5&lt;c_years,Market!F$13,F163*(F164+rec_price)+Market!F$13)</f>
        <v/>
      </c>
      <c r="G166" s="25">
        <f>IF(G$5&lt;c_years,Market!G$13,G163*(G164+rec_price)+Market!G$13)</f>
        <v/>
      </c>
      <c r="H166" s="25">
        <f>IF(H$5&lt;c_years,Market!H$13,H163*(H164+rec_price)+Market!H$13)</f>
        <v/>
      </c>
      <c r="I166" s="25">
        <f>IF(I$5&lt;c_years,Market!I$13,I163*(I164+rec_price)+Market!I$13)</f>
        <v/>
      </c>
      <c r="J166" s="25">
        <f>IF(J$5&lt;c_years,Market!J$13,J163*(J164+rec_price)+Market!J$13)</f>
        <v/>
      </c>
      <c r="K166" s="25">
        <f>IF(K$5&lt;c_years,Market!K$13,K163*(K164+rec_price)+Market!K$13)</f>
        <v/>
      </c>
      <c r="L166" s="25">
        <f>IF(L$5&lt;c_years,Market!L$13,L163*(L164+rec_price)+Market!L$13)</f>
        <v/>
      </c>
      <c r="M166" s="25">
        <f>IF(M$5&lt;c_years,Market!M$13,M163*(M164+rec_price)+Market!M$13)</f>
        <v/>
      </c>
      <c r="N166" s="25">
        <f>IF(N$5&lt;c_years,Market!N$13,N163*(N164+rec_price)+Market!N$13)</f>
        <v/>
      </c>
      <c r="O166" s="25">
        <f>IF(O$5&lt;c_years,Market!O$13,O163*(O164+rec_price)+Market!O$13)</f>
        <v/>
      </c>
      <c r="P166" s="25">
        <f>IF(P$5&lt;c_years,Market!P$13,P163*(P164+rec_price)+Market!P$13)</f>
        <v/>
      </c>
      <c r="Q166" s="25">
        <f>IF(Q$5&lt;c_years,Market!Q$13,Q163*(Q164+rec_price)+Market!Q$13)</f>
        <v/>
      </c>
      <c r="R166" s="25">
        <f>IF(R$5&lt;c_years,Market!R$13,R163*(R164+rec_price)+Market!R$13)</f>
        <v/>
      </c>
      <c r="S166" s="25">
        <f>IF(S$5&lt;c_years,Market!S$13,S163*(S164+rec_price)+Market!S$13)</f>
        <v/>
      </c>
      <c r="T166" s="25">
        <f>IF(T$5&lt;c_years,Market!T$13,T163*(T164+rec_price)+Market!T$13)</f>
        <v/>
      </c>
      <c r="U166" s="25">
        <f>IF(U$5&lt;c_years,Market!U$13,U163*(U164+rec_price)+Market!U$13)</f>
        <v/>
      </c>
      <c r="V166" s="25">
        <f>IF(V$5&lt;c_years,Market!V$13,V163*(V164+rec_price)+Market!V$13)</f>
        <v/>
      </c>
      <c r="W166" s="25">
        <f>IF(W$5&lt;c_years,Market!W$13,W163*(W164+rec_price)+Market!W$13)</f>
        <v/>
      </c>
      <c r="X166" s="25">
        <f>IF(X$5&lt;c_years,Market!X$13,X163*(X164+rec_price)+Market!X$13)</f>
        <v/>
      </c>
      <c r="Y166" s="25">
        <f>IF(Y$5&lt;c_years,Market!Y$13,Y163*(Y164+rec_price)+Market!Y$13)</f>
        <v/>
      </c>
      <c r="Z166" s="25">
        <f>IF(Z$5&lt;c_years,Market!Z$13,Z163*(Z164+rec_price)+Market!Z$13)</f>
        <v/>
      </c>
      <c r="AA166" s="25">
        <f>IF(AA$5&lt;c_years,Market!AA$13,AA163*(AA164+rec_price)+Market!AA$13)</f>
        <v/>
      </c>
      <c r="AB166" s="25">
        <f>IF(AB$5&lt;c_years,Market!AB$13,AB163*(AB164+rec_price)+Market!AB$13)</f>
        <v/>
      </c>
      <c r="AC166" s="25">
        <f>IF(AC$5&lt;c_years,Market!AC$13,AC163*(AC164+rec_price)+Market!AC$13)</f>
        <v/>
      </c>
      <c r="AD166" s="25">
        <f>IF(AD$5&lt;c_years,Market!AD$13,AD163*(AD164+rec_price)+Market!AD$13)</f>
        <v/>
      </c>
      <c r="AE166" s="25">
        <f>IF(AE$5&lt;c_years,Market!AE$13,AE163*(AE164+rec_price)+Market!AE$13)</f>
        <v/>
      </c>
      <c r="AF166" s="25">
        <f>IF(AF$5&lt;c_years,Market!AF$13,AF163*(AF164+rec_price)+Market!AF$13)</f>
        <v/>
      </c>
      <c r="AG166" s="25">
        <f>IF(AG$5&lt;c_years,Market!AG$13,AG163*(AG164+rec_price)+Market!AG$13)</f>
        <v/>
      </c>
      <c r="AH166" s="25">
        <f>IF(AH$5&lt;c_years,Market!AH$13,AH163*(AH164+rec_price)+Market!AH$13)</f>
        <v/>
      </c>
      <c r="AI166" s="25">
        <f>IF(AI$5&lt;c_years,Market!AI$13,AI163*(AI164+rec_price)+Market!AI$13)</f>
        <v/>
      </c>
      <c r="AJ166" s="25">
        <f>IF(AJ$5&lt;c_years,Market!AJ$13,AJ163*(AJ164+rec_price)+Market!AJ$13)</f>
        <v/>
      </c>
      <c r="AK166" s="25">
        <f>IF(AK$5&lt;c_years,Market!AK$13,AK163*(AK164+rec_price)+Market!AK$13)</f>
        <v/>
      </c>
      <c r="AL166" s="25">
        <f>IF(AL$5&lt;c_years,Market!AL$13,AL163*(AL164+rec_price)+Market!AL$13)</f>
        <v/>
      </c>
    </row>
    <row r="167">
      <c r="B167" s="7" t="inlineStr">
        <is>
          <t>Basis cost kept by the project ($)</t>
        </is>
      </c>
      <c r="D167" s="25">
        <f>IF(D$5&lt;c_years,-D163*Market!D$10,0)</f>
        <v/>
      </c>
      <c r="E167" s="25">
        <f>IF(E$5&lt;c_years,-E163*Market!E$10,0)</f>
        <v/>
      </c>
      <c r="F167" s="25">
        <f>IF(F$5&lt;c_years,-F163*Market!F$10,0)</f>
        <v/>
      </c>
      <c r="G167" s="25">
        <f>IF(G$5&lt;c_years,-G163*Market!G$10,0)</f>
        <v/>
      </c>
      <c r="H167" s="25">
        <f>IF(H$5&lt;c_years,-H163*Market!H$10,0)</f>
        <v/>
      </c>
      <c r="I167" s="25">
        <f>IF(I$5&lt;c_years,-I163*Market!I$10,0)</f>
        <v/>
      </c>
      <c r="J167" s="25">
        <f>IF(J$5&lt;c_years,-J163*Market!J$10,0)</f>
        <v/>
      </c>
      <c r="K167" s="25">
        <f>IF(K$5&lt;c_years,-K163*Market!K$10,0)</f>
        <v/>
      </c>
      <c r="L167" s="25">
        <f>IF(L$5&lt;c_years,-L163*Market!L$10,0)</f>
        <v/>
      </c>
      <c r="M167" s="25">
        <f>IF(M$5&lt;c_years,-M163*Market!M$10,0)</f>
        <v/>
      </c>
      <c r="N167" s="25">
        <f>IF(N$5&lt;c_years,-N163*Market!N$10,0)</f>
        <v/>
      </c>
      <c r="O167" s="25">
        <f>IF(O$5&lt;c_years,-O163*Market!O$10,0)</f>
        <v/>
      </c>
      <c r="P167" s="25">
        <f>IF(P$5&lt;c_years,-P163*Market!P$10,0)</f>
        <v/>
      </c>
      <c r="Q167" s="25">
        <f>IF(Q$5&lt;c_years,-Q163*Market!Q$10,0)</f>
        <v/>
      </c>
      <c r="R167" s="25">
        <f>IF(R$5&lt;c_years,-R163*Market!R$10,0)</f>
        <v/>
      </c>
      <c r="S167" s="25">
        <f>IF(S$5&lt;c_years,-S163*Market!S$10,0)</f>
        <v/>
      </c>
      <c r="T167" s="25">
        <f>IF(T$5&lt;c_years,-T163*Market!T$10,0)</f>
        <v/>
      </c>
      <c r="U167" s="25">
        <f>IF(U$5&lt;c_years,-U163*Market!U$10,0)</f>
        <v/>
      </c>
      <c r="V167" s="25">
        <f>IF(V$5&lt;c_years,-V163*Market!V$10,0)</f>
        <v/>
      </c>
      <c r="W167" s="25">
        <f>IF(W$5&lt;c_years,-W163*Market!W$10,0)</f>
        <v/>
      </c>
      <c r="X167" s="25">
        <f>IF(X$5&lt;c_years,-X163*Market!X$10,0)</f>
        <v/>
      </c>
      <c r="Y167" s="25">
        <f>IF(Y$5&lt;c_years,-Y163*Market!Y$10,0)</f>
        <v/>
      </c>
      <c r="Z167" s="25">
        <f>IF(Z$5&lt;c_years,-Z163*Market!Z$10,0)</f>
        <v/>
      </c>
      <c r="AA167" s="25">
        <f>IF(AA$5&lt;c_years,-AA163*Market!AA$10,0)</f>
        <v/>
      </c>
      <c r="AB167" s="25">
        <f>IF(AB$5&lt;c_years,-AB163*Market!AB$10,0)</f>
        <v/>
      </c>
      <c r="AC167" s="25">
        <f>IF(AC$5&lt;c_years,-AC163*Market!AC$10,0)</f>
        <v/>
      </c>
      <c r="AD167" s="25">
        <f>IF(AD$5&lt;c_years,-AD163*Market!AD$10,0)</f>
        <v/>
      </c>
      <c r="AE167" s="25">
        <f>IF(AE$5&lt;c_years,-AE163*Market!AE$10,0)</f>
        <v/>
      </c>
      <c r="AF167" s="25">
        <f>IF(AF$5&lt;c_years,-AF163*Market!AF$10,0)</f>
        <v/>
      </c>
      <c r="AG167" s="25">
        <f>IF(AG$5&lt;c_years,-AG163*Market!AG$10,0)</f>
        <v/>
      </c>
      <c r="AH167" s="25">
        <f>IF(AH$5&lt;c_years,-AH163*Market!AH$10,0)</f>
        <v/>
      </c>
      <c r="AI167" s="25">
        <f>IF(AI$5&lt;c_years,-AI163*Market!AI$10,0)</f>
        <v/>
      </c>
      <c r="AJ167" s="25">
        <f>IF(AJ$5&lt;c_years,-AJ163*Market!AJ$10,0)</f>
        <v/>
      </c>
      <c r="AK167" s="25">
        <f>IF(AK$5&lt;c_years,-AK163*Market!AK$10,0)</f>
        <v/>
      </c>
      <c r="AL167" s="25">
        <f>IF(AL$5&lt;c_years,-AL163*Market!AL$10,0)</f>
        <v/>
      </c>
    </row>
    <row r="168">
      <c r="B168" s="7" t="inlineStr">
        <is>
          <t>Operating cost ($)</t>
        </is>
      </c>
      <c r="D168" s="25">
        <f>(om_kw*mwac*1000+ins_rate*$C$160+am_cost+prop_tax+misc_cost)*Opex!D$7+rent_acre*acres_lease*Opex!D$8</f>
        <v/>
      </c>
      <c r="E168" s="25">
        <f>(om_kw*mwac*1000+ins_rate*$C$160+am_cost+prop_tax+misc_cost)*Opex!E$7+rent_acre*acres_lease*Opex!E$8</f>
        <v/>
      </c>
      <c r="F168" s="25">
        <f>(om_kw*mwac*1000+ins_rate*$C$160+am_cost+prop_tax+misc_cost)*Opex!F$7+rent_acre*acres_lease*Opex!F$8</f>
        <v/>
      </c>
      <c r="G168" s="25">
        <f>(om_kw*mwac*1000+ins_rate*$C$160+am_cost+prop_tax+misc_cost)*Opex!G$7+rent_acre*acres_lease*Opex!G$8</f>
        <v/>
      </c>
      <c r="H168" s="25">
        <f>(om_kw*mwac*1000+ins_rate*$C$160+am_cost+prop_tax+misc_cost)*Opex!H$7+rent_acre*acres_lease*Opex!H$8</f>
        <v/>
      </c>
      <c r="I168" s="25">
        <f>(om_kw*mwac*1000+ins_rate*$C$160+am_cost+prop_tax+misc_cost)*Opex!I$7+rent_acre*acres_lease*Opex!I$8</f>
        <v/>
      </c>
      <c r="J168" s="25">
        <f>(om_kw*mwac*1000+ins_rate*$C$160+am_cost+prop_tax+misc_cost)*Opex!J$7+rent_acre*acres_lease*Opex!J$8</f>
        <v/>
      </c>
      <c r="K168" s="25">
        <f>(om_kw*mwac*1000+ins_rate*$C$160+am_cost+prop_tax+misc_cost)*Opex!K$7+rent_acre*acres_lease*Opex!K$8</f>
        <v/>
      </c>
      <c r="L168" s="25">
        <f>(om_kw*mwac*1000+ins_rate*$C$160+am_cost+prop_tax+misc_cost)*Opex!L$7+rent_acre*acres_lease*Opex!L$8</f>
        <v/>
      </c>
      <c r="M168" s="25">
        <f>(om_kw*mwac*1000+ins_rate*$C$160+am_cost+prop_tax+misc_cost)*Opex!M$7+rent_acre*acres_lease*Opex!M$8</f>
        <v/>
      </c>
      <c r="N168" s="25">
        <f>(om_kw*mwac*1000+ins_rate*$C$160+am_cost+prop_tax+misc_cost)*Opex!N$7+rent_acre*acres_lease*Opex!N$8</f>
        <v/>
      </c>
      <c r="O168" s="25">
        <f>(om_kw*mwac*1000+ins_rate*$C$160+am_cost+prop_tax+misc_cost)*Opex!O$7+rent_acre*acres_lease*Opex!O$8</f>
        <v/>
      </c>
      <c r="P168" s="25">
        <f>(om_kw*mwac*1000+ins_rate*$C$160+am_cost+prop_tax+misc_cost)*Opex!P$7+rent_acre*acres_lease*Opex!P$8</f>
        <v/>
      </c>
      <c r="Q168" s="25">
        <f>(om_kw*mwac*1000+ins_rate*$C$160+am_cost+prop_tax+misc_cost)*Opex!Q$7+rent_acre*acres_lease*Opex!Q$8</f>
        <v/>
      </c>
      <c r="R168" s="25">
        <f>(om_kw*mwac*1000+ins_rate*$C$160+am_cost+prop_tax+misc_cost)*Opex!R$7+rent_acre*acres_lease*Opex!R$8</f>
        <v/>
      </c>
      <c r="S168" s="25">
        <f>(om_kw*mwac*1000+ins_rate*$C$160+am_cost+prop_tax+misc_cost)*Opex!S$7+rent_acre*acres_lease*Opex!S$8</f>
        <v/>
      </c>
      <c r="T168" s="25">
        <f>(om_kw*mwac*1000+ins_rate*$C$160+am_cost+prop_tax+misc_cost)*Opex!T$7+rent_acre*acres_lease*Opex!T$8</f>
        <v/>
      </c>
      <c r="U168" s="25">
        <f>(om_kw*mwac*1000+ins_rate*$C$160+am_cost+prop_tax+misc_cost)*Opex!U$7+rent_acre*acres_lease*Opex!U$8</f>
        <v/>
      </c>
      <c r="V168" s="25">
        <f>(om_kw*mwac*1000+ins_rate*$C$160+am_cost+prop_tax+misc_cost)*Opex!V$7+rent_acre*acres_lease*Opex!V$8</f>
        <v/>
      </c>
      <c r="W168" s="25">
        <f>(om_kw*mwac*1000+ins_rate*$C$160+am_cost+prop_tax+misc_cost)*Opex!W$7+rent_acre*acres_lease*Opex!W$8</f>
        <v/>
      </c>
      <c r="X168" s="25">
        <f>(om_kw*mwac*1000+ins_rate*$C$160+am_cost+prop_tax+misc_cost)*Opex!X$7+rent_acre*acres_lease*Opex!X$8</f>
        <v/>
      </c>
      <c r="Y168" s="25">
        <f>(om_kw*mwac*1000+ins_rate*$C$160+am_cost+prop_tax+misc_cost)*Opex!Y$7+rent_acre*acres_lease*Opex!Y$8</f>
        <v/>
      </c>
      <c r="Z168" s="25">
        <f>(om_kw*mwac*1000+ins_rate*$C$160+am_cost+prop_tax+misc_cost)*Opex!Z$7+rent_acre*acres_lease*Opex!Z$8</f>
        <v/>
      </c>
      <c r="AA168" s="25">
        <f>(om_kw*mwac*1000+ins_rate*$C$160+am_cost+prop_tax+misc_cost)*Opex!AA$7+rent_acre*acres_lease*Opex!AA$8</f>
        <v/>
      </c>
      <c r="AB168" s="25">
        <f>(om_kw*mwac*1000+ins_rate*$C$160+am_cost+prop_tax+misc_cost)*Opex!AB$7+rent_acre*acres_lease*Opex!AB$8</f>
        <v/>
      </c>
      <c r="AC168" s="25">
        <f>(om_kw*mwac*1000+ins_rate*$C$160+am_cost+prop_tax+misc_cost)*Opex!AC$7+rent_acre*acres_lease*Opex!AC$8</f>
        <v/>
      </c>
      <c r="AD168" s="25">
        <f>(om_kw*mwac*1000+ins_rate*$C$160+am_cost+prop_tax+misc_cost)*Opex!AD$7+rent_acre*acres_lease*Opex!AD$8</f>
        <v/>
      </c>
      <c r="AE168" s="25">
        <f>(om_kw*mwac*1000+ins_rate*$C$160+am_cost+prop_tax+misc_cost)*Opex!AE$7+rent_acre*acres_lease*Opex!AE$8</f>
        <v/>
      </c>
      <c r="AF168" s="25">
        <f>(om_kw*mwac*1000+ins_rate*$C$160+am_cost+prop_tax+misc_cost)*Opex!AF$7+rent_acre*acres_lease*Opex!AF$8</f>
        <v/>
      </c>
      <c r="AG168" s="25">
        <f>(om_kw*mwac*1000+ins_rate*$C$160+am_cost+prop_tax+misc_cost)*Opex!AG$7+rent_acre*acres_lease*Opex!AG$8</f>
        <v/>
      </c>
      <c r="AH168" s="25">
        <f>(om_kw*mwac*1000+ins_rate*$C$160+am_cost+prop_tax+misc_cost)*Opex!AH$7+rent_acre*acres_lease*Opex!AH$8</f>
        <v/>
      </c>
      <c r="AI168" s="25">
        <f>(om_kw*mwac*1000+ins_rate*$C$160+am_cost+prop_tax+misc_cost)*Opex!AI$7+rent_acre*acres_lease*Opex!AI$8</f>
        <v/>
      </c>
      <c r="AJ168" s="25">
        <f>(om_kw*mwac*1000+ins_rate*$C$160+am_cost+prop_tax+misc_cost)*Opex!AJ$7+rent_acre*acres_lease*Opex!AJ$8</f>
        <v/>
      </c>
      <c r="AK168" s="25">
        <f>(om_kw*mwac*1000+ins_rate*$C$160+am_cost+prop_tax+misc_cost)*Opex!AK$7+rent_acre*acres_lease*Opex!AK$8</f>
        <v/>
      </c>
      <c r="AL168" s="25">
        <f>(om_kw*mwac*1000+ins_rate*$C$160+am_cost+prop_tax+misc_cost)*Opex!AL$7+rent_acre*acres_lease*Opex!AL$8</f>
        <v/>
      </c>
    </row>
    <row r="169">
      <c r="B169" s="7" t="inlineStr">
        <is>
          <t>Credit cash ($)</t>
        </is>
      </c>
      <c r="D169" s="25">
        <f>IF(sw_credit="PTC",IF(D$5&lt;ptc_years,D163*Credits!D$8*(1+sw_bonus)*transfer_ptc,0),0)+IF(D$5=0,$C$162,0)</f>
        <v/>
      </c>
      <c r="E169" s="25">
        <f>IF(sw_credit="PTC",IF(E$5&lt;ptc_years,E163*Credits!E$8*(1+sw_bonus)*transfer_ptc,0),0)+IF(E$5=0,$C$162,0)</f>
        <v/>
      </c>
      <c r="F169" s="25">
        <f>IF(sw_credit="PTC",IF(F$5&lt;ptc_years,F163*Credits!F$8*(1+sw_bonus)*transfer_ptc,0),0)+IF(F$5=0,$C$162,0)</f>
        <v/>
      </c>
      <c r="G169" s="25">
        <f>IF(sw_credit="PTC",IF(G$5&lt;ptc_years,G163*Credits!G$8*(1+sw_bonus)*transfer_ptc,0),0)+IF(G$5=0,$C$162,0)</f>
        <v/>
      </c>
      <c r="H169" s="25">
        <f>IF(sw_credit="PTC",IF(H$5&lt;ptc_years,H163*Credits!H$8*(1+sw_bonus)*transfer_ptc,0),0)+IF(H$5=0,$C$162,0)</f>
        <v/>
      </c>
      <c r="I169" s="25">
        <f>IF(sw_credit="PTC",IF(I$5&lt;ptc_years,I163*Credits!I$8*(1+sw_bonus)*transfer_ptc,0),0)+IF(I$5=0,$C$162,0)</f>
        <v/>
      </c>
      <c r="J169" s="25">
        <f>IF(sw_credit="PTC",IF(J$5&lt;ptc_years,J163*Credits!J$8*(1+sw_bonus)*transfer_ptc,0),0)+IF(J$5=0,$C$162,0)</f>
        <v/>
      </c>
      <c r="K169" s="25">
        <f>IF(sw_credit="PTC",IF(K$5&lt;ptc_years,K163*Credits!K$8*(1+sw_bonus)*transfer_ptc,0),0)+IF(K$5=0,$C$162,0)</f>
        <v/>
      </c>
      <c r="L169" s="25">
        <f>IF(sw_credit="PTC",IF(L$5&lt;ptc_years,L163*Credits!L$8*(1+sw_bonus)*transfer_ptc,0),0)+IF(L$5=0,$C$162,0)</f>
        <v/>
      </c>
      <c r="M169" s="25">
        <f>IF(sw_credit="PTC",IF(M$5&lt;ptc_years,M163*Credits!M$8*(1+sw_bonus)*transfer_ptc,0),0)+IF(M$5=0,$C$162,0)</f>
        <v/>
      </c>
      <c r="N169" s="25">
        <f>IF(sw_credit="PTC",IF(N$5&lt;ptc_years,N163*Credits!N$8*(1+sw_bonus)*transfer_ptc,0),0)+IF(N$5=0,$C$162,0)</f>
        <v/>
      </c>
      <c r="O169" s="25">
        <f>IF(sw_credit="PTC",IF(O$5&lt;ptc_years,O163*Credits!O$8*(1+sw_bonus)*transfer_ptc,0),0)+IF(O$5=0,$C$162,0)</f>
        <v/>
      </c>
      <c r="P169" s="25">
        <f>IF(sw_credit="PTC",IF(P$5&lt;ptc_years,P163*Credits!P$8*(1+sw_bonus)*transfer_ptc,0),0)+IF(P$5=0,$C$162,0)</f>
        <v/>
      </c>
      <c r="Q169" s="25">
        <f>IF(sw_credit="PTC",IF(Q$5&lt;ptc_years,Q163*Credits!Q$8*(1+sw_bonus)*transfer_ptc,0),0)+IF(Q$5=0,$C$162,0)</f>
        <v/>
      </c>
      <c r="R169" s="25">
        <f>IF(sw_credit="PTC",IF(R$5&lt;ptc_years,R163*Credits!R$8*(1+sw_bonus)*transfer_ptc,0),0)+IF(R$5=0,$C$162,0)</f>
        <v/>
      </c>
      <c r="S169" s="25">
        <f>IF(sw_credit="PTC",IF(S$5&lt;ptc_years,S163*Credits!S$8*(1+sw_bonus)*transfer_ptc,0),0)+IF(S$5=0,$C$162,0)</f>
        <v/>
      </c>
      <c r="T169" s="25">
        <f>IF(sw_credit="PTC",IF(T$5&lt;ptc_years,T163*Credits!T$8*(1+sw_bonus)*transfer_ptc,0),0)+IF(T$5=0,$C$162,0)</f>
        <v/>
      </c>
      <c r="U169" s="25">
        <f>IF(sw_credit="PTC",IF(U$5&lt;ptc_years,U163*Credits!U$8*(1+sw_bonus)*transfer_ptc,0),0)+IF(U$5=0,$C$162,0)</f>
        <v/>
      </c>
      <c r="V169" s="25">
        <f>IF(sw_credit="PTC",IF(V$5&lt;ptc_years,V163*Credits!V$8*(1+sw_bonus)*transfer_ptc,0),0)+IF(V$5=0,$C$162,0)</f>
        <v/>
      </c>
      <c r="W169" s="25">
        <f>IF(sw_credit="PTC",IF(W$5&lt;ptc_years,W163*Credits!W$8*(1+sw_bonus)*transfer_ptc,0),0)+IF(W$5=0,$C$162,0)</f>
        <v/>
      </c>
      <c r="X169" s="25">
        <f>IF(sw_credit="PTC",IF(X$5&lt;ptc_years,X163*Credits!X$8*(1+sw_bonus)*transfer_ptc,0),0)+IF(X$5=0,$C$162,0)</f>
        <v/>
      </c>
      <c r="Y169" s="25">
        <f>IF(sw_credit="PTC",IF(Y$5&lt;ptc_years,Y163*Credits!Y$8*(1+sw_bonus)*transfer_ptc,0),0)+IF(Y$5=0,$C$162,0)</f>
        <v/>
      </c>
      <c r="Z169" s="25">
        <f>IF(sw_credit="PTC",IF(Z$5&lt;ptc_years,Z163*Credits!Z$8*(1+sw_bonus)*transfer_ptc,0),0)+IF(Z$5=0,$C$162,0)</f>
        <v/>
      </c>
      <c r="AA169" s="25">
        <f>IF(sw_credit="PTC",IF(AA$5&lt;ptc_years,AA163*Credits!AA$8*(1+sw_bonus)*transfer_ptc,0),0)+IF(AA$5=0,$C$162,0)</f>
        <v/>
      </c>
      <c r="AB169" s="25">
        <f>IF(sw_credit="PTC",IF(AB$5&lt;ptc_years,AB163*Credits!AB$8*(1+sw_bonus)*transfer_ptc,0),0)+IF(AB$5=0,$C$162,0)</f>
        <v/>
      </c>
      <c r="AC169" s="25">
        <f>IF(sw_credit="PTC",IF(AC$5&lt;ptc_years,AC163*Credits!AC$8*(1+sw_bonus)*transfer_ptc,0),0)+IF(AC$5=0,$C$162,0)</f>
        <v/>
      </c>
      <c r="AD169" s="25">
        <f>IF(sw_credit="PTC",IF(AD$5&lt;ptc_years,AD163*Credits!AD$8*(1+sw_bonus)*transfer_ptc,0),0)+IF(AD$5=0,$C$162,0)</f>
        <v/>
      </c>
      <c r="AE169" s="25">
        <f>IF(sw_credit="PTC",IF(AE$5&lt;ptc_years,AE163*Credits!AE$8*(1+sw_bonus)*transfer_ptc,0),0)+IF(AE$5=0,$C$162,0)</f>
        <v/>
      </c>
      <c r="AF169" s="25">
        <f>IF(sw_credit="PTC",IF(AF$5&lt;ptc_years,AF163*Credits!AF$8*(1+sw_bonus)*transfer_ptc,0),0)+IF(AF$5=0,$C$162,0)</f>
        <v/>
      </c>
      <c r="AG169" s="25">
        <f>IF(sw_credit="PTC",IF(AG$5&lt;ptc_years,AG163*Credits!AG$8*(1+sw_bonus)*transfer_ptc,0),0)+IF(AG$5=0,$C$162,0)</f>
        <v/>
      </c>
      <c r="AH169" s="25">
        <f>IF(sw_credit="PTC",IF(AH$5&lt;ptc_years,AH163*Credits!AH$8*(1+sw_bonus)*transfer_ptc,0),0)+IF(AH$5=0,$C$162,0)</f>
        <v/>
      </c>
      <c r="AI169" s="25">
        <f>IF(sw_credit="PTC",IF(AI$5&lt;ptc_years,AI163*Credits!AI$8*(1+sw_bonus)*transfer_ptc,0),0)+IF(AI$5=0,$C$162,0)</f>
        <v/>
      </c>
      <c r="AJ169" s="25">
        <f>IF(sw_credit="PTC",IF(AJ$5&lt;ptc_years,AJ163*Credits!AJ$8*(1+sw_bonus)*transfer_ptc,0),0)+IF(AJ$5=0,$C$162,0)</f>
        <v/>
      </c>
      <c r="AK169" s="25">
        <f>IF(sw_credit="PTC",IF(AK$5&lt;ptc_years,AK163*Credits!AK$8*(1+sw_bonus)*transfer_ptc,0),0)+IF(AK$5=0,$C$162,0)</f>
        <v/>
      </c>
      <c r="AL169" s="25">
        <f>IF(sw_credit="PTC",IF(AL$5&lt;ptc_years,AL163*Credits!AL$8*(1+sw_bonus)*transfer_ptc,0),0)+IF(AL$5=0,$C$162,0)</f>
        <v/>
      </c>
    </row>
    <row r="170">
      <c r="B170" s="14" t="inlineStr">
        <is>
          <t>EBITDA ($)</t>
        </is>
      </c>
      <c r="D170" s="26">
        <f>D165+D166-D167-D168</f>
        <v/>
      </c>
      <c r="E170" s="26">
        <f>E165+E166-E167-E168</f>
        <v/>
      </c>
      <c r="F170" s="26">
        <f>F165+F166-F167-F168</f>
        <v/>
      </c>
      <c r="G170" s="26">
        <f>G165+G166-G167-G168</f>
        <v/>
      </c>
      <c r="H170" s="26">
        <f>H165+H166-H167-H168</f>
        <v/>
      </c>
      <c r="I170" s="26">
        <f>I165+I166-I167-I168</f>
        <v/>
      </c>
      <c r="J170" s="26">
        <f>J165+J166-J167-J168</f>
        <v/>
      </c>
      <c r="K170" s="26">
        <f>K165+K166-K167-K168</f>
        <v/>
      </c>
      <c r="L170" s="26">
        <f>L165+L166-L167-L168</f>
        <v/>
      </c>
      <c r="M170" s="26">
        <f>M165+M166-M167-M168</f>
        <v/>
      </c>
      <c r="N170" s="26">
        <f>N165+N166-N167-N168</f>
        <v/>
      </c>
      <c r="O170" s="26">
        <f>O165+O166-O167-O168</f>
        <v/>
      </c>
      <c r="P170" s="26">
        <f>P165+P166-P167-P168</f>
        <v/>
      </c>
      <c r="Q170" s="26">
        <f>Q165+Q166-Q167-Q168</f>
        <v/>
      </c>
      <c r="R170" s="26">
        <f>R165+R166-R167-R168</f>
        <v/>
      </c>
      <c r="S170" s="26">
        <f>S165+S166-S167-S168</f>
        <v/>
      </c>
      <c r="T170" s="26">
        <f>T165+T166-T167-T168</f>
        <v/>
      </c>
      <c r="U170" s="26">
        <f>U165+U166-U167-U168</f>
        <v/>
      </c>
      <c r="V170" s="26">
        <f>V165+V166-V167-V168</f>
        <v/>
      </c>
      <c r="W170" s="26">
        <f>W165+W166-W167-W168</f>
        <v/>
      </c>
      <c r="X170" s="26">
        <f>X165+X166-X167-X168</f>
        <v/>
      </c>
      <c r="Y170" s="26">
        <f>Y165+Y166-Y167-Y168</f>
        <v/>
      </c>
      <c r="Z170" s="26">
        <f>Z165+Z166-Z167-Z168</f>
        <v/>
      </c>
      <c r="AA170" s="26">
        <f>AA165+AA166-AA167-AA168</f>
        <v/>
      </c>
      <c r="AB170" s="26">
        <f>AB165+AB166-AB167-AB168</f>
        <v/>
      </c>
      <c r="AC170" s="26">
        <f>AC165+AC166-AC167-AC168</f>
        <v/>
      </c>
      <c r="AD170" s="26">
        <f>AD165+AD166-AD167-AD168</f>
        <v/>
      </c>
      <c r="AE170" s="26">
        <f>AE165+AE166-AE167-AE168</f>
        <v/>
      </c>
      <c r="AF170" s="26">
        <f>AF165+AF166-AF167-AF168</f>
        <v/>
      </c>
      <c r="AG170" s="26">
        <f>AG165+AG166-AG167-AG168</f>
        <v/>
      </c>
      <c r="AH170" s="26">
        <f>AH165+AH166-AH167-AH168</f>
        <v/>
      </c>
      <c r="AI170" s="26">
        <f>AI165+AI166-AI167-AI168</f>
        <v/>
      </c>
      <c r="AJ170" s="26">
        <f>AJ165+AJ166-AJ167-AJ168</f>
        <v/>
      </c>
      <c r="AK170" s="26">
        <f>AK165+AK166-AK167-AK168</f>
        <v/>
      </c>
      <c r="AL170" s="26">
        <f>AL165+AL166-AL167-AL168</f>
        <v/>
      </c>
    </row>
    <row r="171">
      <c r="B171" s="7" t="inlineStr">
        <is>
          <t>Discount factor to 1 January 2027, contracted rate</t>
        </is>
      </c>
      <c r="D171" s="22">
        <f>1/(1+x_rc)^(D$5+2)</f>
        <v/>
      </c>
      <c r="E171" s="22">
        <f>1/(1+x_rc)^(E$5+2)</f>
        <v/>
      </c>
      <c r="F171" s="22">
        <f>1/(1+x_rc)^(F$5+2)</f>
        <v/>
      </c>
      <c r="G171" s="22">
        <f>1/(1+x_rc)^(G$5+2)</f>
        <v/>
      </c>
      <c r="H171" s="22">
        <f>1/(1+x_rc)^(H$5+2)</f>
        <v/>
      </c>
      <c r="I171" s="22">
        <f>1/(1+x_rc)^(I$5+2)</f>
        <v/>
      </c>
      <c r="J171" s="22">
        <f>1/(1+x_rc)^(J$5+2)</f>
        <v/>
      </c>
      <c r="K171" s="22">
        <f>1/(1+x_rc)^(K$5+2)</f>
        <v/>
      </c>
      <c r="L171" s="22">
        <f>1/(1+x_rc)^(L$5+2)</f>
        <v/>
      </c>
      <c r="M171" s="22">
        <f>1/(1+x_rc)^(M$5+2)</f>
        <v/>
      </c>
      <c r="N171" s="22">
        <f>1/(1+x_rc)^(N$5+2)</f>
        <v/>
      </c>
      <c r="O171" s="22">
        <f>1/(1+x_rc)^(O$5+2)</f>
        <v/>
      </c>
      <c r="P171" s="22">
        <f>1/(1+x_rc)^(P$5+2)</f>
        <v/>
      </c>
      <c r="Q171" s="22">
        <f>1/(1+x_rc)^(Q$5+2)</f>
        <v/>
      </c>
      <c r="R171" s="22">
        <f>1/(1+x_rc)^(R$5+2)</f>
        <v/>
      </c>
      <c r="S171" s="22">
        <f>1/(1+x_rc)^(S$5+2)</f>
        <v/>
      </c>
      <c r="T171" s="22">
        <f>1/(1+x_rc)^(T$5+2)</f>
        <v/>
      </c>
      <c r="U171" s="22">
        <f>1/(1+x_rc)^(U$5+2)</f>
        <v/>
      </c>
      <c r="V171" s="22">
        <f>1/(1+x_rc)^(V$5+2)</f>
        <v/>
      </c>
      <c r="W171" s="22">
        <f>1/(1+x_rc)^(W$5+2)</f>
        <v/>
      </c>
      <c r="X171" s="22">
        <f>1/(1+x_rc)^(X$5+2)</f>
        <v/>
      </c>
      <c r="Y171" s="22">
        <f>1/(1+x_rc)^(Y$5+2)</f>
        <v/>
      </c>
      <c r="Z171" s="22">
        <f>1/(1+x_rc)^(Z$5+2)</f>
        <v/>
      </c>
      <c r="AA171" s="22">
        <f>1/(1+x_rc)^(AA$5+2)</f>
        <v/>
      </c>
      <c r="AB171" s="22">
        <f>1/(1+x_rc)^(AB$5+2)</f>
        <v/>
      </c>
      <c r="AC171" s="22">
        <f>1/(1+x_rc)^(AC$5+2)</f>
        <v/>
      </c>
      <c r="AD171" s="22">
        <f>1/(1+x_rc)^(AD$5+2)</f>
        <v/>
      </c>
      <c r="AE171" s="22">
        <f>1/(1+x_rc)^(AE$5+2)</f>
        <v/>
      </c>
      <c r="AF171" s="22">
        <f>1/(1+x_rc)^(AF$5+2)</f>
        <v/>
      </c>
      <c r="AG171" s="22">
        <f>1/(1+x_rc)^(AG$5+2)</f>
        <v/>
      </c>
      <c r="AH171" s="22">
        <f>1/(1+x_rc)^(AH$5+2)</f>
        <v/>
      </c>
      <c r="AI171" s="22">
        <f>1/(1+x_rc)^(AI$5+2)</f>
        <v/>
      </c>
      <c r="AJ171" s="22">
        <f>1/(1+x_rc)^(AJ$5+2)</f>
        <v/>
      </c>
      <c r="AK171" s="22">
        <f>1/(1+x_rc)^(AK$5+2)</f>
        <v/>
      </c>
      <c r="AL171" s="22">
        <f>1/(1+x_rc)^(AL$5+2)</f>
        <v/>
      </c>
    </row>
    <row r="172">
      <c r="B172" s="7" t="inlineStr">
        <is>
          <t>Discount factor to 1 January 2027, merchant rate</t>
        </is>
      </c>
      <c r="D172" s="22">
        <f>1/(1+x_rm)^(D$5+2)</f>
        <v/>
      </c>
      <c r="E172" s="22">
        <f>1/(1+x_rm)^(E$5+2)</f>
        <v/>
      </c>
      <c r="F172" s="22">
        <f>1/(1+x_rm)^(F$5+2)</f>
        <v/>
      </c>
      <c r="G172" s="22">
        <f>1/(1+x_rm)^(G$5+2)</f>
        <v/>
      </c>
      <c r="H172" s="22">
        <f>1/(1+x_rm)^(H$5+2)</f>
        <v/>
      </c>
      <c r="I172" s="22">
        <f>1/(1+x_rm)^(I$5+2)</f>
        <v/>
      </c>
      <c r="J172" s="22">
        <f>1/(1+x_rm)^(J$5+2)</f>
        <v/>
      </c>
      <c r="K172" s="22">
        <f>1/(1+x_rm)^(K$5+2)</f>
        <v/>
      </c>
      <c r="L172" s="22">
        <f>1/(1+x_rm)^(L$5+2)</f>
        <v/>
      </c>
      <c r="M172" s="22">
        <f>1/(1+x_rm)^(M$5+2)</f>
        <v/>
      </c>
      <c r="N172" s="22">
        <f>1/(1+x_rm)^(N$5+2)</f>
        <v/>
      </c>
      <c r="O172" s="22">
        <f>1/(1+x_rm)^(O$5+2)</f>
        <v/>
      </c>
      <c r="P172" s="22">
        <f>1/(1+x_rm)^(P$5+2)</f>
        <v/>
      </c>
      <c r="Q172" s="22">
        <f>1/(1+x_rm)^(Q$5+2)</f>
        <v/>
      </c>
      <c r="R172" s="22">
        <f>1/(1+x_rm)^(R$5+2)</f>
        <v/>
      </c>
      <c r="S172" s="22">
        <f>1/(1+x_rm)^(S$5+2)</f>
        <v/>
      </c>
      <c r="T172" s="22">
        <f>1/(1+x_rm)^(T$5+2)</f>
        <v/>
      </c>
      <c r="U172" s="22">
        <f>1/(1+x_rm)^(U$5+2)</f>
        <v/>
      </c>
      <c r="V172" s="22">
        <f>1/(1+x_rm)^(V$5+2)</f>
        <v/>
      </c>
      <c r="W172" s="22">
        <f>1/(1+x_rm)^(W$5+2)</f>
        <v/>
      </c>
      <c r="X172" s="22">
        <f>1/(1+x_rm)^(X$5+2)</f>
        <v/>
      </c>
      <c r="Y172" s="22">
        <f>1/(1+x_rm)^(Y$5+2)</f>
        <v/>
      </c>
      <c r="Z172" s="22">
        <f>1/(1+x_rm)^(Z$5+2)</f>
        <v/>
      </c>
      <c r="AA172" s="22">
        <f>1/(1+x_rm)^(AA$5+2)</f>
        <v/>
      </c>
      <c r="AB172" s="22">
        <f>1/(1+x_rm)^(AB$5+2)</f>
        <v/>
      </c>
      <c r="AC172" s="22">
        <f>1/(1+x_rm)^(AC$5+2)</f>
        <v/>
      </c>
      <c r="AD172" s="22">
        <f>1/(1+x_rm)^(AD$5+2)</f>
        <v/>
      </c>
      <c r="AE172" s="22">
        <f>1/(1+x_rm)^(AE$5+2)</f>
        <v/>
      </c>
      <c r="AF172" s="22">
        <f>1/(1+x_rm)^(AF$5+2)</f>
        <v/>
      </c>
      <c r="AG172" s="22">
        <f>1/(1+x_rm)^(AG$5+2)</f>
        <v/>
      </c>
      <c r="AH172" s="22">
        <f>1/(1+x_rm)^(AH$5+2)</f>
        <v/>
      </c>
      <c r="AI172" s="22">
        <f>1/(1+x_rm)^(AI$5+2)</f>
        <v/>
      </c>
      <c r="AJ172" s="22">
        <f>1/(1+x_rm)^(AJ$5+2)</f>
        <v/>
      </c>
      <c r="AK172" s="22">
        <f>1/(1+x_rm)^(AK$5+2)</f>
        <v/>
      </c>
      <c r="AL172" s="22">
        <f>1/(1+x_rm)^(AL$5+2)</f>
        <v/>
      </c>
    </row>
    <row r="173">
      <c r="B173" s="7" t="inlineStr">
        <is>
          <t>Value on 1 January 2027 of the flows from 2028 (split rates) ($)</t>
        </is>
      </c>
      <c r="C173" s="25">
        <f>SUMPRODUCT($D$165:$AL$165,$D$171:$AL$171)+SUMPRODUCT($D$169:$AL$169,$D$171:$AL$171)-SUMPRODUCT($D$167:$AL$167,$D$171:$AL$171)-SUMPRODUCT($D$168:$AL$168,$D$171:$AL$171)+SUMPRODUCT($D$166:$AL$166,$D$172:$AL$172)-decom_end/(1+x_rc)^(life_years+1)</f>
        <v/>
      </c>
    </row>
    <row r="174">
      <c r="B174" s="14" t="inlineStr">
        <is>
          <t>Development value on 1 January 2027: value less the capital cost ($)</t>
        </is>
      </c>
      <c r="C174" s="26">
        <f>C173-C160/(1+x_rc)</f>
        <v/>
      </c>
    </row>
    <row r="175">
      <c r="B175" s="7" t="inlineStr">
        <is>
          <t>Highest premium Ashgrove can pay at NTP ($)</t>
        </is>
      </c>
      <c r="C175" s="25">
        <f>C174-reimb+reimb/(1+x_rc)</f>
        <v/>
      </c>
    </row>
    <row r="178">
      <c r="B178" s="6" t="inlineStr">
        <is>
          <t>Hub price change (merchant revenue), case U</t>
        </is>
      </c>
    </row>
    <row r="179">
      <c r="B179" s="7" t="inlineStr">
        <is>
          <t>Capital cost ($)</t>
        </is>
      </c>
      <c r="C179" s="25">
        <f>((x_module+x_tracker+x_bos)*mwdc*1000000+x_inverter*mwac*1000000+x_sub)*(1+contingency)+x_ic+owner</f>
        <v/>
      </c>
    </row>
    <row r="180">
      <c r="B180" s="7" t="inlineStr">
        <is>
          <t>ITC eligible basis ($)</t>
        </is>
      </c>
      <c r="C180" s="25">
        <f>((x_module+x_tracker+x_bos)*mwdc*1000000+x_inverter*mwac*1000000+x_sub)*(1+contingency)-gentie_share*x_sub</f>
        <v/>
      </c>
    </row>
    <row r="181">
      <c r="B181" s="7" t="inlineStr">
        <is>
          <t>ITC cash at the end of 2028, if elected ($)</t>
        </is>
      </c>
      <c r="C181" s="25">
        <f>IF(sw_credit="ITC",C180*(itc_rate+sw_bonus)*transfer_itc,0)</f>
        <v/>
      </c>
    </row>
    <row r="182">
      <c r="B182" s="7" t="inlineStr">
        <is>
          <t>Energy (MWh)</t>
        </is>
      </c>
      <c r="D182" s="23">
        <f>mwac*hours*cf_p50*Energy!D$7*x_scale</f>
        <v/>
      </c>
      <c r="E182" s="23">
        <f>mwac*hours*cf_p50*Energy!E$7*x_scale</f>
        <v/>
      </c>
      <c r="F182" s="23">
        <f>mwac*hours*cf_p50*Energy!F$7*x_scale</f>
        <v/>
      </c>
      <c r="G182" s="23">
        <f>mwac*hours*cf_p50*Energy!G$7*x_scale</f>
        <v/>
      </c>
      <c r="H182" s="23">
        <f>mwac*hours*cf_p50*Energy!H$7*x_scale</f>
        <v/>
      </c>
      <c r="I182" s="23">
        <f>mwac*hours*cf_p50*Energy!I$7*x_scale</f>
        <v/>
      </c>
      <c r="J182" s="23">
        <f>mwac*hours*cf_p50*Energy!J$7*x_scale</f>
        <v/>
      </c>
      <c r="K182" s="23">
        <f>mwac*hours*cf_p50*Energy!K$7*x_scale</f>
        <v/>
      </c>
      <c r="L182" s="23">
        <f>mwac*hours*cf_p50*Energy!L$7*x_scale</f>
        <v/>
      </c>
      <c r="M182" s="23">
        <f>mwac*hours*cf_p50*Energy!M$7*x_scale</f>
        <v/>
      </c>
      <c r="N182" s="23">
        <f>mwac*hours*cf_p50*Energy!N$7*x_scale</f>
        <v/>
      </c>
      <c r="O182" s="23">
        <f>mwac*hours*cf_p50*Energy!O$7*x_scale</f>
        <v/>
      </c>
      <c r="P182" s="23">
        <f>mwac*hours*cf_p50*Energy!P$7*x_scale</f>
        <v/>
      </c>
      <c r="Q182" s="23">
        <f>mwac*hours*cf_p50*Energy!Q$7*x_scale</f>
        <v/>
      </c>
      <c r="R182" s="23">
        <f>mwac*hours*cf_p50*Energy!R$7*x_scale</f>
        <v/>
      </c>
      <c r="S182" s="23">
        <f>mwac*hours*cf_p50*Energy!S$7*x_scale</f>
        <v/>
      </c>
      <c r="T182" s="23">
        <f>mwac*hours*cf_p50*Energy!T$7*x_scale</f>
        <v/>
      </c>
      <c r="U182" s="23">
        <f>mwac*hours*cf_p50*Energy!U$7*x_scale</f>
        <v/>
      </c>
      <c r="V182" s="23">
        <f>mwac*hours*cf_p50*Energy!V$7*x_scale</f>
        <v/>
      </c>
      <c r="W182" s="23">
        <f>mwac*hours*cf_p50*Energy!W$7*x_scale</f>
        <v/>
      </c>
      <c r="X182" s="23">
        <f>mwac*hours*cf_p50*Energy!X$7*x_scale</f>
        <v/>
      </c>
      <c r="Y182" s="23">
        <f>mwac*hours*cf_p50*Energy!Y$7*x_scale</f>
        <v/>
      </c>
      <c r="Z182" s="23">
        <f>mwac*hours*cf_p50*Energy!Z$7*x_scale</f>
        <v/>
      </c>
      <c r="AA182" s="23">
        <f>mwac*hours*cf_p50*Energy!AA$7*x_scale</f>
        <v/>
      </c>
      <c r="AB182" s="23">
        <f>mwac*hours*cf_p50*Energy!AB$7*x_scale</f>
        <v/>
      </c>
      <c r="AC182" s="23">
        <f>mwac*hours*cf_p50*Energy!AC$7*x_scale</f>
        <v/>
      </c>
      <c r="AD182" s="23">
        <f>mwac*hours*cf_p50*Energy!AD$7*x_scale</f>
        <v/>
      </c>
      <c r="AE182" s="23">
        <f>mwac*hours*cf_p50*Energy!AE$7*x_scale</f>
        <v/>
      </c>
      <c r="AF182" s="23">
        <f>mwac*hours*cf_p50*Energy!AF$7*x_scale</f>
        <v/>
      </c>
      <c r="AG182" s="23">
        <f>mwac*hours*cf_p50*Energy!AG$7*x_scale</f>
        <v/>
      </c>
      <c r="AH182" s="23">
        <f>mwac*hours*cf_p50*Energy!AH$7*x_scale</f>
        <v/>
      </c>
      <c r="AI182" s="23">
        <f>mwac*hours*cf_p50*Energy!AI$7*x_scale</f>
        <v/>
      </c>
      <c r="AJ182" s="23">
        <f>mwac*hours*cf_p50*Energy!AJ$7*x_scale</f>
        <v/>
      </c>
      <c r="AK182" s="23">
        <f>mwac*hours*cf_p50*Energy!AK$7*x_scale</f>
        <v/>
      </c>
      <c r="AL182" s="23">
        <f>mwac*hours*cf_p50*Energy!AL$7*x_scale</f>
        <v/>
      </c>
    </row>
    <row r="183">
      <c r="B183" s="7" t="inlineStr">
        <is>
          <t>Node price, hub switch applied ($/MWh)</t>
        </is>
      </c>
      <c r="D183" s="32">
        <f>Market!D$7*(1+sens_hub)*Market!D$8+Market!D$10</f>
        <v/>
      </c>
      <c r="E183" s="32">
        <f>Market!E$7*(1+sens_hub)*Market!E$8+Market!E$10</f>
        <v/>
      </c>
      <c r="F183" s="32">
        <f>Market!F$7*(1+sens_hub)*Market!F$8+Market!F$10</f>
        <v/>
      </c>
      <c r="G183" s="32">
        <f>Market!G$7*(1+sens_hub)*Market!G$8+Market!G$10</f>
        <v/>
      </c>
      <c r="H183" s="32">
        <f>Market!H$7*(1+sens_hub)*Market!H$8+Market!H$10</f>
        <v/>
      </c>
      <c r="I183" s="32">
        <f>Market!I$7*(1+sens_hub)*Market!I$8+Market!I$10</f>
        <v/>
      </c>
      <c r="J183" s="32">
        <f>Market!J$7*(1+sens_hub)*Market!J$8+Market!J$10</f>
        <v/>
      </c>
      <c r="K183" s="32">
        <f>Market!K$7*(1+sens_hub)*Market!K$8+Market!K$10</f>
        <v/>
      </c>
      <c r="L183" s="32">
        <f>Market!L$7*(1+sens_hub)*Market!L$8+Market!L$10</f>
        <v/>
      </c>
      <c r="M183" s="32">
        <f>Market!M$7*(1+sens_hub)*Market!M$8+Market!M$10</f>
        <v/>
      </c>
      <c r="N183" s="32">
        <f>Market!N$7*(1+sens_hub)*Market!N$8+Market!N$10</f>
        <v/>
      </c>
      <c r="O183" s="32">
        <f>Market!O$7*(1+sens_hub)*Market!O$8+Market!O$10</f>
        <v/>
      </c>
      <c r="P183" s="32">
        <f>Market!P$7*(1+sens_hub)*Market!P$8+Market!P$10</f>
        <v/>
      </c>
      <c r="Q183" s="32">
        <f>Market!Q$7*(1+sens_hub)*Market!Q$8+Market!Q$10</f>
        <v/>
      </c>
      <c r="R183" s="32">
        <f>Market!R$7*(1+sens_hub)*Market!R$8+Market!R$10</f>
        <v/>
      </c>
      <c r="S183" s="32">
        <f>Market!S$7*(1+sens_hub)*Market!S$8+Market!S$10</f>
        <v/>
      </c>
      <c r="T183" s="32">
        <f>Market!T$7*(1+sens_hub)*Market!T$8+Market!T$10</f>
        <v/>
      </c>
      <c r="U183" s="32">
        <f>Market!U$7*(1+sens_hub)*Market!U$8+Market!U$10</f>
        <v/>
      </c>
      <c r="V183" s="32">
        <f>Market!V$7*(1+sens_hub)*Market!V$8+Market!V$10</f>
        <v/>
      </c>
      <c r="W183" s="32">
        <f>Market!W$7*(1+sens_hub)*Market!W$8+Market!W$10</f>
        <v/>
      </c>
      <c r="X183" s="32">
        <f>Market!X$7*(1+sens_hub)*Market!X$8+Market!X$10</f>
        <v/>
      </c>
      <c r="Y183" s="32">
        <f>Market!Y$7*(1+sens_hub)*Market!Y$8+Market!Y$10</f>
        <v/>
      </c>
      <c r="Z183" s="32">
        <f>Market!Z$7*(1+sens_hub)*Market!Z$8+Market!Z$10</f>
        <v/>
      </c>
      <c r="AA183" s="32">
        <f>Market!AA$7*(1+sens_hub)*Market!AA$8+Market!AA$10</f>
        <v/>
      </c>
      <c r="AB183" s="32">
        <f>Market!AB$7*(1+sens_hub)*Market!AB$8+Market!AB$10</f>
        <v/>
      </c>
      <c r="AC183" s="32">
        <f>Market!AC$7*(1+sens_hub)*Market!AC$8+Market!AC$10</f>
        <v/>
      </c>
      <c r="AD183" s="32">
        <f>Market!AD$7*(1+sens_hub)*Market!AD$8+Market!AD$10</f>
        <v/>
      </c>
      <c r="AE183" s="32">
        <f>Market!AE$7*(1+sens_hub)*Market!AE$8+Market!AE$10</f>
        <v/>
      </c>
      <c r="AF183" s="32">
        <f>Market!AF$7*(1+sens_hub)*Market!AF$8+Market!AF$10</f>
        <v/>
      </c>
      <c r="AG183" s="32">
        <f>Market!AG$7*(1+sens_hub)*Market!AG$8+Market!AG$10</f>
        <v/>
      </c>
      <c r="AH183" s="32">
        <f>Market!AH$7*(1+sens_hub)*Market!AH$8+Market!AH$10</f>
        <v/>
      </c>
      <c r="AI183" s="32">
        <f>Market!AI$7*(1+sens_hub)*Market!AI$8+Market!AI$10</f>
        <v/>
      </c>
      <c r="AJ183" s="32">
        <f>Market!AJ$7*(1+sens_hub)*Market!AJ$8+Market!AJ$10</f>
        <v/>
      </c>
      <c r="AK183" s="32">
        <f>Market!AK$7*(1+sens_hub)*Market!AK$8+Market!AK$10</f>
        <v/>
      </c>
      <c r="AL183" s="32">
        <f>Market!AL$7*(1+sens_hub)*Market!AL$8+Market!AL$10</f>
        <v/>
      </c>
    </row>
    <row r="184">
      <c r="B184" s="7" t="inlineStr">
        <is>
          <t>Contracted revenue ($)</t>
        </is>
      </c>
      <c r="D184" s="25">
        <f>IF(D$5&lt;u_years,D182*u_price*(1+u_esc)^D$5,0)</f>
        <v/>
      </c>
      <c r="E184" s="25">
        <f>IF(E$5&lt;u_years,E182*u_price*(1+u_esc)^E$5,0)</f>
        <v/>
      </c>
      <c r="F184" s="25">
        <f>IF(F$5&lt;u_years,F182*u_price*(1+u_esc)^F$5,0)</f>
        <v/>
      </c>
      <c r="G184" s="25">
        <f>IF(G$5&lt;u_years,G182*u_price*(1+u_esc)^G$5,0)</f>
        <v/>
      </c>
      <c r="H184" s="25">
        <f>IF(H$5&lt;u_years,H182*u_price*(1+u_esc)^H$5,0)</f>
        <v/>
      </c>
      <c r="I184" s="25">
        <f>IF(I$5&lt;u_years,I182*u_price*(1+u_esc)^I$5,0)</f>
        <v/>
      </c>
      <c r="J184" s="25">
        <f>IF(J$5&lt;u_years,J182*u_price*(1+u_esc)^J$5,0)</f>
        <v/>
      </c>
      <c r="K184" s="25">
        <f>IF(K$5&lt;u_years,K182*u_price*(1+u_esc)^K$5,0)</f>
        <v/>
      </c>
      <c r="L184" s="25">
        <f>IF(L$5&lt;u_years,L182*u_price*(1+u_esc)^L$5,0)</f>
        <v/>
      </c>
      <c r="M184" s="25">
        <f>IF(M$5&lt;u_years,M182*u_price*(1+u_esc)^M$5,0)</f>
        <v/>
      </c>
      <c r="N184" s="25">
        <f>IF(N$5&lt;u_years,N182*u_price*(1+u_esc)^N$5,0)</f>
        <v/>
      </c>
      <c r="O184" s="25">
        <f>IF(O$5&lt;u_years,O182*u_price*(1+u_esc)^O$5,0)</f>
        <v/>
      </c>
      <c r="P184" s="25">
        <f>IF(P$5&lt;u_years,P182*u_price*(1+u_esc)^P$5,0)</f>
        <v/>
      </c>
      <c r="Q184" s="25">
        <f>IF(Q$5&lt;u_years,Q182*u_price*(1+u_esc)^Q$5,0)</f>
        <v/>
      </c>
      <c r="R184" s="25">
        <f>IF(R$5&lt;u_years,R182*u_price*(1+u_esc)^R$5,0)</f>
        <v/>
      </c>
      <c r="S184" s="25">
        <f>IF(S$5&lt;u_years,S182*u_price*(1+u_esc)^S$5,0)</f>
        <v/>
      </c>
      <c r="T184" s="25">
        <f>IF(T$5&lt;u_years,T182*u_price*(1+u_esc)^T$5,0)</f>
        <v/>
      </c>
      <c r="U184" s="25">
        <f>IF(U$5&lt;u_years,U182*u_price*(1+u_esc)^U$5,0)</f>
        <v/>
      </c>
      <c r="V184" s="25">
        <f>IF(V$5&lt;u_years,V182*u_price*(1+u_esc)^V$5,0)</f>
        <v/>
      </c>
      <c r="W184" s="25">
        <f>IF(W$5&lt;u_years,W182*u_price*(1+u_esc)^W$5,0)</f>
        <v/>
      </c>
      <c r="X184" s="25">
        <f>IF(X$5&lt;u_years,X182*u_price*(1+u_esc)^X$5,0)</f>
        <v/>
      </c>
      <c r="Y184" s="25">
        <f>IF(Y$5&lt;u_years,Y182*u_price*(1+u_esc)^Y$5,0)</f>
        <v/>
      </c>
      <c r="Z184" s="25">
        <f>IF(Z$5&lt;u_years,Z182*u_price*(1+u_esc)^Z$5,0)</f>
        <v/>
      </c>
      <c r="AA184" s="25">
        <f>IF(AA$5&lt;u_years,AA182*u_price*(1+u_esc)^AA$5,0)</f>
        <v/>
      </c>
      <c r="AB184" s="25">
        <f>IF(AB$5&lt;u_years,AB182*u_price*(1+u_esc)^AB$5,0)</f>
        <v/>
      </c>
      <c r="AC184" s="25">
        <f>IF(AC$5&lt;u_years,AC182*u_price*(1+u_esc)^AC$5,0)</f>
        <v/>
      </c>
      <c r="AD184" s="25">
        <f>IF(AD$5&lt;u_years,AD182*u_price*(1+u_esc)^AD$5,0)</f>
        <v/>
      </c>
      <c r="AE184" s="25">
        <f>IF(AE$5&lt;u_years,AE182*u_price*(1+u_esc)^AE$5,0)</f>
        <v/>
      </c>
      <c r="AF184" s="25">
        <f>IF(AF$5&lt;u_years,AF182*u_price*(1+u_esc)^AF$5,0)</f>
        <v/>
      </c>
      <c r="AG184" s="25">
        <f>IF(AG$5&lt;u_years,AG182*u_price*(1+u_esc)^AG$5,0)</f>
        <v/>
      </c>
      <c r="AH184" s="25">
        <f>IF(AH$5&lt;u_years,AH182*u_price*(1+u_esc)^AH$5,0)</f>
        <v/>
      </c>
      <c r="AI184" s="25">
        <f>IF(AI$5&lt;u_years,AI182*u_price*(1+u_esc)^AI$5,0)</f>
        <v/>
      </c>
      <c r="AJ184" s="25">
        <f>IF(AJ$5&lt;u_years,AJ182*u_price*(1+u_esc)^AJ$5,0)</f>
        <v/>
      </c>
      <c r="AK184" s="25">
        <f>IF(AK$5&lt;u_years,AK182*u_price*(1+u_esc)^AK$5,0)</f>
        <v/>
      </c>
      <c r="AL184" s="25">
        <f>IF(AL$5&lt;u_years,AL182*u_price*(1+u_esc)^AL$5,0)</f>
        <v/>
      </c>
    </row>
    <row r="185">
      <c r="B185" s="7" t="inlineStr">
        <is>
          <t>Merchant revenue ($)</t>
        </is>
      </c>
      <c r="D185" s="25">
        <f>IF(D$5&lt;u_years,0,D182*(D183+rec_price)+Market!D$13)</f>
        <v/>
      </c>
      <c r="E185" s="25">
        <f>IF(E$5&lt;u_years,0,E182*(E183+rec_price)+Market!E$13)</f>
        <v/>
      </c>
      <c r="F185" s="25">
        <f>IF(F$5&lt;u_years,0,F182*(F183+rec_price)+Market!F$13)</f>
        <v/>
      </c>
      <c r="G185" s="25">
        <f>IF(G$5&lt;u_years,0,G182*(G183+rec_price)+Market!G$13)</f>
        <v/>
      </c>
      <c r="H185" s="25">
        <f>IF(H$5&lt;u_years,0,H182*(H183+rec_price)+Market!H$13)</f>
        <v/>
      </c>
      <c r="I185" s="25">
        <f>IF(I$5&lt;u_years,0,I182*(I183+rec_price)+Market!I$13)</f>
        <v/>
      </c>
      <c r="J185" s="25">
        <f>IF(J$5&lt;u_years,0,J182*(J183+rec_price)+Market!J$13)</f>
        <v/>
      </c>
      <c r="K185" s="25">
        <f>IF(K$5&lt;u_years,0,K182*(K183+rec_price)+Market!K$13)</f>
        <v/>
      </c>
      <c r="L185" s="25">
        <f>IF(L$5&lt;u_years,0,L182*(L183+rec_price)+Market!L$13)</f>
        <v/>
      </c>
      <c r="M185" s="25">
        <f>IF(M$5&lt;u_years,0,M182*(M183+rec_price)+Market!M$13)</f>
        <v/>
      </c>
      <c r="N185" s="25">
        <f>IF(N$5&lt;u_years,0,N182*(N183+rec_price)+Market!N$13)</f>
        <v/>
      </c>
      <c r="O185" s="25">
        <f>IF(O$5&lt;u_years,0,O182*(O183+rec_price)+Market!O$13)</f>
        <v/>
      </c>
      <c r="P185" s="25">
        <f>IF(P$5&lt;u_years,0,P182*(P183+rec_price)+Market!P$13)</f>
        <v/>
      </c>
      <c r="Q185" s="25">
        <f>IF(Q$5&lt;u_years,0,Q182*(Q183+rec_price)+Market!Q$13)</f>
        <v/>
      </c>
      <c r="R185" s="25">
        <f>IF(R$5&lt;u_years,0,R182*(R183+rec_price)+Market!R$13)</f>
        <v/>
      </c>
      <c r="S185" s="25">
        <f>IF(S$5&lt;u_years,0,S182*(S183+rec_price)+Market!S$13)</f>
        <v/>
      </c>
      <c r="T185" s="25">
        <f>IF(T$5&lt;u_years,0,T182*(T183+rec_price)+Market!T$13)</f>
        <v/>
      </c>
      <c r="U185" s="25">
        <f>IF(U$5&lt;u_years,0,U182*(U183+rec_price)+Market!U$13)</f>
        <v/>
      </c>
      <c r="V185" s="25">
        <f>IF(V$5&lt;u_years,0,V182*(V183+rec_price)+Market!V$13)</f>
        <v/>
      </c>
      <c r="W185" s="25">
        <f>IF(W$5&lt;u_years,0,W182*(W183+rec_price)+Market!W$13)</f>
        <v/>
      </c>
      <c r="X185" s="25">
        <f>IF(X$5&lt;u_years,0,X182*(X183+rec_price)+Market!X$13)</f>
        <v/>
      </c>
      <c r="Y185" s="25">
        <f>IF(Y$5&lt;u_years,0,Y182*(Y183+rec_price)+Market!Y$13)</f>
        <v/>
      </c>
      <c r="Z185" s="25">
        <f>IF(Z$5&lt;u_years,0,Z182*(Z183+rec_price)+Market!Z$13)</f>
        <v/>
      </c>
      <c r="AA185" s="25">
        <f>IF(AA$5&lt;u_years,0,AA182*(AA183+rec_price)+Market!AA$13)</f>
        <v/>
      </c>
      <c r="AB185" s="25">
        <f>IF(AB$5&lt;u_years,0,AB182*(AB183+rec_price)+Market!AB$13)</f>
        <v/>
      </c>
      <c r="AC185" s="25">
        <f>IF(AC$5&lt;u_years,0,AC182*(AC183+rec_price)+Market!AC$13)</f>
        <v/>
      </c>
      <c r="AD185" s="25">
        <f>IF(AD$5&lt;u_years,0,AD182*(AD183+rec_price)+Market!AD$13)</f>
        <v/>
      </c>
      <c r="AE185" s="25">
        <f>IF(AE$5&lt;u_years,0,AE182*(AE183+rec_price)+Market!AE$13)</f>
        <v/>
      </c>
      <c r="AF185" s="25">
        <f>IF(AF$5&lt;u_years,0,AF182*(AF183+rec_price)+Market!AF$13)</f>
        <v/>
      </c>
      <c r="AG185" s="25">
        <f>IF(AG$5&lt;u_years,0,AG182*(AG183+rec_price)+Market!AG$13)</f>
        <v/>
      </c>
      <c r="AH185" s="25">
        <f>IF(AH$5&lt;u_years,0,AH182*(AH183+rec_price)+Market!AH$13)</f>
        <v/>
      </c>
      <c r="AI185" s="25">
        <f>IF(AI$5&lt;u_years,0,AI182*(AI183+rec_price)+Market!AI$13)</f>
        <v/>
      </c>
      <c r="AJ185" s="25">
        <f>IF(AJ$5&lt;u_years,0,AJ182*(AJ183+rec_price)+Market!AJ$13)</f>
        <v/>
      </c>
      <c r="AK185" s="25">
        <f>IF(AK$5&lt;u_years,0,AK182*(AK183+rec_price)+Market!AK$13)</f>
        <v/>
      </c>
      <c r="AL185" s="25">
        <f>IF(AL$5&lt;u_years,0,AL182*(AL183+rec_price)+Market!AL$13)</f>
        <v/>
      </c>
    </row>
    <row r="186">
      <c r="B186" s="7" t="inlineStr">
        <is>
          <t>Basis cost kept by the project ($)</t>
        </is>
      </c>
      <c r="D186" s="25" t="n">
        <v>0</v>
      </c>
      <c r="E186" s="25" t="n">
        <v>0</v>
      </c>
      <c r="F186" s="25" t="n">
        <v>0</v>
      </c>
      <c r="G186" s="25" t="n">
        <v>0</v>
      </c>
      <c r="H186" s="25" t="n">
        <v>0</v>
      </c>
      <c r="I186" s="25" t="n">
        <v>0</v>
      </c>
      <c r="J186" s="25" t="n">
        <v>0</v>
      </c>
      <c r="K186" s="25" t="n">
        <v>0</v>
      </c>
      <c r="L186" s="25" t="n">
        <v>0</v>
      </c>
      <c r="M186" s="25" t="n">
        <v>0</v>
      </c>
      <c r="N186" s="25" t="n">
        <v>0</v>
      </c>
      <c r="O186" s="25" t="n">
        <v>0</v>
      </c>
      <c r="P186" s="25" t="n">
        <v>0</v>
      </c>
      <c r="Q186" s="25" t="n">
        <v>0</v>
      </c>
      <c r="R186" s="25" t="n">
        <v>0</v>
      </c>
      <c r="S186" s="25" t="n">
        <v>0</v>
      </c>
      <c r="T186" s="25" t="n">
        <v>0</v>
      </c>
      <c r="U186" s="25" t="n">
        <v>0</v>
      </c>
      <c r="V186" s="25" t="n">
        <v>0</v>
      </c>
      <c r="W186" s="25" t="n">
        <v>0</v>
      </c>
      <c r="X186" s="25" t="n">
        <v>0</v>
      </c>
      <c r="Y186" s="25" t="n">
        <v>0</v>
      </c>
      <c r="Z186" s="25" t="n">
        <v>0</v>
      </c>
      <c r="AA186" s="25" t="n">
        <v>0</v>
      </c>
      <c r="AB186" s="25" t="n">
        <v>0</v>
      </c>
      <c r="AC186" s="25" t="n">
        <v>0</v>
      </c>
      <c r="AD186" s="25" t="n">
        <v>0</v>
      </c>
      <c r="AE186" s="25" t="n">
        <v>0</v>
      </c>
      <c r="AF186" s="25" t="n">
        <v>0</v>
      </c>
      <c r="AG186" s="25" t="n">
        <v>0</v>
      </c>
      <c r="AH186" s="25" t="n">
        <v>0</v>
      </c>
      <c r="AI186" s="25" t="n">
        <v>0</v>
      </c>
      <c r="AJ186" s="25" t="n">
        <v>0</v>
      </c>
      <c r="AK186" s="25" t="n">
        <v>0</v>
      </c>
      <c r="AL186" s="25" t="n">
        <v>0</v>
      </c>
    </row>
    <row r="187">
      <c r="B187" s="7" t="inlineStr">
        <is>
          <t>Operating cost ($)</t>
        </is>
      </c>
      <c r="D187" s="25">
        <f>(om_kw*mwac*1000+ins_rate*$C$179+am_cost+prop_tax+misc_cost)*Opex!D$7+rent_acre*acres_lease*Opex!D$8</f>
        <v/>
      </c>
      <c r="E187" s="25">
        <f>(om_kw*mwac*1000+ins_rate*$C$179+am_cost+prop_tax+misc_cost)*Opex!E$7+rent_acre*acres_lease*Opex!E$8</f>
        <v/>
      </c>
      <c r="F187" s="25">
        <f>(om_kw*mwac*1000+ins_rate*$C$179+am_cost+prop_tax+misc_cost)*Opex!F$7+rent_acre*acres_lease*Opex!F$8</f>
        <v/>
      </c>
      <c r="G187" s="25">
        <f>(om_kw*mwac*1000+ins_rate*$C$179+am_cost+prop_tax+misc_cost)*Opex!G$7+rent_acre*acres_lease*Opex!G$8</f>
        <v/>
      </c>
      <c r="H187" s="25">
        <f>(om_kw*mwac*1000+ins_rate*$C$179+am_cost+prop_tax+misc_cost)*Opex!H$7+rent_acre*acres_lease*Opex!H$8</f>
        <v/>
      </c>
      <c r="I187" s="25">
        <f>(om_kw*mwac*1000+ins_rate*$C$179+am_cost+prop_tax+misc_cost)*Opex!I$7+rent_acre*acres_lease*Opex!I$8</f>
        <v/>
      </c>
      <c r="J187" s="25">
        <f>(om_kw*mwac*1000+ins_rate*$C$179+am_cost+prop_tax+misc_cost)*Opex!J$7+rent_acre*acres_lease*Opex!J$8</f>
        <v/>
      </c>
      <c r="K187" s="25">
        <f>(om_kw*mwac*1000+ins_rate*$C$179+am_cost+prop_tax+misc_cost)*Opex!K$7+rent_acre*acres_lease*Opex!K$8</f>
        <v/>
      </c>
      <c r="L187" s="25">
        <f>(om_kw*mwac*1000+ins_rate*$C$179+am_cost+prop_tax+misc_cost)*Opex!L$7+rent_acre*acres_lease*Opex!L$8</f>
        <v/>
      </c>
      <c r="M187" s="25">
        <f>(om_kw*mwac*1000+ins_rate*$C$179+am_cost+prop_tax+misc_cost)*Opex!M$7+rent_acre*acres_lease*Opex!M$8</f>
        <v/>
      </c>
      <c r="N187" s="25">
        <f>(om_kw*mwac*1000+ins_rate*$C$179+am_cost+prop_tax+misc_cost)*Opex!N$7+rent_acre*acres_lease*Opex!N$8</f>
        <v/>
      </c>
      <c r="O187" s="25">
        <f>(om_kw*mwac*1000+ins_rate*$C$179+am_cost+prop_tax+misc_cost)*Opex!O$7+rent_acre*acres_lease*Opex!O$8</f>
        <v/>
      </c>
      <c r="P187" s="25">
        <f>(om_kw*mwac*1000+ins_rate*$C$179+am_cost+prop_tax+misc_cost)*Opex!P$7+rent_acre*acres_lease*Opex!P$8</f>
        <v/>
      </c>
      <c r="Q187" s="25">
        <f>(om_kw*mwac*1000+ins_rate*$C$179+am_cost+prop_tax+misc_cost)*Opex!Q$7+rent_acre*acres_lease*Opex!Q$8</f>
        <v/>
      </c>
      <c r="R187" s="25">
        <f>(om_kw*mwac*1000+ins_rate*$C$179+am_cost+prop_tax+misc_cost)*Opex!R$7+rent_acre*acres_lease*Opex!R$8</f>
        <v/>
      </c>
      <c r="S187" s="25">
        <f>(om_kw*mwac*1000+ins_rate*$C$179+am_cost+prop_tax+misc_cost)*Opex!S$7+rent_acre*acres_lease*Opex!S$8</f>
        <v/>
      </c>
      <c r="T187" s="25">
        <f>(om_kw*mwac*1000+ins_rate*$C$179+am_cost+prop_tax+misc_cost)*Opex!T$7+rent_acre*acres_lease*Opex!T$8</f>
        <v/>
      </c>
      <c r="U187" s="25">
        <f>(om_kw*mwac*1000+ins_rate*$C$179+am_cost+prop_tax+misc_cost)*Opex!U$7+rent_acre*acres_lease*Opex!U$8</f>
        <v/>
      </c>
      <c r="V187" s="25">
        <f>(om_kw*mwac*1000+ins_rate*$C$179+am_cost+prop_tax+misc_cost)*Opex!V$7+rent_acre*acres_lease*Opex!V$8</f>
        <v/>
      </c>
      <c r="W187" s="25">
        <f>(om_kw*mwac*1000+ins_rate*$C$179+am_cost+prop_tax+misc_cost)*Opex!W$7+rent_acre*acres_lease*Opex!W$8</f>
        <v/>
      </c>
      <c r="X187" s="25">
        <f>(om_kw*mwac*1000+ins_rate*$C$179+am_cost+prop_tax+misc_cost)*Opex!X$7+rent_acre*acres_lease*Opex!X$8</f>
        <v/>
      </c>
      <c r="Y187" s="25">
        <f>(om_kw*mwac*1000+ins_rate*$C$179+am_cost+prop_tax+misc_cost)*Opex!Y$7+rent_acre*acres_lease*Opex!Y$8</f>
        <v/>
      </c>
      <c r="Z187" s="25">
        <f>(om_kw*mwac*1000+ins_rate*$C$179+am_cost+prop_tax+misc_cost)*Opex!Z$7+rent_acre*acres_lease*Opex!Z$8</f>
        <v/>
      </c>
      <c r="AA187" s="25">
        <f>(om_kw*mwac*1000+ins_rate*$C$179+am_cost+prop_tax+misc_cost)*Opex!AA$7+rent_acre*acres_lease*Opex!AA$8</f>
        <v/>
      </c>
      <c r="AB187" s="25">
        <f>(om_kw*mwac*1000+ins_rate*$C$179+am_cost+prop_tax+misc_cost)*Opex!AB$7+rent_acre*acres_lease*Opex!AB$8</f>
        <v/>
      </c>
      <c r="AC187" s="25">
        <f>(om_kw*mwac*1000+ins_rate*$C$179+am_cost+prop_tax+misc_cost)*Opex!AC$7+rent_acre*acres_lease*Opex!AC$8</f>
        <v/>
      </c>
      <c r="AD187" s="25">
        <f>(om_kw*mwac*1000+ins_rate*$C$179+am_cost+prop_tax+misc_cost)*Opex!AD$7+rent_acre*acres_lease*Opex!AD$8</f>
        <v/>
      </c>
      <c r="AE187" s="25">
        <f>(om_kw*mwac*1000+ins_rate*$C$179+am_cost+prop_tax+misc_cost)*Opex!AE$7+rent_acre*acres_lease*Opex!AE$8</f>
        <v/>
      </c>
      <c r="AF187" s="25">
        <f>(om_kw*mwac*1000+ins_rate*$C$179+am_cost+prop_tax+misc_cost)*Opex!AF$7+rent_acre*acres_lease*Opex!AF$8</f>
        <v/>
      </c>
      <c r="AG187" s="25">
        <f>(om_kw*mwac*1000+ins_rate*$C$179+am_cost+prop_tax+misc_cost)*Opex!AG$7+rent_acre*acres_lease*Opex!AG$8</f>
        <v/>
      </c>
      <c r="AH187" s="25">
        <f>(om_kw*mwac*1000+ins_rate*$C$179+am_cost+prop_tax+misc_cost)*Opex!AH$7+rent_acre*acres_lease*Opex!AH$8</f>
        <v/>
      </c>
      <c r="AI187" s="25">
        <f>(om_kw*mwac*1000+ins_rate*$C$179+am_cost+prop_tax+misc_cost)*Opex!AI$7+rent_acre*acres_lease*Opex!AI$8</f>
        <v/>
      </c>
      <c r="AJ187" s="25">
        <f>(om_kw*mwac*1000+ins_rate*$C$179+am_cost+prop_tax+misc_cost)*Opex!AJ$7+rent_acre*acres_lease*Opex!AJ$8</f>
        <v/>
      </c>
      <c r="AK187" s="25">
        <f>(om_kw*mwac*1000+ins_rate*$C$179+am_cost+prop_tax+misc_cost)*Opex!AK$7+rent_acre*acres_lease*Opex!AK$8</f>
        <v/>
      </c>
      <c r="AL187" s="25">
        <f>(om_kw*mwac*1000+ins_rate*$C$179+am_cost+prop_tax+misc_cost)*Opex!AL$7+rent_acre*acres_lease*Opex!AL$8</f>
        <v/>
      </c>
    </row>
    <row r="188">
      <c r="B188" s="7" t="inlineStr">
        <is>
          <t>Credit cash ($)</t>
        </is>
      </c>
      <c r="D188" s="25">
        <f>IF(sw_credit="PTC",IF(D$5&lt;ptc_years,D182*Credits!D$8*(1+sw_bonus)*transfer_ptc,0),0)+IF(D$5=0,$C$181,0)</f>
        <v/>
      </c>
      <c r="E188" s="25">
        <f>IF(sw_credit="PTC",IF(E$5&lt;ptc_years,E182*Credits!E$8*(1+sw_bonus)*transfer_ptc,0),0)+IF(E$5=0,$C$181,0)</f>
        <v/>
      </c>
      <c r="F188" s="25">
        <f>IF(sw_credit="PTC",IF(F$5&lt;ptc_years,F182*Credits!F$8*(1+sw_bonus)*transfer_ptc,0),0)+IF(F$5=0,$C$181,0)</f>
        <v/>
      </c>
      <c r="G188" s="25">
        <f>IF(sw_credit="PTC",IF(G$5&lt;ptc_years,G182*Credits!G$8*(1+sw_bonus)*transfer_ptc,0),0)+IF(G$5=0,$C$181,0)</f>
        <v/>
      </c>
      <c r="H188" s="25">
        <f>IF(sw_credit="PTC",IF(H$5&lt;ptc_years,H182*Credits!H$8*(1+sw_bonus)*transfer_ptc,0),0)+IF(H$5=0,$C$181,0)</f>
        <v/>
      </c>
      <c r="I188" s="25">
        <f>IF(sw_credit="PTC",IF(I$5&lt;ptc_years,I182*Credits!I$8*(1+sw_bonus)*transfer_ptc,0),0)+IF(I$5=0,$C$181,0)</f>
        <v/>
      </c>
      <c r="J188" s="25">
        <f>IF(sw_credit="PTC",IF(J$5&lt;ptc_years,J182*Credits!J$8*(1+sw_bonus)*transfer_ptc,0),0)+IF(J$5=0,$C$181,0)</f>
        <v/>
      </c>
      <c r="K188" s="25">
        <f>IF(sw_credit="PTC",IF(K$5&lt;ptc_years,K182*Credits!K$8*(1+sw_bonus)*transfer_ptc,0),0)+IF(K$5=0,$C$181,0)</f>
        <v/>
      </c>
      <c r="L188" s="25">
        <f>IF(sw_credit="PTC",IF(L$5&lt;ptc_years,L182*Credits!L$8*(1+sw_bonus)*transfer_ptc,0),0)+IF(L$5=0,$C$181,0)</f>
        <v/>
      </c>
      <c r="M188" s="25">
        <f>IF(sw_credit="PTC",IF(M$5&lt;ptc_years,M182*Credits!M$8*(1+sw_bonus)*transfer_ptc,0),0)+IF(M$5=0,$C$181,0)</f>
        <v/>
      </c>
      <c r="N188" s="25">
        <f>IF(sw_credit="PTC",IF(N$5&lt;ptc_years,N182*Credits!N$8*(1+sw_bonus)*transfer_ptc,0),0)+IF(N$5=0,$C$181,0)</f>
        <v/>
      </c>
      <c r="O188" s="25">
        <f>IF(sw_credit="PTC",IF(O$5&lt;ptc_years,O182*Credits!O$8*(1+sw_bonus)*transfer_ptc,0),0)+IF(O$5=0,$C$181,0)</f>
        <v/>
      </c>
      <c r="P188" s="25">
        <f>IF(sw_credit="PTC",IF(P$5&lt;ptc_years,P182*Credits!P$8*(1+sw_bonus)*transfer_ptc,0),0)+IF(P$5=0,$C$181,0)</f>
        <v/>
      </c>
      <c r="Q188" s="25">
        <f>IF(sw_credit="PTC",IF(Q$5&lt;ptc_years,Q182*Credits!Q$8*(1+sw_bonus)*transfer_ptc,0),0)+IF(Q$5=0,$C$181,0)</f>
        <v/>
      </c>
      <c r="R188" s="25">
        <f>IF(sw_credit="PTC",IF(R$5&lt;ptc_years,R182*Credits!R$8*(1+sw_bonus)*transfer_ptc,0),0)+IF(R$5=0,$C$181,0)</f>
        <v/>
      </c>
      <c r="S188" s="25">
        <f>IF(sw_credit="PTC",IF(S$5&lt;ptc_years,S182*Credits!S$8*(1+sw_bonus)*transfer_ptc,0),0)+IF(S$5=0,$C$181,0)</f>
        <v/>
      </c>
      <c r="T188" s="25">
        <f>IF(sw_credit="PTC",IF(T$5&lt;ptc_years,T182*Credits!T$8*(1+sw_bonus)*transfer_ptc,0),0)+IF(T$5=0,$C$181,0)</f>
        <v/>
      </c>
      <c r="U188" s="25">
        <f>IF(sw_credit="PTC",IF(U$5&lt;ptc_years,U182*Credits!U$8*(1+sw_bonus)*transfer_ptc,0),0)+IF(U$5=0,$C$181,0)</f>
        <v/>
      </c>
      <c r="V188" s="25">
        <f>IF(sw_credit="PTC",IF(V$5&lt;ptc_years,V182*Credits!V$8*(1+sw_bonus)*transfer_ptc,0),0)+IF(V$5=0,$C$181,0)</f>
        <v/>
      </c>
      <c r="W188" s="25">
        <f>IF(sw_credit="PTC",IF(W$5&lt;ptc_years,W182*Credits!W$8*(1+sw_bonus)*transfer_ptc,0),0)+IF(W$5=0,$C$181,0)</f>
        <v/>
      </c>
      <c r="X188" s="25">
        <f>IF(sw_credit="PTC",IF(X$5&lt;ptc_years,X182*Credits!X$8*(1+sw_bonus)*transfer_ptc,0),0)+IF(X$5=0,$C$181,0)</f>
        <v/>
      </c>
      <c r="Y188" s="25">
        <f>IF(sw_credit="PTC",IF(Y$5&lt;ptc_years,Y182*Credits!Y$8*(1+sw_bonus)*transfer_ptc,0),0)+IF(Y$5=0,$C$181,0)</f>
        <v/>
      </c>
      <c r="Z188" s="25">
        <f>IF(sw_credit="PTC",IF(Z$5&lt;ptc_years,Z182*Credits!Z$8*(1+sw_bonus)*transfer_ptc,0),0)+IF(Z$5=0,$C$181,0)</f>
        <v/>
      </c>
      <c r="AA188" s="25">
        <f>IF(sw_credit="PTC",IF(AA$5&lt;ptc_years,AA182*Credits!AA$8*(1+sw_bonus)*transfer_ptc,0),0)+IF(AA$5=0,$C$181,0)</f>
        <v/>
      </c>
      <c r="AB188" s="25">
        <f>IF(sw_credit="PTC",IF(AB$5&lt;ptc_years,AB182*Credits!AB$8*(1+sw_bonus)*transfer_ptc,0),0)+IF(AB$5=0,$C$181,0)</f>
        <v/>
      </c>
      <c r="AC188" s="25">
        <f>IF(sw_credit="PTC",IF(AC$5&lt;ptc_years,AC182*Credits!AC$8*(1+sw_bonus)*transfer_ptc,0),0)+IF(AC$5=0,$C$181,0)</f>
        <v/>
      </c>
      <c r="AD188" s="25">
        <f>IF(sw_credit="PTC",IF(AD$5&lt;ptc_years,AD182*Credits!AD$8*(1+sw_bonus)*transfer_ptc,0),0)+IF(AD$5=0,$C$181,0)</f>
        <v/>
      </c>
      <c r="AE188" s="25">
        <f>IF(sw_credit="PTC",IF(AE$5&lt;ptc_years,AE182*Credits!AE$8*(1+sw_bonus)*transfer_ptc,0),0)+IF(AE$5=0,$C$181,0)</f>
        <v/>
      </c>
      <c r="AF188" s="25">
        <f>IF(sw_credit="PTC",IF(AF$5&lt;ptc_years,AF182*Credits!AF$8*(1+sw_bonus)*transfer_ptc,0),0)+IF(AF$5=0,$C$181,0)</f>
        <v/>
      </c>
      <c r="AG188" s="25">
        <f>IF(sw_credit="PTC",IF(AG$5&lt;ptc_years,AG182*Credits!AG$8*(1+sw_bonus)*transfer_ptc,0),0)+IF(AG$5=0,$C$181,0)</f>
        <v/>
      </c>
      <c r="AH188" s="25">
        <f>IF(sw_credit="PTC",IF(AH$5&lt;ptc_years,AH182*Credits!AH$8*(1+sw_bonus)*transfer_ptc,0),0)+IF(AH$5=0,$C$181,0)</f>
        <v/>
      </c>
      <c r="AI188" s="25">
        <f>IF(sw_credit="PTC",IF(AI$5&lt;ptc_years,AI182*Credits!AI$8*(1+sw_bonus)*transfer_ptc,0),0)+IF(AI$5=0,$C$181,0)</f>
        <v/>
      </c>
      <c r="AJ188" s="25">
        <f>IF(sw_credit="PTC",IF(AJ$5&lt;ptc_years,AJ182*Credits!AJ$8*(1+sw_bonus)*transfer_ptc,0),0)+IF(AJ$5=0,$C$181,0)</f>
        <v/>
      </c>
      <c r="AK188" s="25">
        <f>IF(sw_credit="PTC",IF(AK$5&lt;ptc_years,AK182*Credits!AK$8*(1+sw_bonus)*transfer_ptc,0),0)+IF(AK$5=0,$C$181,0)</f>
        <v/>
      </c>
      <c r="AL188" s="25">
        <f>IF(sw_credit="PTC",IF(AL$5&lt;ptc_years,AL182*Credits!AL$8*(1+sw_bonus)*transfer_ptc,0),0)+IF(AL$5=0,$C$181,0)</f>
        <v/>
      </c>
    </row>
    <row r="189">
      <c r="B189" s="14" t="inlineStr">
        <is>
          <t>EBITDA ($)</t>
        </is>
      </c>
      <c r="D189" s="26">
        <f>D184+D185-D186-D187</f>
        <v/>
      </c>
      <c r="E189" s="26">
        <f>E184+E185-E186-E187</f>
        <v/>
      </c>
      <c r="F189" s="26">
        <f>F184+F185-F186-F187</f>
        <v/>
      </c>
      <c r="G189" s="26">
        <f>G184+G185-G186-G187</f>
        <v/>
      </c>
      <c r="H189" s="26">
        <f>H184+H185-H186-H187</f>
        <v/>
      </c>
      <c r="I189" s="26">
        <f>I184+I185-I186-I187</f>
        <v/>
      </c>
      <c r="J189" s="26">
        <f>J184+J185-J186-J187</f>
        <v/>
      </c>
      <c r="K189" s="26">
        <f>K184+K185-K186-K187</f>
        <v/>
      </c>
      <c r="L189" s="26">
        <f>L184+L185-L186-L187</f>
        <v/>
      </c>
      <c r="M189" s="26">
        <f>M184+M185-M186-M187</f>
        <v/>
      </c>
      <c r="N189" s="26">
        <f>N184+N185-N186-N187</f>
        <v/>
      </c>
      <c r="O189" s="26">
        <f>O184+O185-O186-O187</f>
        <v/>
      </c>
      <c r="P189" s="26">
        <f>P184+P185-P186-P187</f>
        <v/>
      </c>
      <c r="Q189" s="26">
        <f>Q184+Q185-Q186-Q187</f>
        <v/>
      </c>
      <c r="R189" s="26">
        <f>R184+R185-R186-R187</f>
        <v/>
      </c>
      <c r="S189" s="26">
        <f>S184+S185-S186-S187</f>
        <v/>
      </c>
      <c r="T189" s="26">
        <f>T184+T185-T186-T187</f>
        <v/>
      </c>
      <c r="U189" s="26">
        <f>U184+U185-U186-U187</f>
        <v/>
      </c>
      <c r="V189" s="26">
        <f>V184+V185-V186-V187</f>
        <v/>
      </c>
      <c r="W189" s="26">
        <f>W184+W185-W186-W187</f>
        <v/>
      </c>
      <c r="X189" s="26">
        <f>X184+X185-X186-X187</f>
        <v/>
      </c>
      <c r="Y189" s="26">
        <f>Y184+Y185-Y186-Y187</f>
        <v/>
      </c>
      <c r="Z189" s="26">
        <f>Z184+Z185-Z186-Z187</f>
        <v/>
      </c>
      <c r="AA189" s="26">
        <f>AA184+AA185-AA186-AA187</f>
        <v/>
      </c>
      <c r="AB189" s="26">
        <f>AB184+AB185-AB186-AB187</f>
        <v/>
      </c>
      <c r="AC189" s="26">
        <f>AC184+AC185-AC186-AC187</f>
        <v/>
      </c>
      <c r="AD189" s="26">
        <f>AD184+AD185-AD186-AD187</f>
        <v/>
      </c>
      <c r="AE189" s="26">
        <f>AE184+AE185-AE186-AE187</f>
        <v/>
      </c>
      <c r="AF189" s="26">
        <f>AF184+AF185-AF186-AF187</f>
        <v/>
      </c>
      <c r="AG189" s="26">
        <f>AG184+AG185-AG186-AG187</f>
        <v/>
      </c>
      <c r="AH189" s="26">
        <f>AH184+AH185-AH186-AH187</f>
        <v/>
      </c>
      <c r="AI189" s="26">
        <f>AI184+AI185-AI186-AI187</f>
        <v/>
      </c>
      <c r="AJ189" s="26">
        <f>AJ184+AJ185-AJ186-AJ187</f>
        <v/>
      </c>
      <c r="AK189" s="26">
        <f>AK184+AK185-AK186-AK187</f>
        <v/>
      </c>
      <c r="AL189" s="26">
        <f>AL184+AL185-AL186-AL187</f>
        <v/>
      </c>
    </row>
    <row r="190">
      <c r="B190" s="7" t="inlineStr">
        <is>
          <t>Discount factor to 1 January 2027, contracted rate</t>
        </is>
      </c>
      <c r="D190" s="22">
        <f>1/(1+x_rc)^(D$5+2)</f>
        <v/>
      </c>
      <c r="E190" s="22">
        <f>1/(1+x_rc)^(E$5+2)</f>
        <v/>
      </c>
      <c r="F190" s="22">
        <f>1/(1+x_rc)^(F$5+2)</f>
        <v/>
      </c>
      <c r="G190" s="22">
        <f>1/(1+x_rc)^(G$5+2)</f>
        <v/>
      </c>
      <c r="H190" s="22">
        <f>1/(1+x_rc)^(H$5+2)</f>
        <v/>
      </c>
      <c r="I190" s="22">
        <f>1/(1+x_rc)^(I$5+2)</f>
        <v/>
      </c>
      <c r="J190" s="22">
        <f>1/(1+x_rc)^(J$5+2)</f>
        <v/>
      </c>
      <c r="K190" s="22">
        <f>1/(1+x_rc)^(K$5+2)</f>
        <v/>
      </c>
      <c r="L190" s="22">
        <f>1/(1+x_rc)^(L$5+2)</f>
        <v/>
      </c>
      <c r="M190" s="22">
        <f>1/(1+x_rc)^(M$5+2)</f>
        <v/>
      </c>
      <c r="N190" s="22">
        <f>1/(1+x_rc)^(N$5+2)</f>
        <v/>
      </c>
      <c r="O190" s="22">
        <f>1/(1+x_rc)^(O$5+2)</f>
        <v/>
      </c>
      <c r="P190" s="22">
        <f>1/(1+x_rc)^(P$5+2)</f>
        <v/>
      </c>
      <c r="Q190" s="22">
        <f>1/(1+x_rc)^(Q$5+2)</f>
        <v/>
      </c>
      <c r="R190" s="22">
        <f>1/(1+x_rc)^(R$5+2)</f>
        <v/>
      </c>
      <c r="S190" s="22">
        <f>1/(1+x_rc)^(S$5+2)</f>
        <v/>
      </c>
      <c r="T190" s="22">
        <f>1/(1+x_rc)^(T$5+2)</f>
        <v/>
      </c>
      <c r="U190" s="22">
        <f>1/(1+x_rc)^(U$5+2)</f>
        <v/>
      </c>
      <c r="V190" s="22">
        <f>1/(1+x_rc)^(V$5+2)</f>
        <v/>
      </c>
      <c r="W190" s="22">
        <f>1/(1+x_rc)^(W$5+2)</f>
        <v/>
      </c>
      <c r="X190" s="22">
        <f>1/(1+x_rc)^(X$5+2)</f>
        <v/>
      </c>
      <c r="Y190" s="22">
        <f>1/(1+x_rc)^(Y$5+2)</f>
        <v/>
      </c>
      <c r="Z190" s="22">
        <f>1/(1+x_rc)^(Z$5+2)</f>
        <v/>
      </c>
      <c r="AA190" s="22">
        <f>1/(1+x_rc)^(AA$5+2)</f>
        <v/>
      </c>
      <c r="AB190" s="22">
        <f>1/(1+x_rc)^(AB$5+2)</f>
        <v/>
      </c>
      <c r="AC190" s="22">
        <f>1/(1+x_rc)^(AC$5+2)</f>
        <v/>
      </c>
      <c r="AD190" s="22">
        <f>1/(1+x_rc)^(AD$5+2)</f>
        <v/>
      </c>
      <c r="AE190" s="22">
        <f>1/(1+x_rc)^(AE$5+2)</f>
        <v/>
      </c>
      <c r="AF190" s="22">
        <f>1/(1+x_rc)^(AF$5+2)</f>
        <v/>
      </c>
      <c r="AG190" s="22">
        <f>1/(1+x_rc)^(AG$5+2)</f>
        <v/>
      </c>
      <c r="AH190" s="22">
        <f>1/(1+x_rc)^(AH$5+2)</f>
        <v/>
      </c>
      <c r="AI190" s="22">
        <f>1/(1+x_rc)^(AI$5+2)</f>
        <v/>
      </c>
      <c r="AJ190" s="22">
        <f>1/(1+x_rc)^(AJ$5+2)</f>
        <v/>
      </c>
      <c r="AK190" s="22">
        <f>1/(1+x_rc)^(AK$5+2)</f>
        <v/>
      </c>
      <c r="AL190" s="22">
        <f>1/(1+x_rc)^(AL$5+2)</f>
        <v/>
      </c>
    </row>
    <row r="191">
      <c r="B191" s="7" t="inlineStr">
        <is>
          <t>Discount factor to 1 January 2027, merchant rate</t>
        </is>
      </c>
      <c r="D191" s="22">
        <f>1/(1+x_rm)^(D$5+2)</f>
        <v/>
      </c>
      <c r="E191" s="22">
        <f>1/(1+x_rm)^(E$5+2)</f>
        <v/>
      </c>
      <c r="F191" s="22">
        <f>1/(1+x_rm)^(F$5+2)</f>
        <v/>
      </c>
      <c r="G191" s="22">
        <f>1/(1+x_rm)^(G$5+2)</f>
        <v/>
      </c>
      <c r="H191" s="22">
        <f>1/(1+x_rm)^(H$5+2)</f>
        <v/>
      </c>
      <c r="I191" s="22">
        <f>1/(1+x_rm)^(I$5+2)</f>
        <v/>
      </c>
      <c r="J191" s="22">
        <f>1/(1+x_rm)^(J$5+2)</f>
        <v/>
      </c>
      <c r="K191" s="22">
        <f>1/(1+x_rm)^(K$5+2)</f>
        <v/>
      </c>
      <c r="L191" s="22">
        <f>1/(1+x_rm)^(L$5+2)</f>
        <v/>
      </c>
      <c r="M191" s="22">
        <f>1/(1+x_rm)^(M$5+2)</f>
        <v/>
      </c>
      <c r="N191" s="22">
        <f>1/(1+x_rm)^(N$5+2)</f>
        <v/>
      </c>
      <c r="O191" s="22">
        <f>1/(1+x_rm)^(O$5+2)</f>
        <v/>
      </c>
      <c r="P191" s="22">
        <f>1/(1+x_rm)^(P$5+2)</f>
        <v/>
      </c>
      <c r="Q191" s="22">
        <f>1/(1+x_rm)^(Q$5+2)</f>
        <v/>
      </c>
      <c r="R191" s="22">
        <f>1/(1+x_rm)^(R$5+2)</f>
        <v/>
      </c>
      <c r="S191" s="22">
        <f>1/(1+x_rm)^(S$5+2)</f>
        <v/>
      </c>
      <c r="T191" s="22">
        <f>1/(1+x_rm)^(T$5+2)</f>
        <v/>
      </c>
      <c r="U191" s="22">
        <f>1/(1+x_rm)^(U$5+2)</f>
        <v/>
      </c>
      <c r="V191" s="22">
        <f>1/(1+x_rm)^(V$5+2)</f>
        <v/>
      </c>
      <c r="W191" s="22">
        <f>1/(1+x_rm)^(W$5+2)</f>
        <v/>
      </c>
      <c r="X191" s="22">
        <f>1/(1+x_rm)^(X$5+2)</f>
        <v/>
      </c>
      <c r="Y191" s="22">
        <f>1/(1+x_rm)^(Y$5+2)</f>
        <v/>
      </c>
      <c r="Z191" s="22">
        <f>1/(1+x_rm)^(Z$5+2)</f>
        <v/>
      </c>
      <c r="AA191" s="22">
        <f>1/(1+x_rm)^(AA$5+2)</f>
        <v/>
      </c>
      <c r="AB191" s="22">
        <f>1/(1+x_rm)^(AB$5+2)</f>
        <v/>
      </c>
      <c r="AC191" s="22">
        <f>1/(1+x_rm)^(AC$5+2)</f>
        <v/>
      </c>
      <c r="AD191" s="22">
        <f>1/(1+x_rm)^(AD$5+2)</f>
        <v/>
      </c>
      <c r="AE191" s="22">
        <f>1/(1+x_rm)^(AE$5+2)</f>
        <v/>
      </c>
      <c r="AF191" s="22">
        <f>1/(1+x_rm)^(AF$5+2)</f>
        <v/>
      </c>
      <c r="AG191" s="22">
        <f>1/(1+x_rm)^(AG$5+2)</f>
        <v/>
      </c>
      <c r="AH191" s="22">
        <f>1/(1+x_rm)^(AH$5+2)</f>
        <v/>
      </c>
      <c r="AI191" s="22">
        <f>1/(1+x_rm)^(AI$5+2)</f>
        <v/>
      </c>
      <c r="AJ191" s="22">
        <f>1/(1+x_rm)^(AJ$5+2)</f>
        <v/>
      </c>
      <c r="AK191" s="22">
        <f>1/(1+x_rm)^(AK$5+2)</f>
        <v/>
      </c>
      <c r="AL191" s="22">
        <f>1/(1+x_rm)^(AL$5+2)</f>
        <v/>
      </c>
    </row>
    <row r="192">
      <c r="B192" s="7" t="inlineStr">
        <is>
          <t>Value on 1 January 2027 of the flows from 2028 (split rates) ($)</t>
        </is>
      </c>
      <c r="C192" s="25">
        <f>SUMPRODUCT($D$184:$AL$184,$D$190:$AL$190)+SUMPRODUCT($D$188:$AL$188,$D$190:$AL$190)-SUMPRODUCT($D$186:$AL$186,$D$190:$AL$190)-SUMPRODUCT($D$187:$AL$187,$D$190:$AL$190)+SUMPRODUCT($D$185:$AL$185,$D$191:$AL$191)-decom_end/(1+x_rc)^(life_years+1)</f>
        <v/>
      </c>
    </row>
    <row r="193">
      <c r="B193" s="14" t="inlineStr">
        <is>
          <t>Development value on 1 January 2027: value less the capital cost ($)</t>
        </is>
      </c>
      <c r="C193" s="26">
        <f>C192-C179/(1+x_rc)</f>
        <v/>
      </c>
    </row>
    <row r="194">
      <c r="B194" s="7" t="inlineStr">
        <is>
          <t>Highest premium Ashgrove can pay at NTP ($)</t>
        </is>
      </c>
      <c r="C194" s="25">
        <f>C193-reimb+reimb/(1+x_rc)</f>
        <v/>
      </c>
    </row>
    <row r="197">
      <c r="B197" s="6" t="inlineStr">
        <is>
          <t>Hub price change (merchant revenue), case C</t>
        </is>
      </c>
    </row>
    <row r="198">
      <c r="B198" s="7" t="inlineStr">
        <is>
          <t>Capital cost ($)</t>
        </is>
      </c>
      <c r="C198" s="25">
        <f>((x_module+x_tracker+x_bos)*mwdc*1000000+x_inverter*mwac*1000000+x_sub)*(1+contingency)+x_ic+owner</f>
        <v/>
      </c>
    </row>
    <row r="199">
      <c r="B199" s="7" t="inlineStr">
        <is>
          <t>ITC eligible basis ($)</t>
        </is>
      </c>
      <c r="C199" s="25">
        <f>((x_module+x_tracker+x_bos)*mwdc*1000000+x_inverter*mwac*1000000+x_sub)*(1+contingency)-gentie_share*x_sub</f>
        <v/>
      </c>
    </row>
    <row r="200">
      <c r="B200" s="7" t="inlineStr">
        <is>
          <t>ITC cash at the end of 2028, if elected ($)</t>
        </is>
      </c>
      <c r="C200" s="25">
        <f>IF(sw_credit="ITC",C199*(itc_rate+sw_bonus)*transfer_itc,0)</f>
        <v/>
      </c>
    </row>
    <row r="201">
      <c r="B201" s="7" t="inlineStr">
        <is>
          <t>Energy (MWh)</t>
        </is>
      </c>
      <c r="D201" s="23">
        <f>mwac*hours*cf_p50*Energy!D$7*x_scale</f>
        <v/>
      </c>
      <c r="E201" s="23">
        <f>mwac*hours*cf_p50*Energy!E$7*x_scale</f>
        <v/>
      </c>
      <c r="F201" s="23">
        <f>mwac*hours*cf_p50*Energy!F$7*x_scale</f>
        <v/>
      </c>
      <c r="G201" s="23">
        <f>mwac*hours*cf_p50*Energy!G$7*x_scale</f>
        <v/>
      </c>
      <c r="H201" s="23">
        <f>mwac*hours*cf_p50*Energy!H$7*x_scale</f>
        <v/>
      </c>
      <c r="I201" s="23">
        <f>mwac*hours*cf_p50*Energy!I$7*x_scale</f>
        <v/>
      </c>
      <c r="J201" s="23">
        <f>mwac*hours*cf_p50*Energy!J$7*x_scale</f>
        <v/>
      </c>
      <c r="K201" s="23">
        <f>mwac*hours*cf_p50*Energy!K$7*x_scale</f>
        <v/>
      </c>
      <c r="L201" s="23">
        <f>mwac*hours*cf_p50*Energy!L$7*x_scale</f>
        <v/>
      </c>
      <c r="M201" s="23">
        <f>mwac*hours*cf_p50*Energy!M$7*x_scale</f>
        <v/>
      </c>
      <c r="N201" s="23">
        <f>mwac*hours*cf_p50*Energy!N$7*x_scale</f>
        <v/>
      </c>
      <c r="O201" s="23">
        <f>mwac*hours*cf_p50*Energy!O$7*x_scale</f>
        <v/>
      </c>
      <c r="P201" s="23">
        <f>mwac*hours*cf_p50*Energy!P$7*x_scale</f>
        <v/>
      </c>
      <c r="Q201" s="23">
        <f>mwac*hours*cf_p50*Energy!Q$7*x_scale</f>
        <v/>
      </c>
      <c r="R201" s="23">
        <f>mwac*hours*cf_p50*Energy!R$7*x_scale</f>
        <v/>
      </c>
      <c r="S201" s="23">
        <f>mwac*hours*cf_p50*Energy!S$7*x_scale</f>
        <v/>
      </c>
      <c r="T201" s="23">
        <f>mwac*hours*cf_p50*Energy!T$7*x_scale</f>
        <v/>
      </c>
      <c r="U201" s="23">
        <f>mwac*hours*cf_p50*Energy!U$7*x_scale</f>
        <v/>
      </c>
      <c r="V201" s="23">
        <f>mwac*hours*cf_p50*Energy!V$7*x_scale</f>
        <v/>
      </c>
      <c r="W201" s="23">
        <f>mwac*hours*cf_p50*Energy!W$7*x_scale</f>
        <v/>
      </c>
      <c r="X201" s="23">
        <f>mwac*hours*cf_p50*Energy!X$7*x_scale</f>
        <v/>
      </c>
      <c r="Y201" s="23">
        <f>mwac*hours*cf_p50*Energy!Y$7*x_scale</f>
        <v/>
      </c>
      <c r="Z201" s="23">
        <f>mwac*hours*cf_p50*Energy!Z$7*x_scale</f>
        <v/>
      </c>
      <c r="AA201" s="23">
        <f>mwac*hours*cf_p50*Energy!AA$7*x_scale</f>
        <v/>
      </c>
      <c r="AB201" s="23">
        <f>mwac*hours*cf_p50*Energy!AB$7*x_scale</f>
        <v/>
      </c>
      <c r="AC201" s="23">
        <f>mwac*hours*cf_p50*Energy!AC$7*x_scale</f>
        <v/>
      </c>
      <c r="AD201" s="23">
        <f>mwac*hours*cf_p50*Energy!AD$7*x_scale</f>
        <v/>
      </c>
      <c r="AE201" s="23">
        <f>mwac*hours*cf_p50*Energy!AE$7*x_scale</f>
        <v/>
      </c>
      <c r="AF201" s="23">
        <f>mwac*hours*cf_p50*Energy!AF$7*x_scale</f>
        <v/>
      </c>
      <c r="AG201" s="23">
        <f>mwac*hours*cf_p50*Energy!AG$7*x_scale</f>
        <v/>
      </c>
      <c r="AH201" s="23">
        <f>mwac*hours*cf_p50*Energy!AH$7*x_scale</f>
        <v/>
      </c>
      <c r="AI201" s="23">
        <f>mwac*hours*cf_p50*Energy!AI$7*x_scale</f>
        <v/>
      </c>
      <c r="AJ201" s="23">
        <f>mwac*hours*cf_p50*Energy!AJ$7*x_scale</f>
        <v/>
      </c>
      <c r="AK201" s="23">
        <f>mwac*hours*cf_p50*Energy!AK$7*x_scale</f>
        <v/>
      </c>
      <c r="AL201" s="23">
        <f>mwac*hours*cf_p50*Energy!AL$7*x_scale</f>
        <v/>
      </c>
    </row>
    <row r="202">
      <c r="B202" s="7" t="inlineStr">
        <is>
          <t>Node price, hub switch applied ($/MWh)</t>
        </is>
      </c>
      <c r="D202" s="32">
        <f>Market!D$7*(1+sens_hub)*Market!D$8+Market!D$10</f>
        <v/>
      </c>
      <c r="E202" s="32">
        <f>Market!E$7*(1+sens_hub)*Market!E$8+Market!E$10</f>
        <v/>
      </c>
      <c r="F202" s="32">
        <f>Market!F$7*(1+sens_hub)*Market!F$8+Market!F$10</f>
        <v/>
      </c>
      <c r="G202" s="32">
        <f>Market!G$7*(1+sens_hub)*Market!G$8+Market!G$10</f>
        <v/>
      </c>
      <c r="H202" s="32">
        <f>Market!H$7*(1+sens_hub)*Market!H$8+Market!H$10</f>
        <v/>
      </c>
      <c r="I202" s="32">
        <f>Market!I$7*(1+sens_hub)*Market!I$8+Market!I$10</f>
        <v/>
      </c>
      <c r="J202" s="32">
        <f>Market!J$7*(1+sens_hub)*Market!J$8+Market!J$10</f>
        <v/>
      </c>
      <c r="K202" s="32">
        <f>Market!K$7*(1+sens_hub)*Market!K$8+Market!K$10</f>
        <v/>
      </c>
      <c r="L202" s="32">
        <f>Market!L$7*(1+sens_hub)*Market!L$8+Market!L$10</f>
        <v/>
      </c>
      <c r="M202" s="32">
        <f>Market!M$7*(1+sens_hub)*Market!M$8+Market!M$10</f>
        <v/>
      </c>
      <c r="N202" s="32">
        <f>Market!N$7*(1+sens_hub)*Market!N$8+Market!N$10</f>
        <v/>
      </c>
      <c r="O202" s="32">
        <f>Market!O$7*(1+sens_hub)*Market!O$8+Market!O$10</f>
        <v/>
      </c>
      <c r="P202" s="32">
        <f>Market!P$7*(1+sens_hub)*Market!P$8+Market!P$10</f>
        <v/>
      </c>
      <c r="Q202" s="32">
        <f>Market!Q$7*(1+sens_hub)*Market!Q$8+Market!Q$10</f>
        <v/>
      </c>
      <c r="R202" s="32">
        <f>Market!R$7*(1+sens_hub)*Market!R$8+Market!R$10</f>
        <v/>
      </c>
      <c r="S202" s="32">
        <f>Market!S$7*(1+sens_hub)*Market!S$8+Market!S$10</f>
        <v/>
      </c>
      <c r="T202" s="32">
        <f>Market!T$7*(1+sens_hub)*Market!T$8+Market!T$10</f>
        <v/>
      </c>
      <c r="U202" s="32">
        <f>Market!U$7*(1+sens_hub)*Market!U$8+Market!U$10</f>
        <v/>
      </c>
      <c r="V202" s="32">
        <f>Market!V$7*(1+sens_hub)*Market!V$8+Market!V$10</f>
        <v/>
      </c>
      <c r="W202" s="32">
        <f>Market!W$7*(1+sens_hub)*Market!W$8+Market!W$10</f>
        <v/>
      </c>
      <c r="X202" s="32">
        <f>Market!X$7*(1+sens_hub)*Market!X$8+Market!X$10</f>
        <v/>
      </c>
      <c r="Y202" s="32">
        <f>Market!Y$7*(1+sens_hub)*Market!Y$8+Market!Y$10</f>
        <v/>
      </c>
      <c r="Z202" s="32">
        <f>Market!Z$7*(1+sens_hub)*Market!Z$8+Market!Z$10</f>
        <v/>
      </c>
      <c r="AA202" s="32">
        <f>Market!AA$7*(1+sens_hub)*Market!AA$8+Market!AA$10</f>
        <v/>
      </c>
      <c r="AB202" s="32">
        <f>Market!AB$7*(1+sens_hub)*Market!AB$8+Market!AB$10</f>
        <v/>
      </c>
      <c r="AC202" s="32">
        <f>Market!AC$7*(1+sens_hub)*Market!AC$8+Market!AC$10</f>
        <v/>
      </c>
      <c r="AD202" s="32">
        <f>Market!AD$7*(1+sens_hub)*Market!AD$8+Market!AD$10</f>
        <v/>
      </c>
      <c r="AE202" s="32">
        <f>Market!AE$7*(1+sens_hub)*Market!AE$8+Market!AE$10</f>
        <v/>
      </c>
      <c r="AF202" s="32">
        <f>Market!AF$7*(1+sens_hub)*Market!AF$8+Market!AF$10</f>
        <v/>
      </c>
      <c r="AG202" s="32">
        <f>Market!AG$7*(1+sens_hub)*Market!AG$8+Market!AG$10</f>
        <v/>
      </c>
      <c r="AH202" s="32">
        <f>Market!AH$7*(1+sens_hub)*Market!AH$8+Market!AH$10</f>
        <v/>
      </c>
      <c r="AI202" s="32">
        <f>Market!AI$7*(1+sens_hub)*Market!AI$8+Market!AI$10</f>
        <v/>
      </c>
      <c r="AJ202" s="32">
        <f>Market!AJ$7*(1+sens_hub)*Market!AJ$8+Market!AJ$10</f>
        <v/>
      </c>
      <c r="AK202" s="32">
        <f>Market!AK$7*(1+sens_hub)*Market!AK$8+Market!AK$10</f>
        <v/>
      </c>
      <c r="AL202" s="32">
        <f>Market!AL$7*(1+sens_hub)*Market!AL$8+Market!AL$10</f>
        <v/>
      </c>
    </row>
    <row r="203">
      <c r="B203" s="7" t="inlineStr">
        <is>
          <t>Contracted revenue ($)</t>
        </is>
      </c>
      <c r="D203" s="25">
        <f>IF(D$5&lt;c_years,D201*c_price,0)</f>
        <v/>
      </c>
      <c r="E203" s="25">
        <f>IF(E$5&lt;c_years,E201*c_price,0)</f>
        <v/>
      </c>
      <c r="F203" s="25">
        <f>IF(F$5&lt;c_years,F201*c_price,0)</f>
        <v/>
      </c>
      <c r="G203" s="25">
        <f>IF(G$5&lt;c_years,G201*c_price,0)</f>
        <v/>
      </c>
      <c r="H203" s="25">
        <f>IF(H$5&lt;c_years,H201*c_price,0)</f>
        <v/>
      </c>
      <c r="I203" s="25">
        <f>IF(I$5&lt;c_years,I201*c_price,0)</f>
        <v/>
      </c>
      <c r="J203" s="25">
        <f>IF(J$5&lt;c_years,J201*c_price,0)</f>
        <v/>
      </c>
      <c r="K203" s="25">
        <f>IF(K$5&lt;c_years,K201*c_price,0)</f>
        <v/>
      </c>
      <c r="L203" s="25">
        <f>IF(L$5&lt;c_years,L201*c_price,0)</f>
        <v/>
      </c>
      <c r="M203" s="25">
        <f>IF(M$5&lt;c_years,M201*c_price,0)</f>
        <v/>
      </c>
      <c r="N203" s="25">
        <f>IF(N$5&lt;c_years,N201*c_price,0)</f>
        <v/>
      </c>
      <c r="O203" s="25">
        <f>IF(O$5&lt;c_years,O201*c_price,0)</f>
        <v/>
      </c>
      <c r="P203" s="25">
        <f>IF(P$5&lt;c_years,P201*c_price,0)</f>
        <v/>
      </c>
      <c r="Q203" s="25">
        <f>IF(Q$5&lt;c_years,Q201*c_price,0)</f>
        <v/>
      </c>
      <c r="R203" s="25">
        <f>IF(R$5&lt;c_years,R201*c_price,0)</f>
        <v/>
      </c>
      <c r="S203" s="25">
        <f>IF(S$5&lt;c_years,S201*c_price,0)</f>
        <v/>
      </c>
      <c r="T203" s="25">
        <f>IF(T$5&lt;c_years,T201*c_price,0)</f>
        <v/>
      </c>
      <c r="U203" s="25">
        <f>IF(U$5&lt;c_years,U201*c_price,0)</f>
        <v/>
      </c>
      <c r="V203" s="25">
        <f>IF(V$5&lt;c_years,V201*c_price,0)</f>
        <v/>
      </c>
      <c r="W203" s="25">
        <f>IF(W$5&lt;c_years,W201*c_price,0)</f>
        <v/>
      </c>
      <c r="X203" s="25">
        <f>IF(X$5&lt;c_years,X201*c_price,0)</f>
        <v/>
      </c>
      <c r="Y203" s="25">
        <f>IF(Y$5&lt;c_years,Y201*c_price,0)</f>
        <v/>
      </c>
      <c r="Z203" s="25">
        <f>IF(Z$5&lt;c_years,Z201*c_price,0)</f>
        <v/>
      </c>
      <c r="AA203" s="25">
        <f>IF(AA$5&lt;c_years,AA201*c_price,0)</f>
        <v/>
      </c>
      <c r="AB203" s="25">
        <f>IF(AB$5&lt;c_years,AB201*c_price,0)</f>
        <v/>
      </c>
      <c r="AC203" s="25">
        <f>IF(AC$5&lt;c_years,AC201*c_price,0)</f>
        <v/>
      </c>
      <c r="AD203" s="25">
        <f>IF(AD$5&lt;c_years,AD201*c_price,0)</f>
        <v/>
      </c>
      <c r="AE203" s="25">
        <f>IF(AE$5&lt;c_years,AE201*c_price,0)</f>
        <v/>
      </c>
      <c r="AF203" s="25">
        <f>IF(AF$5&lt;c_years,AF201*c_price,0)</f>
        <v/>
      </c>
      <c r="AG203" s="25">
        <f>IF(AG$5&lt;c_years,AG201*c_price,0)</f>
        <v/>
      </c>
      <c r="AH203" s="25">
        <f>IF(AH$5&lt;c_years,AH201*c_price,0)</f>
        <v/>
      </c>
      <c r="AI203" s="25">
        <f>IF(AI$5&lt;c_years,AI201*c_price,0)</f>
        <v/>
      </c>
      <c r="AJ203" s="25">
        <f>IF(AJ$5&lt;c_years,AJ201*c_price,0)</f>
        <v/>
      </c>
      <c r="AK203" s="25">
        <f>IF(AK$5&lt;c_years,AK201*c_price,0)</f>
        <v/>
      </c>
      <c r="AL203" s="25">
        <f>IF(AL$5&lt;c_years,AL201*c_price,0)</f>
        <v/>
      </c>
    </row>
    <row r="204">
      <c r="B204" s="7" t="inlineStr">
        <is>
          <t>Merchant revenue ($)</t>
        </is>
      </c>
      <c r="D204" s="25">
        <f>IF(D$5&lt;c_years,Market!D$13,D201*(D202+rec_price)+Market!D$13)</f>
        <v/>
      </c>
      <c r="E204" s="25">
        <f>IF(E$5&lt;c_years,Market!E$13,E201*(E202+rec_price)+Market!E$13)</f>
        <v/>
      </c>
      <c r="F204" s="25">
        <f>IF(F$5&lt;c_years,Market!F$13,F201*(F202+rec_price)+Market!F$13)</f>
        <v/>
      </c>
      <c r="G204" s="25">
        <f>IF(G$5&lt;c_years,Market!G$13,G201*(G202+rec_price)+Market!G$13)</f>
        <v/>
      </c>
      <c r="H204" s="25">
        <f>IF(H$5&lt;c_years,Market!H$13,H201*(H202+rec_price)+Market!H$13)</f>
        <v/>
      </c>
      <c r="I204" s="25">
        <f>IF(I$5&lt;c_years,Market!I$13,I201*(I202+rec_price)+Market!I$13)</f>
        <v/>
      </c>
      <c r="J204" s="25">
        <f>IF(J$5&lt;c_years,Market!J$13,J201*(J202+rec_price)+Market!J$13)</f>
        <v/>
      </c>
      <c r="K204" s="25">
        <f>IF(K$5&lt;c_years,Market!K$13,K201*(K202+rec_price)+Market!K$13)</f>
        <v/>
      </c>
      <c r="L204" s="25">
        <f>IF(L$5&lt;c_years,Market!L$13,L201*(L202+rec_price)+Market!L$13)</f>
        <v/>
      </c>
      <c r="M204" s="25">
        <f>IF(M$5&lt;c_years,Market!M$13,M201*(M202+rec_price)+Market!M$13)</f>
        <v/>
      </c>
      <c r="N204" s="25">
        <f>IF(N$5&lt;c_years,Market!N$13,N201*(N202+rec_price)+Market!N$13)</f>
        <v/>
      </c>
      <c r="O204" s="25">
        <f>IF(O$5&lt;c_years,Market!O$13,O201*(O202+rec_price)+Market!O$13)</f>
        <v/>
      </c>
      <c r="P204" s="25">
        <f>IF(P$5&lt;c_years,Market!P$13,P201*(P202+rec_price)+Market!P$13)</f>
        <v/>
      </c>
      <c r="Q204" s="25">
        <f>IF(Q$5&lt;c_years,Market!Q$13,Q201*(Q202+rec_price)+Market!Q$13)</f>
        <v/>
      </c>
      <c r="R204" s="25">
        <f>IF(R$5&lt;c_years,Market!R$13,R201*(R202+rec_price)+Market!R$13)</f>
        <v/>
      </c>
      <c r="S204" s="25">
        <f>IF(S$5&lt;c_years,Market!S$13,S201*(S202+rec_price)+Market!S$13)</f>
        <v/>
      </c>
      <c r="T204" s="25">
        <f>IF(T$5&lt;c_years,Market!T$13,T201*(T202+rec_price)+Market!T$13)</f>
        <v/>
      </c>
      <c r="U204" s="25">
        <f>IF(U$5&lt;c_years,Market!U$13,U201*(U202+rec_price)+Market!U$13)</f>
        <v/>
      </c>
      <c r="V204" s="25">
        <f>IF(V$5&lt;c_years,Market!V$13,V201*(V202+rec_price)+Market!V$13)</f>
        <v/>
      </c>
      <c r="W204" s="25">
        <f>IF(W$5&lt;c_years,Market!W$13,W201*(W202+rec_price)+Market!W$13)</f>
        <v/>
      </c>
      <c r="X204" s="25">
        <f>IF(X$5&lt;c_years,Market!X$13,X201*(X202+rec_price)+Market!X$13)</f>
        <v/>
      </c>
      <c r="Y204" s="25">
        <f>IF(Y$5&lt;c_years,Market!Y$13,Y201*(Y202+rec_price)+Market!Y$13)</f>
        <v/>
      </c>
      <c r="Z204" s="25">
        <f>IF(Z$5&lt;c_years,Market!Z$13,Z201*(Z202+rec_price)+Market!Z$13)</f>
        <v/>
      </c>
      <c r="AA204" s="25">
        <f>IF(AA$5&lt;c_years,Market!AA$13,AA201*(AA202+rec_price)+Market!AA$13)</f>
        <v/>
      </c>
      <c r="AB204" s="25">
        <f>IF(AB$5&lt;c_years,Market!AB$13,AB201*(AB202+rec_price)+Market!AB$13)</f>
        <v/>
      </c>
      <c r="AC204" s="25">
        <f>IF(AC$5&lt;c_years,Market!AC$13,AC201*(AC202+rec_price)+Market!AC$13)</f>
        <v/>
      </c>
      <c r="AD204" s="25">
        <f>IF(AD$5&lt;c_years,Market!AD$13,AD201*(AD202+rec_price)+Market!AD$13)</f>
        <v/>
      </c>
      <c r="AE204" s="25">
        <f>IF(AE$5&lt;c_years,Market!AE$13,AE201*(AE202+rec_price)+Market!AE$13)</f>
        <v/>
      </c>
      <c r="AF204" s="25">
        <f>IF(AF$5&lt;c_years,Market!AF$13,AF201*(AF202+rec_price)+Market!AF$13)</f>
        <v/>
      </c>
      <c r="AG204" s="25">
        <f>IF(AG$5&lt;c_years,Market!AG$13,AG201*(AG202+rec_price)+Market!AG$13)</f>
        <v/>
      </c>
      <c r="AH204" s="25">
        <f>IF(AH$5&lt;c_years,Market!AH$13,AH201*(AH202+rec_price)+Market!AH$13)</f>
        <v/>
      </c>
      <c r="AI204" s="25">
        <f>IF(AI$5&lt;c_years,Market!AI$13,AI201*(AI202+rec_price)+Market!AI$13)</f>
        <v/>
      </c>
      <c r="AJ204" s="25">
        <f>IF(AJ$5&lt;c_years,Market!AJ$13,AJ201*(AJ202+rec_price)+Market!AJ$13)</f>
        <v/>
      </c>
      <c r="AK204" s="25">
        <f>IF(AK$5&lt;c_years,Market!AK$13,AK201*(AK202+rec_price)+Market!AK$13)</f>
        <v/>
      </c>
      <c r="AL204" s="25">
        <f>IF(AL$5&lt;c_years,Market!AL$13,AL201*(AL202+rec_price)+Market!AL$13)</f>
        <v/>
      </c>
    </row>
    <row r="205">
      <c r="B205" s="7" t="inlineStr">
        <is>
          <t>Basis cost kept by the project ($)</t>
        </is>
      </c>
      <c r="D205" s="25">
        <f>IF(D$5&lt;c_years,-D201*Market!D$10,0)</f>
        <v/>
      </c>
      <c r="E205" s="25">
        <f>IF(E$5&lt;c_years,-E201*Market!E$10,0)</f>
        <v/>
      </c>
      <c r="F205" s="25">
        <f>IF(F$5&lt;c_years,-F201*Market!F$10,0)</f>
        <v/>
      </c>
      <c r="G205" s="25">
        <f>IF(G$5&lt;c_years,-G201*Market!G$10,0)</f>
        <v/>
      </c>
      <c r="H205" s="25">
        <f>IF(H$5&lt;c_years,-H201*Market!H$10,0)</f>
        <v/>
      </c>
      <c r="I205" s="25">
        <f>IF(I$5&lt;c_years,-I201*Market!I$10,0)</f>
        <v/>
      </c>
      <c r="J205" s="25">
        <f>IF(J$5&lt;c_years,-J201*Market!J$10,0)</f>
        <v/>
      </c>
      <c r="K205" s="25">
        <f>IF(K$5&lt;c_years,-K201*Market!K$10,0)</f>
        <v/>
      </c>
      <c r="L205" s="25">
        <f>IF(L$5&lt;c_years,-L201*Market!L$10,0)</f>
        <v/>
      </c>
      <c r="M205" s="25">
        <f>IF(M$5&lt;c_years,-M201*Market!M$10,0)</f>
        <v/>
      </c>
      <c r="N205" s="25">
        <f>IF(N$5&lt;c_years,-N201*Market!N$10,0)</f>
        <v/>
      </c>
      <c r="O205" s="25">
        <f>IF(O$5&lt;c_years,-O201*Market!O$10,0)</f>
        <v/>
      </c>
      <c r="P205" s="25">
        <f>IF(P$5&lt;c_years,-P201*Market!P$10,0)</f>
        <v/>
      </c>
      <c r="Q205" s="25">
        <f>IF(Q$5&lt;c_years,-Q201*Market!Q$10,0)</f>
        <v/>
      </c>
      <c r="R205" s="25">
        <f>IF(R$5&lt;c_years,-R201*Market!R$10,0)</f>
        <v/>
      </c>
      <c r="S205" s="25">
        <f>IF(S$5&lt;c_years,-S201*Market!S$10,0)</f>
        <v/>
      </c>
      <c r="T205" s="25">
        <f>IF(T$5&lt;c_years,-T201*Market!T$10,0)</f>
        <v/>
      </c>
      <c r="U205" s="25">
        <f>IF(U$5&lt;c_years,-U201*Market!U$10,0)</f>
        <v/>
      </c>
      <c r="V205" s="25">
        <f>IF(V$5&lt;c_years,-V201*Market!V$10,0)</f>
        <v/>
      </c>
      <c r="W205" s="25">
        <f>IF(W$5&lt;c_years,-W201*Market!W$10,0)</f>
        <v/>
      </c>
      <c r="X205" s="25">
        <f>IF(X$5&lt;c_years,-X201*Market!X$10,0)</f>
        <v/>
      </c>
      <c r="Y205" s="25">
        <f>IF(Y$5&lt;c_years,-Y201*Market!Y$10,0)</f>
        <v/>
      </c>
      <c r="Z205" s="25">
        <f>IF(Z$5&lt;c_years,-Z201*Market!Z$10,0)</f>
        <v/>
      </c>
      <c r="AA205" s="25">
        <f>IF(AA$5&lt;c_years,-AA201*Market!AA$10,0)</f>
        <v/>
      </c>
      <c r="AB205" s="25">
        <f>IF(AB$5&lt;c_years,-AB201*Market!AB$10,0)</f>
        <v/>
      </c>
      <c r="AC205" s="25">
        <f>IF(AC$5&lt;c_years,-AC201*Market!AC$10,0)</f>
        <v/>
      </c>
      <c r="AD205" s="25">
        <f>IF(AD$5&lt;c_years,-AD201*Market!AD$10,0)</f>
        <v/>
      </c>
      <c r="AE205" s="25">
        <f>IF(AE$5&lt;c_years,-AE201*Market!AE$10,0)</f>
        <v/>
      </c>
      <c r="AF205" s="25">
        <f>IF(AF$5&lt;c_years,-AF201*Market!AF$10,0)</f>
        <v/>
      </c>
      <c r="AG205" s="25">
        <f>IF(AG$5&lt;c_years,-AG201*Market!AG$10,0)</f>
        <v/>
      </c>
      <c r="AH205" s="25">
        <f>IF(AH$5&lt;c_years,-AH201*Market!AH$10,0)</f>
        <v/>
      </c>
      <c r="AI205" s="25">
        <f>IF(AI$5&lt;c_years,-AI201*Market!AI$10,0)</f>
        <v/>
      </c>
      <c r="AJ205" s="25">
        <f>IF(AJ$5&lt;c_years,-AJ201*Market!AJ$10,0)</f>
        <v/>
      </c>
      <c r="AK205" s="25">
        <f>IF(AK$5&lt;c_years,-AK201*Market!AK$10,0)</f>
        <v/>
      </c>
      <c r="AL205" s="25">
        <f>IF(AL$5&lt;c_years,-AL201*Market!AL$10,0)</f>
        <v/>
      </c>
    </row>
    <row r="206">
      <c r="B206" s="7" t="inlineStr">
        <is>
          <t>Operating cost ($)</t>
        </is>
      </c>
      <c r="D206" s="25">
        <f>(om_kw*mwac*1000+ins_rate*$C$198+am_cost+prop_tax+misc_cost)*Opex!D$7+rent_acre*acres_lease*Opex!D$8</f>
        <v/>
      </c>
      <c r="E206" s="25">
        <f>(om_kw*mwac*1000+ins_rate*$C$198+am_cost+prop_tax+misc_cost)*Opex!E$7+rent_acre*acres_lease*Opex!E$8</f>
        <v/>
      </c>
      <c r="F206" s="25">
        <f>(om_kw*mwac*1000+ins_rate*$C$198+am_cost+prop_tax+misc_cost)*Opex!F$7+rent_acre*acres_lease*Opex!F$8</f>
        <v/>
      </c>
      <c r="G206" s="25">
        <f>(om_kw*mwac*1000+ins_rate*$C$198+am_cost+prop_tax+misc_cost)*Opex!G$7+rent_acre*acres_lease*Opex!G$8</f>
        <v/>
      </c>
      <c r="H206" s="25">
        <f>(om_kw*mwac*1000+ins_rate*$C$198+am_cost+prop_tax+misc_cost)*Opex!H$7+rent_acre*acres_lease*Opex!H$8</f>
        <v/>
      </c>
      <c r="I206" s="25">
        <f>(om_kw*mwac*1000+ins_rate*$C$198+am_cost+prop_tax+misc_cost)*Opex!I$7+rent_acre*acres_lease*Opex!I$8</f>
        <v/>
      </c>
      <c r="J206" s="25">
        <f>(om_kw*mwac*1000+ins_rate*$C$198+am_cost+prop_tax+misc_cost)*Opex!J$7+rent_acre*acres_lease*Opex!J$8</f>
        <v/>
      </c>
      <c r="K206" s="25">
        <f>(om_kw*mwac*1000+ins_rate*$C$198+am_cost+prop_tax+misc_cost)*Opex!K$7+rent_acre*acres_lease*Opex!K$8</f>
        <v/>
      </c>
      <c r="L206" s="25">
        <f>(om_kw*mwac*1000+ins_rate*$C$198+am_cost+prop_tax+misc_cost)*Opex!L$7+rent_acre*acres_lease*Opex!L$8</f>
        <v/>
      </c>
      <c r="M206" s="25">
        <f>(om_kw*mwac*1000+ins_rate*$C$198+am_cost+prop_tax+misc_cost)*Opex!M$7+rent_acre*acres_lease*Opex!M$8</f>
        <v/>
      </c>
      <c r="N206" s="25">
        <f>(om_kw*mwac*1000+ins_rate*$C$198+am_cost+prop_tax+misc_cost)*Opex!N$7+rent_acre*acres_lease*Opex!N$8</f>
        <v/>
      </c>
      <c r="O206" s="25">
        <f>(om_kw*mwac*1000+ins_rate*$C$198+am_cost+prop_tax+misc_cost)*Opex!O$7+rent_acre*acres_lease*Opex!O$8</f>
        <v/>
      </c>
      <c r="P206" s="25">
        <f>(om_kw*mwac*1000+ins_rate*$C$198+am_cost+prop_tax+misc_cost)*Opex!P$7+rent_acre*acres_lease*Opex!P$8</f>
        <v/>
      </c>
      <c r="Q206" s="25">
        <f>(om_kw*mwac*1000+ins_rate*$C$198+am_cost+prop_tax+misc_cost)*Opex!Q$7+rent_acre*acres_lease*Opex!Q$8</f>
        <v/>
      </c>
      <c r="R206" s="25">
        <f>(om_kw*mwac*1000+ins_rate*$C$198+am_cost+prop_tax+misc_cost)*Opex!R$7+rent_acre*acres_lease*Opex!R$8</f>
        <v/>
      </c>
      <c r="S206" s="25">
        <f>(om_kw*mwac*1000+ins_rate*$C$198+am_cost+prop_tax+misc_cost)*Opex!S$7+rent_acre*acres_lease*Opex!S$8</f>
        <v/>
      </c>
      <c r="T206" s="25">
        <f>(om_kw*mwac*1000+ins_rate*$C$198+am_cost+prop_tax+misc_cost)*Opex!T$7+rent_acre*acres_lease*Opex!T$8</f>
        <v/>
      </c>
      <c r="U206" s="25">
        <f>(om_kw*mwac*1000+ins_rate*$C$198+am_cost+prop_tax+misc_cost)*Opex!U$7+rent_acre*acres_lease*Opex!U$8</f>
        <v/>
      </c>
      <c r="V206" s="25">
        <f>(om_kw*mwac*1000+ins_rate*$C$198+am_cost+prop_tax+misc_cost)*Opex!V$7+rent_acre*acres_lease*Opex!V$8</f>
        <v/>
      </c>
      <c r="W206" s="25">
        <f>(om_kw*mwac*1000+ins_rate*$C$198+am_cost+prop_tax+misc_cost)*Opex!W$7+rent_acre*acres_lease*Opex!W$8</f>
        <v/>
      </c>
      <c r="X206" s="25">
        <f>(om_kw*mwac*1000+ins_rate*$C$198+am_cost+prop_tax+misc_cost)*Opex!X$7+rent_acre*acres_lease*Opex!X$8</f>
        <v/>
      </c>
      <c r="Y206" s="25">
        <f>(om_kw*mwac*1000+ins_rate*$C$198+am_cost+prop_tax+misc_cost)*Opex!Y$7+rent_acre*acres_lease*Opex!Y$8</f>
        <v/>
      </c>
      <c r="Z206" s="25">
        <f>(om_kw*mwac*1000+ins_rate*$C$198+am_cost+prop_tax+misc_cost)*Opex!Z$7+rent_acre*acres_lease*Opex!Z$8</f>
        <v/>
      </c>
      <c r="AA206" s="25">
        <f>(om_kw*mwac*1000+ins_rate*$C$198+am_cost+prop_tax+misc_cost)*Opex!AA$7+rent_acre*acres_lease*Opex!AA$8</f>
        <v/>
      </c>
      <c r="AB206" s="25">
        <f>(om_kw*mwac*1000+ins_rate*$C$198+am_cost+prop_tax+misc_cost)*Opex!AB$7+rent_acre*acres_lease*Opex!AB$8</f>
        <v/>
      </c>
      <c r="AC206" s="25">
        <f>(om_kw*mwac*1000+ins_rate*$C$198+am_cost+prop_tax+misc_cost)*Opex!AC$7+rent_acre*acres_lease*Opex!AC$8</f>
        <v/>
      </c>
      <c r="AD206" s="25">
        <f>(om_kw*mwac*1000+ins_rate*$C$198+am_cost+prop_tax+misc_cost)*Opex!AD$7+rent_acre*acres_lease*Opex!AD$8</f>
        <v/>
      </c>
      <c r="AE206" s="25">
        <f>(om_kw*mwac*1000+ins_rate*$C$198+am_cost+prop_tax+misc_cost)*Opex!AE$7+rent_acre*acres_lease*Opex!AE$8</f>
        <v/>
      </c>
      <c r="AF206" s="25">
        <f>(om_kw*mwac*1000+ins_rate*$C$198+am_cost+prop_tax+misc_cost)*Opex!AF$7+rent_acre*acres_lease*Opex!AF$8</f>
        <v/>
      </c>
      <c r="AG206" s="25">
        <f>(om_kw*mwac*1000+ins_rate*$C$198+am_cost+prop_tax+misc_cost)*Opex!AG$7+rent_acre*acres_lease*Opex!AG$8</f>
        <v/>
      </c>
      <c r="AH206" s="25">
        <f>(om_kw*mwac*1000+ins_rate*$C$198+am_cost+prop_tax+misc_cost)*Opex!AH$7+rent_acre*acres_lease*Opex!AH$8</f>
        <v/>
      </c>
      <c r="AI206" s="25">
        <f>(om_kw*mwac*1000+ins_rate*$C$198+am_cost+prop_tax+misc_cost)*Opex!AI$7+rent_acre*acres_lease*Opex!AI$8</f>
        <v/>
      </c>
      <c r="AJ206" s="25">
        <f>(om_kw*mwac*1000+ins_rate*$C$198+am_cost+prop_tax+misc_cost)*Opex!AJ$7+rent_acre*acres_lease*Opex!AJ$8</f>
        <v/>
      </c>
      <c r="AK206" s="25">
        <f>(om_kw*mwac*1000+ins_rate*$C$198+am_cost+prop_tax+misc_cost)*Opex!AK$7+rent_acre*acres_lease*Opex!AK$8</f>
        <v/>
      </c>
      <c r="AL206" s="25">
        <f>(om_kw*mwac*1000+ins_rate*$C$198+am_cost+prop_tax+misc_cost)*Opex!AL$7+rent_acre*acres_lease*Opex!AL$8</f>
        <v/>
      </c>
    </row>
    <row r="207">
      <c r="B207" s="7" t="inlineStr">
        <is>
          <t>Credit cash ($)</t>
        </is>
      </c>
      <c r="D207" s="25">
        <f>IF(sw_credit="PTC",IF(D$5&lt;ptc_years,D201*Credits!D$8*(1+sw_bonus)*transfer_ptc,0),0)+IF(D$5=0,$C$200,0)</f>
        <v/>
      </c>
      <c r="E207" s="25">
        <f>IF(sw_credit="PTC",IF(E$5&lt;ptc_years,E201*Credits!E$8*(1+sw_bonus)*transfer_ptc,0),0)+IF(E$5=0,$C$200,0)</f>
        <v/>
      </c>
      <c r="F207" s="25">
        <f>IF(sw_credit="PTC",IF(F$5&lt;ptc_years,F201*Credits!F$8*(1+sw_bonus)*transfer_ptc,0),0)+IF(F$5=0,$C$200,0)</f>
        <v/>
      </c>
      <c r="G207" s="25">
        <f>IF(sw_credit="PTC",IF(G$5&lt;ptc_years,G201*Credits!G$8*(1+sw_bonus)*transfer_ptc,0),0)+IF(G$5=0,$C$200,0)</f>
        <v/>
      </c>
      <c r="H207" s="25">
        <f>IF(sw_credit="PTC",IF(H$5&lt;ptc_years,H201*Credits!H$8*(1+sw_bonus)*transfer_ptc,0),0)+IF(H$5=0,$C$200,0)</f>
        <v/>
      </c>
      <c r="I207" s="25">
        <f>IF(sw_credit="PTC",IF(I$5&lt;ptc_years,I201*Credits!I$8*(1+sw_bonus)*transfer_ptc,0),0)+IF(I$5=0,$C$200,0)</f>
        <v/>
      </c>
      <c r="J207" s="25">
        <f>IF(sw_credit="PTC",IF(J$5&lt;ptc_years,J201*Credits!J$8*(1+sw_bonus)*transfer_ptc,0),0)+IF(J$5=0,$C$200,0)</f>
        <v/>
      </c>
      <c r="K207" s="25">
        <f>IF(sw_credit="PTC",IF(K$5&lt;ptc_years,K201*Credits!K$8*(1+sw_bonus)*transfer_ptc,0),0)+IF(K$5=0,$C$200,0)</f>
        <v/>
      </c>
      <c r="L207" s="25">
        <f>IF(sw_credit="PTC",IF(L$5&lt;ptc_years,L201*Credits!L$8*(1+sw_bonus)*transfer_ptc,0),0)+IF(L$5=0,$C$200,0)</f>
        <v/>
      </c>
      <c r="M207" s="25">
        <f>IF(sw_credit="PTC",IF(M$5&lt;ptc_years,M201*Credits!M$8*(1+sw_bonus)*transfer_ptc,0),0)+IF(M$5=0,$C$200,0)</f>
        <v/>
      </c>
      <c r="N207" s="25">
        <f>IF(sw_credit="PTC",IF(N$5&lt;ptc_years,N201*Credits!N$8*(1+sw_bonus)*transfer_ptc,0),0)+IF(N$5=0,$C$200,0)</f>
        <v/>
      </c>
      <c r="O207" s="25">
        <f>IF(sw_credit="PTC",IF(O$5&lt;ptc_years,O201*Credits!O$8*(1+sw_bonus)*transfer_ptc,0),0)+IF(O$5=0,$C$200,0)</f>
        <v/>
      </c>
      <c r="P207" s="25">
        <f>IF(sw_credit="PTC",IF(P$5&lt;ptc_years,P201*Credits!P$8*(1+sw_bonus)*transfer_ptc,0),0)+IF(P$5=0,$C$200,0)</f>
        <v/>
      </c>
      <c r="Q207" s="25">
        <f>IF(sw_credit="PTC",IF(Q$5&lt;ptc_years,Q201*Credits!Q$8*(1+sw_bonus)*transfer_ptc,0),0)+IF(Q$5=0,$C$200,0)</f>
        <v/>
      </c>
      <c r="R207" s="25">
        <f>IF(sw_credit="PTC",IF(R$5&lt;ptc_years,R201*Credits!R$8*(1+sw_bonus)*transfer_ptc,0),0)+IF(R$5=0,$C$200,0)</f>
        <v/>
      </c>
      <c r="S207" s="25">
        <f>IF(sw_credit="PTC",IF(S$5&lt;ptc_years,S201*Credits!S$8*(1+sw_bonus)*transfer_ptc,0),0)+IF(S$5=0,$C$200,0)</f>
        <v/>
      </c>
      <c r="T207" s="25">
        <f>IF(sw_credit="PTC",IF(T$5&lt;ptc_years,T201*Credits!T$8*(1+sw_bonus)*transfer_ptc,0),0)+IF(T$5=0,$C$200,0)</f>
        <v/>
      </c>
      <c r="U207" s="25">
        <f>IF(sw_credit="PTC",IF(U$5&lt;ptc_years,U201*Credits!U$8*(1+sw_bonus)*transfer_ptc,0),0)+IF(U$5=0,$C$200,0)</f>
        <v/>
      </c>
      <c r="V207" s="25">
        <f>IF(sw_credit="PTC",IF(V$5&lt;ptc_years,V201*Credits!V$8*(1+sw_bonus)*transfer_ptc,0),0)+IF(V$5=0,$C$200,0)</f>
        <v/>
      </c>
      <c r="W207" s="25">
        <f>IF(sw_credit="PTC",IF(W$5&lt;ptc_years,W201*Credits!W$8*(1+sw_bonus)*transfer_ptc,0),0)+IF(W$5=0,$C$200,0)</f>
        <v/>
      </c>
      <c r="X207" s="25">
        <f>IF(sw_credit="PTC",IF(X$5&lt;ptc_years,X201*Credits!X$8*(1+sw_bonus)*transfer_ptc,0),0)+IF(X$5=0,$C$200,0)</f>
        <v/>
      </c>
      <c r="Y207" s="25">
        <f>IF(sw_credit="PTC",IF(Y$5&lt;ptc_years,Y201*Credits!Y$8*(1+sw_bonus)*transfer_ptc,0),0)+IF(Y$5=0,$C$200,0)</f>
        <v/>
      </c>
      <c r="Z207" s="25">
        <f>IF(sw_credit="PTC",IF(Z$5&lt;ptc_years,Z201*Credits!Z$8*(1+sw_bonus)*transfer_ptc,0),0)+IF(Z$5=0,$C$200,0)</f>
        <v/>
      </c>
      <c r="AA207" s="25">
        <f>IF(sw_credit="PTC",IF(AA$5&lt;ptc_years,AA201*Credits!AA$8*(1+sw_bonus)*transfer_ptc,0),0)+IF(AA$5=0,$C$200,0)</f>
        <v/>
      </c>
      <c r="AB207" s="25">
        <f>IF(sw_credit="PTC",IF(AB$5&lt;ptc_years,AB201*Credits!AB$8*(1+sw_bonus)*transfer_ptc,0),0)+IF(AB$5=0,$C$200,0)</f>
        <v/>
      </c>
      <c r="AC207" s="25">
        <f>IF(sw_credit="PTC",IF(AC$5&lt;ptc_years,AC201*Credits!AC$8*(1+sw_bonus)*transfer_ptc,0),0)+IF(AC$5=0,$C$200,0)</f>
        <v/>
      </c>
      <c r="AD207" s="25">
        <f>IF(sw_credit="PTC",IF(AD$5&lt;ptc_years,AD201*Credits!AD$8*(1+sw_bonus)*transfer_ptc,0),0)+IF(AD$5=0,$C$200,0)</f>
        <v/>
      </c>
      <c r="AE207" s="25">
        <f>IF(sw_credit="PTC",IF(AE$5&lt;ptc_years,AE201*Credits!AE$8*(1+sw_bonus)*transfer_ptc,0),0)+IF(AE$5=0,$C$200,0)</f>
        <v/>
      </c>
      <c r="AF207" s="25">
        <f>IF(sw_credit="PTC",IF(AF$5&lt;ptc_years,AF201*Credits!AF$8*(1+sw_bonus)*transfer_ptc,0),0)+IF(AF$5=0,$C$200,0)</f>
        <v/>
      </c>
      <c r="AG207" s="25">
        <f>IF(sw_credit="PTC",IF(AG$5&lt;ptc_years,AG201*Credits!AG$8*(1+sw_bonus)*transfer_ptc,0),0)+IF(AG$5=0,$C$200,0)</f>
        <v/>
      </c>
      <c r="AH207" s="25">
        <f>IF(sw_credit="PTC",IF(AH$5&lt;ptc_years,AH201*Credits!AH$8*(1+sw_bonus)*transfer_ptc,0),0)+IF(AH$5=0,$C$200,0)</f>
        <v/>
      </c>
      <c r="AI207" s="25">
        <f>IF(sw_credit="PTC",IF(AI$5&lt;ptc_years,AI201*Credits!AI$8*(1+sw_bonus)*transfer_ptc,0),0)+IF(AI$5=0,$C$200,0)</f>
        <v/>
      </c>
      <c r="AJ207" s="25">
        <f>IF(sw_credit="PTC",IF(AJ$5&lt;ptc_years,AJ201*Credits!AJ$8*(1+sw_bonus)*transfer_ptc,0),0)+IF(AJ$5=0,$C$200,0)</f>
        <v/>
      </c>
      <c r="AK207" s="25">
        <f>IF(sw_credit="PTC",IF(AK$5&lt;ptc_years,AK201*Credits!AK$8*(1+sw_bonus)*transfer_ptc,0),0)+IF(AK$5=0,$C$200,0)</f>
        <v/>
      </c>
      <c r="AL207" s="25">
        <f>IF(sw_credit="PTC",IF(AL$5&lt;ptc_years,AL201*Credits!AL$8*(1+sw_bonus)*transfer_ptc,0),0)+IF(AL$5=0,$C$200,0)</f>
        <v/>
      </c>
    </row>
    <row r="208">
      <c r="B208" s="14" t="inlineStr">
        <is>
          <t>EBITDA ($)</t>
        </is>
      </c>
      <c r="D208" s="26">
        <f>D203+D204-D205-D206</f>
        <v/>
      </c>
      <c r="E208" s="26">
        <f>E203+E204-E205-E206</f>
        <v/>
      </c>
      <c r="F208" s="26">
        <f>F203+F204-F205-F206</f>
        <v/>
      </c>
      <c r="G208" s="26">
        <f>G203+G204-G205-G206</f>
        <v/>
      </c>
      <c r="H208" s="26">
        <f>H203+H204-H205-H206</f>
        <v/>
      </c>
      <c r="I208" s="26">
        <f>I203+I204-I205-I206</f>
        <v/>
      </c>
      <c r="J208" s="26">
        <f>J203+J204-J205-J206</f>
        <v/>
      </c>
      <c r="K208" s="26">
        <f>K203+K204-K205-K206</f>
        <v/>
      </c>
      <c r="L208" s="26">
        <f>L203+L204-L205-L206</f>
        <v/>
      </c>
      <c r="M208" s="26">
        <f>M203+M204-M205-M206</f>
        <v/>
      </c>
      <c r="N208" s="26">
        <f>N203+N204-N205-N206</f>
        <v/>
      </c>
      <c r="O208" s="26">
        <f>O203+O204-O205-O206</f>
        <v/>
      </c>
      <c r="P208" s="26">
        <f>P203+P204-P205-P206</f>
        <v/>
      </c>
      <c r="Q208" s="26">
        <f>Q203+Q204-Q205-Q206</f>
        <v/>
      </c>
      <c r="R208" s="26">
        <f>R203+R204-R205-R206</f>
        <v/>
      </c>
      <c r="S208" s="26">
        <f>S203+S204-S205-S206</f>
        <v/>
      </c>
      <c r="T208" s="26">
        <f>T203+T204-T205-T206</f>
        <v/>
      </c>
      <c r="U208" s="26">
        <f>U203+U204-U205-U206</f>
        <v/>
      </c>
      <c r="V208" s="26">
        <f>V203+V204-V205-V206</f>
        <v/>
      </c>
      <c r="W208" s="26">
        <f>W203+W204-W205-W206</f>
        <v/>
      </c>
      <c r="X208" s="26">
        <f>X203+X204-X205-X206</f>
        <v/>
      </c>
      <c r="Y208" s="26">
        <f>Y203+Y204-Y205-Y206</f>
        <v/>
      </c>
      <c r="Z208" s="26">
        <f>Z203+Z204-Z205-Z206</f>
        <v/>
      </c>
      <c r="AA208" s="26">
        <f>AA203+AA204-AA205-AA206</f>
        <v/>
      </c>
      <c r="AB208" s="26">
        <f>AB203+AB204-AB205-AB206</f>
        <v/>
      </c>
      <c r="AC208" s="26">
        <f>AC203+AC204-AC205-AC206</f>
        <v/>
      </c>
      <c r="AD208" s="26">
        <f>AD203+AD204-AD205-AD206</f>
        <v/>
      </c>
      <c r="AE208" s="26">
        <f>AE203+AE204-AE205-AE206</f>
        <v/>
      </c>
      <c r="AF208" s="26">
        <f>AF203+AF204-AF205-AF206</f>
        <v/>
      </c>
      <c r="AG208" s="26">
        <f>AG203+AG204-AG205-AG206</f>
        <v/>
      </c>
      <c r="AH208" s="26">
        <f>AH203+AH204-AH205-AH206</f>
        <v/>
      </c>
      <c r="AI208" s="26">
        <f>AI203+AI204-AI205-AI206</f>
        <v/>
      </c>
      <c r="AJ208" s="26">
        <f>AJ203+AJ204-AJ205-AJ206</f>
        <v/>
      </c>
      <c r="AK208" s="26">
        <f>AK203+AK204-AK205-AK206</f>
        <v/>
      </c>
      <c r="AL208" s="26">
        <f>AL203+AL204-AL205-AL206</f>
        <v/>
      </c>
    </row>
    <row r="209">
      <c r="B209" s="7" t="inlineStr">
        <is>
          <t>Discount factor to 1 January 2027, contracted rate</t>
        </is>
      </c>
      <c r="D209" s="22">
        <f>1/(1+x_rc)^(D$5+2)</f>
        <v/>
      </c>
      <c r="E209" s="22">
        <f>1/(1+x_rc)^(E$5+2)</f>
        <v/>
      </c>
      <c r="F209" s="22">
        <f>1/(1+x_rc)^(F$5+2)</f>
        <v/>
      </c>
      <c r="G209" s="22">
        <f>1/(1+x_rc)^(G$5+2)</f>
        <v/>
      </c>
      <c r="H209" s="22">
        <f>1/(1+x_rc)^(H$5+2)</f>
        <v/>
      </c>
      <c r="I209" s="22">
        <f>1/(1+x_rc)^(I$5+2)</f>
        <v/>
      </c>
      <c r="J209" s="22">
        <f>1/(1+x_rc)^(J$5+2)</f>
        <v/>
      </c>
      <c r="K209" s="22">
        <f>1/(1+x_rc)^(K$5+2)</f>
        <v/>
      </c>
      <c r="L209" s="22">
        <f>1/(1+x_rc)^(L$5+2)</f>
        <v/>
      </c>
      <c r="M209" s="22">
        <f>1/(1+x_rc)^(M$5+2)</f>
        <v/>
      </c>
      <c r="N209" s="22">
        <f>1/(1+x_rc)^(N$5+2)</f>
        <v/>
      </c>
      <c r="O209" s="22">
        <f>1/(1+x_rc)^(O$5+2)</f>
        <v/>
      </c>
      <c r="P209" s="22">
        <f>1/(1+x_rc)^(P$5+2)</f>
        <v/>
      </c>
      <c r="Q209" s="22">
        <f>1/(1+x_rc)^(Q$5+2)</f>
        <v/>
      </c>
      <c r="R209" s="22">
        <f>1/(1+x_rc)^(R$5+2)</f>
        <v/>
      </c>
      <c r="S209" s="22">
        <f>1/(1+x_rc)^(S$5+2)</f>
        <v/>
      </c>
      <c r="T209" s="22">
        <f>1/(1+x_rc)^(T$5+2)</f>
        <v/>
      </c>
      <c r="U209" s="22">
        <f>1/(1+x_rc)^(U$5+2)</f>
        <v/>
      </c>
      <c r="V209" s="22">
        <f>1/(1+x_rc)^(V$5+2)</f>
        <v/>
      </c>
      <c r="W209" s="22">
        <f>1/(1+x_rc)^(W$5+2)</f>
        <v/>
      </c>
      <c r="X209" s="22">
        <f>1/(1+x_rc)^(X$5+2)</f>
        <v/>
      </c>
      <c r="Y209" s="22">
        <f>1/(1+x_rc)^(Y$5+2)</f>
        <v/>
      </c>
      <c r="Z209" s="22">
        <f>1/(1+x_rc)^(Z$5+2)</f>
        <v/>
      </c>
      <c r="AA209" s="22">
        <f>1/(1+x_rc)^(AA$5+2)</f>
        <v/>
      </c>
      <c r="AB209" s="22">
        <f>1/(1+x_rc)^(AB$5+2)</f>
        <v/>
      </c>
      <c r="AC209" s="22">
        <f>1/(1+x_rc)^(AC$5+2)</f>
        <v/>
      </c>
      <c r="AD209" s="22">
        <f>1/(1+x_rc)^(AD$5+2)</f>
        <v/>
      </c>
      <c r="AE209" s="22">
        <f>1/(1+x_rc)^(AE$5+2)</f>
        <v/>
      </c>
      <c r="AF209" s="22">
        <f>1/(1+x_rc)^(AF$5+2)</f>
        <v/>
      </c>
      <c r="AG209" s="22">
        <f>1/(1+x_rc)^(AG$5+2)</f>
        <v/>
      </c>
      <c r="AH209" s="22">
        <f>1/(1+x_rc)^(AH$5+2)</f>
        <v/>
      </c>
      <c r="AI209" s="22">
        <f>1/(1+x_rc)^(AI$5+2)</f>
        <v/>
      </c>
      <c r="AJ209" s="22">
        <f>1/(1+x_rc)^(AJ$5+2)</f>
        <v/>
      </c>
      <c r="AK209" s="22">
        <f>1/(1+x_rc)^(AK$5+2)</f>
        <v/>
      </c>
      <c r="AL209" s="22">
        <f>1/(1+x_rc)^(AL$5+2)</f>
        <v/>
      </c>
    </row>
    <row r="210">
      <c r="B210" s="7" t="inlineStr">
        <is>
          <t>Discount factor to 1 January 2027, merchant rate</t>
        </is>
      </c>
      <c r="D210" s="22">
        <f>1/(1+x_rm)^(D$5+2)</f>
        <v/>
      </c>
      <c r="E210" s="22">
        <f>1/(1+x_rm)^(E$5+2)</f>
        <v/>
      </c>
      <c r="F210" s="22">
        <f>1/(1+x_rm)^(F$5+2)</f>
        <v/>
      </c>
      <c r="G210" s="22">
        <f>1/(1+x_rm)^(G$5+2)</f>
        <v/>
      </c>
      <c r="H210" s="22">
        <f>1/(1+x_rm)^(H$5+2)</f>
        <v/>
      </c>
      <c r="I210" s="22">
        <f>1/(1+x_rm)^(I$5+2)</f>
        <v/>
      </c>
      <c r="J210" s="22">
        <f>1/(1+x_rm)^(J$5+2)</f>
        <v/>
      </c>
      <c r="K210" s="22">
        <f>1/(1+x_rm)^(K$5+2)</f>
        <v/>
      </c>
      <c r="L210" s="22">
        <f>1/(1+x_rm)^(L$5+2)</f>
        <v/>
      </c>
      <c r="M210" s="22">
        <f>1/(1+x_rm)^(M$5+2)</f>
        <v/>
      </c>
      <c r="N210" s="22">
        <f>1/(1+x_rm)^(N$5+2)</f>
        <v/>
      </c>
      <c r="O210" s="22">
        <f>1/(1+x_rm)^(O$5+2)</f>
        <v/>
      </c>
      <c r="P210" s="22">
        <f>1/(1+x_rm)^(P$5+2)</f>
        <v/>
      </c>
      <c r="Q210" s="22">
        <f>1/(1+x_rm)^(Q$5+2)</f>
        <v/>
      </c>
      <c r="R210" s="22">
        <f>1/(1+x_rm)^(R$5+2)</f>
        <v/>
      </c>
      <c r="S210" s="22">
        <f>1/(1+x_rm)^(S$5+2)</f>
        <v/>
      </c>
      <c r="T210" s="22">
        <f>1/(1+x_rm)^(T$5+2)</f>
        <v/>
      </c>
      <c r="U210" s="22">
        <f>1/(1+x_rm)^(U$5+2)</f>
        <v/>
      </c>
      <c r="V210" s="22">
        <f>1/(1+x_rm)^(V$5+2)</f>
        <v/>
      </c>
      <c r="W210" s="22">
        <f>1/(1+x_rm)^(W$5+2)</f>
        <v/>
      </c>
      <c r="X210" s="22">
        <f>1/(1+x_rm)^(X$5+2)</f>
        <v/>
      </c>
      <c r="Y210" s="22">
        <f>1/(1+x_rm)^(Y$5+2)</f>
        <v/>
      </c>
      <c r="Z210" s="22">
        <f>1/(1+x_rm)^(Z$5+2)</f>
        <v/>
      </c>
      <c r="AA210" s="22">
        <f>1/(1+x_rm)^(AA$5+2)</f>
        <v/>
      </c>
      <c r="AB210" s="22">
        <f>1/(1+x_rm)^(AB$5+2)</f>
        <v/>
      </c>
      <c r="AC210" s="22">
        <f>1/(1+x_rm)^(AC$5+2)</f>
        <v/>
      </c>
      <c r="AD210" s="22">
        <f>1/(1+x_rm)^(AD$5+2)</f>
        <v/>
      </c>
      <c r="AE210" s="22">
        <f>1/(1+x_rm)^(AE$5+2)</f>
        <v/>
      </c>
      <c r="AF210" s="22">
        <f>1/(1+x_rm)^(AF$5+2)</f>
        <v/>
      </c>
      <c r="AG210" s="22">
        <f>1/(1+x_rm)^(AG$5+2)</f>
        <v/>
      </c>
      <c r="AH210" s="22">
        <f>1/(1+x_rm)^(AH$5+2)</f>
        <v/>
      </c>
      <c r="AI210" s="22">
        <f>1/(1+x_rm)^(AI$5+2)</f>
        <v/>
      </c>
      <c r="AJ210" s="22">
        <f>1/(1+x_rm)^(AJ$5+2)</f>
        <v/>
      </c>
      <c r="AK210" s="22">
        <f>1/(1+x_rm)^(AK$5+2)</f>
        <v/>
      </c>
      <c r="AL210" s="22">
        <f>1/(1+x_rm)^(AL$5+2)</f>
        <v/>
      </c>
    </row>
    <row r="211">
      <c r="B211" s="7" t="inlineStr">
        <is>
          <t>Value on 1 January 2027 of the flows from 2028 (split rates) ($)</t>
        </is>
      </c>
      <c r="C211" s="25">
        <f>SUMPRODUCT($D$203:$AL$203,$D$209:$AL$209)+SUMPRODUCT($D$207:$AL$207,$D$209:$AL$209)-SUMPRODUCT($D$205:$AL$205,$D$209:$AL$209)-SUMPRODUCT($D$206:$AL$206,$D$209:$AL$209)+SUMPRODUCT($D$204:$AL$204,$D$210:$AL$210)-decom_end/(1+x_rc)^(life_years+1)</f>
        <v/>
      </c>
    </row>
    <row r="212">
      <c r="B212" s="14" t="inlineStr">
        <is>
          <t>Development value on 1 January 2027: value less the capital cost ($)</t>
        </is>
      </c>
      <c r="C212" s="26">
        <f>C211-C198/(1+x_rc)</f>
        <v/>
      </c>
    </row>
    <row r="213">
      <c r="B213" s="7" t="inlineStr">
        <is>
          <t>Highest premium Ashgrove can pay at NTP ($)</t>
        </is>
      </c>
      <c r="C213" s="25">
        <f>C212-reimb+reimb/(1+x_rc)</f>
        <v/>
      </c>
    </row>
    <row r="216">
      <c r="B216" s="6" t="inlineStr">
        <is>
          <t>ITC instead of PTC, case U</t>
        </is>
      </c>
    </row>
    <row r="217">
      <c r="B217" s="7" t="inlineStr">
        <is>
          <t>Capital cost ($)</t>
        </is>
      </c>
      <c r="C217" s="25">
        <f>((x_module+x_tracker+x_bos)*mwdc*1000000+x_inverter*mwac*1000000+x_sub)*(1+contingency)+x_ic+owner</f>
        <v/>
      </c>
    </row>
    <row r="218">
      <c r="B218" s="7" t="inlineStr">
        <is>
          <t>ITC eligible basis ($)</t>
        </is>
      </c>
      <c r="C218" s="25">
        <f>((x_module+x_tracker+x_bos)*mwdc*1000000+x_inverter*mwac*1000000+x_sub)*(1+contingency)-gentie_share*x_sub</f>
        <v/>
      </c>
    </row>
    <row r="219">
      <c r="B219" s="7" t="inlineStr">
        <is>
          <t>ITC cash at the end of 2028, if elected ($)</t>
        </is>
      </c>
      <c r="C219" s="25">
        <f>IF("ITC"="ITC",C218*(itc_rate+sw_bonus)*transfer_itc,0)</f>
        <v/>
      </c>
    </row>
    <row r="220">
      <c r="B220" s="7" t="inlineStr">
        <is>
          <t>Energy (MWh)</t>
        </is>
      </c>
      <c r="D220" s="23">
        <f>mwac*hours*cf_p50*Energy!D$7*x_scale</f>
        <v/>
      </c>
      <c r="E220" s="23">
        <f>mwac*hours*cf_p50*Energy!E$7*x_scale</f>
        <v/>
      </c>
      <c r="F220" s="23">
        <f>mwac*hours*cf_p50*Energy!F$7*x_scale</f>
        <v/>
      </c>
      <c r="G220" s="23">
        <f>mwac*hours*cf_p50*Energy!G$7*x_scale</f>
        <v/>
      </c>
      <c r="H220" s="23">
        <f>mwac*hours*cf_p50*Energy!H$7*x_scale</f>
        <v/>
      </c>
      <c r="I220" s="23">
        <f>mwac*hours*cf_p50*Energy!I$7*x_scale</f>
        <v/>
      </c>
      <c r="J220" s="23">
        <f>mwac*hours*cf_p50*Energy!J$7*x_scale</f>
        <v/>
      </c>
      <c r="K220" s="23">
        <f>mwac*hours*cf_p50*Energy!K$7*x_scale</f>
        <v/>
      </c>
      <c r="L220" s="23">
        <f>mwac*hours*cf_p50*Energy!L$7*x_scale</f>
        <v/>
      </c>
      <c r="M220" s="23">
        <f>mwac*hours*cf_p50*Energy!M$7*x_scale</f>
        <v/>
      </c>
      <c r="N220" s="23">
        <f>mwac*hours*cf_p50*Energy!N$7*x_scale</f>
        <v/>
      </c>
      <c r="O220" s="23">
        <f>mwac*hours*cf_p50*Energy!O$7*x_scale</f>
        <v/>
      </c>
      <c r="P220" s="23">
        <f>mwac*hours*cf_p50*Energy!P$7*x_scale</f>
        <v/>
      </c>
      <c r="Q220" s="23">
        <f>mwac*hours*cf_p50*Energy!Q$7*x_scale</f>
        <v/>
      </c>
      <c r="R220" s="23">
        <f>mwac*hours*cf_p50*Energy!R$7*x_scale</f>
        <v/>
      </c>
      <c r="S220" s="23">
        <f>mwac*hours*cf_p50*Energy!S$7*x_scale</f>
        <v/>
      </c>
      <c r="T220" s="23">
        <f>mwac*hours*cf_p50*Energy!T$7*x_scale</f>
        <v/>
      </c>
      <c r="U220" s="23">
        <f>mwac*hours*cf_p50*Energy!U$7*x_scale</f>
        <v/>
      </c>
      <c r="V220" s="23">
        <f>mwac*hours*cf_p50*Energy!V$7*x_scale</f>
        <v/>
      </c>
      <c r="W220" s="23">
        <f>mwac*hours*cf_p50*Energy!W$7*x_scale</f>
        <v/>
      </c>
      <c r="X220" s="23">
        <f>mwac*hours*cf_p50*Energy!X$7*x_scale</f>
        <v/>
      </c>
      <c r="Y220" s="23">
        <f>mwac*hours*cf_p50*Energy!Y$7*x_scale</f>
        <v/>
      </c>
      <c r="Z220" s="23">
        <f>mwac*hours*cf_p50*Energy!Z$7*x_scale</f>
        <v/>
      </c>
      <c r="AA220" s="23">
        <f>mwac*hours*cf_p50*Energy!AA$7*x_scale</f>
        <v/>
      </c>
      <c r="AB220" s="23">
        <f>mwac*hours*cf_p50*Energy!AB$7*x_scale</f>
        <v/>
      </c>
      <c r="AC220" s="23">
        <f>mwac*hours*cf_p50*Energy!AC$7*x_scale</f>
        <v/>
      </c>
      <c r="AD220" s="23">
        <f>mwac*hours*cf_p50*Energy!AD$7*x_scale</f>
        <v/>
      </c>
      <c r="AE220" s="23">
        <f>mwac*hours*cf_p50*Energy!AE$7*x_scale</f>
        <v/>
      </c>
      <c r="AF220" s="23">
        <f>mwac*hours*cf_p50*Energy!AF$7*x_scale</f>
        <v/>
      </c>
      <c r="AG220" s="23">
        <f>mwac*hours*cf_p50*Energy!AG$7*x_scale</f>
        <v/>
      </c>
      <c r="AH220" s="23">
        <f>mwac*hours*cf_p50*Energy!AH$7*x_scale</f>
        <v/>
      </c>
      <c r="AI220" s="23">
        <f>mwac*hours*cf_p50*Energy!AI$7*x_scale</f>
        <v/>
      </c>
      <c r="AJ220" s="23">
        <f>mwac*hours*cf_p50*Energy!AJ$7*x_scale</f>
        <v/>
      </c>
      <c r="AK220" s="23">
        <f>mwac*hours*cf_p50*Energy!AK$7*x_scale</f>
        <v/>
      </c>
      <c r="AL220" s="23">
        <f>mwac*hours*cf_p50*Energy!AL$7*x_scale</f>
        <v/>
      </c>
    </row>
    <row r="221">
      <c r="B221" s="7" t="inlineStr">
        <is>
          <t>Node price, hub switch applied ($/MWh)</t>
        </is>
      </c>
      <c r="D221" s="32">
        <f>Market!D$7*(1+sw_hub)*Market!D$8+Market!D$10</f>
        <v/>
      </c>
      <c r="E221" s="32">
        <f>Market!E$7*(1+sw_hub)*Market!E$8+Market!E$10</f>
        <v/>
      </c>
      <c r="F221" s="32">
        <f>Market!F$7*(1+sw_hub)*Market!F$8+Market!F$10</f>
        <v/>
      </c>
      <c r="G221" s="32">
        <f>Market!G$7*(1+sw_hub)*Market!G$8+Market!G$10</f>
        <v/>
      </c>
      <c r="H221" s="32">
        <f>Market!H$7*(1+sw_hub)*Market!H$8+Market!H$10</f>
        <v/>
      </c>
      <c r="I221" s="32">
        <f>Market!I$7*(1+sw_hub)*Market!I$8+Market!I$10</f>
        <v/>
      </c>
      <c r="J221" s="32">
        <f>Market!J$7*(1+sw_hub)*Market!J$8+Market!J$10</f>
        <v/>
      </c>
      <c r="K221" s="32">
        <f>Market!K$7*(1+sw_hub)*Market!K$8+Market!K$10</f>
        <v/>
      </c>
      <c r="L221" s="32">
        <f>Market!L$7*(1+sw_hub)*Market!L$8+Market!L$10</f>
        <v/>
      </c>
      <c r="M221" s="32">
        <f>Market!M$7*(1+sw_hub)*Market!M$8+Market!M$10</f>
        <v/>
      </c>
      <c r="N221" s="32">
        <f>Market!N$7*(1+sw_hub)*Market!N$8+Market!N$10</f>
        <v/>
      </c>
      <c r="O221" s="32">
        <f>Market!O$7*(1+sw_hub)*Market!O$8+Market!O$10</f>
        <v/>
      </c>
      <c r="P221" s="32">
        <f>Market!P$7*(1+sw_hub)*Market!P$8+Market!P$10</f>
        <v/>
      </c>
      <c r="Q221" s="32">
        <f>Market!Q$7*(1+sw_hub)*Market!Q$8+Market!Q$10</f>
        <v/>
      </c>
      <c r="R221" s="32">
        <f>Market!R$7*(1+sw_hub)*Market!R$8+Market!R$10</f>
        <v/>
      </c>
      <c r="S221" s="32">
        <f>Market!S$7*(1+sw_hub)*Market!S$8+Market!S$10</f>
        <v/>
      </c>
      <c r="T221" s="32">
        <f>Market!T$7*(1+sw_hub)*Market!T$8+Market!T$10</f>
        <v/>
      </c>
      <c r="U221" s="32">
        <f>Market!U$7*(1+sw_hub)*Market!U$8+Market!U$10</f>
        <v/>
      </c>
      <c r="V221" s="32">
        <f>Market!V$7*(1+sw_hub)*Market!V$8+Market!V$10</f>
        <v/>
      </c>
      <c r="W221" s="32">
        <f>Market!W$7*(1+sw_hub)*Market!W$8+Market!W$10</f>
        <v/>
      </c>
      <c r="X221" s="32">
        <f>Market!X$7*(1+sw_hub)*Market!X$8+Market!X$10</f>
        <v/>
      </c>
      <c r="Y221" s="32">
        <f>Market!Y$7*(1+sw_hub)*Market!Y$8+Market!Y$10</f>
        <v/>
      </c>
      <c r="Z221" s="32">
        <f>Market!Z$7*(1+sw_hub)*Market!Z$8+Market!Z$10</f>
        <v/>
      </c>
      <c r="AA221" s="32">
        <f>Market!AA$7*(1+sw_hub)*Market!AA$8+Market!AA$10</f>
        <v/>
      </c>
      <c r="AB221" s="32">
        <f>Market!AB$7*(1+sw_hub)*Market!AB$8+Market!AB$10</f>
        <v/>
      </c>
      <c r="AC221" s="32">
        <f>Market!AC$7*(1+sw_hub)*Market!AC$8+Market!AC$10</f>
        <v/>
      </c>
      <c r="AD221" s="32">
        <f>Market!AD$7*(1+sw_hub)*Market!AD$8+Market!AD$10</f>
        <v/>
      </c>
      <c r="AE221" s="32">
        <f>Market!AE$7*(1+sw_hub)*Market!AE$8+Market!AE$10</f>
        <v/>
      </c>
      <c r="AF221" s="32">
        <f>Market!AF$7*(1+sw_hub)*Market!AF$8+Market!AF$10</f>
        <v/>
      </c>
      <c r="AG221" s="32">
        <f>Market!AG$7*(1+sw_hub)*Market!AG$8+Market!AG$10</f>
        <v/>
      </c>
      <c r="AH221" s="32">
        <f>Market!AH$7*(1+sw_hub)*Market!AH$8+Market!AH$10</f>
        <v/>
      </c>
      <c r="AI221" s="32">
        <f>Market!AI$7*(1+sw_hub)*Market!AI$8+Market!AI$10</f>
        <v/>
      </c>
      <c r="AJ221" s="32">
        <f>Market!AJ$7*(1+sw_hub)*Market!AJ$8+Market!AJ$10</f>
        <v/>
      </c>
      <c r="AK221" s="32">
        <f>Market!AK$7*(1+sw_hub)*Market!AK$8+Market!AK$10</f>
        <v/>
      </c>
      <c r="AL221" s="32">
        <f>Market!AL$7*(1+sw_hub)*Market!AL$8+Market!AL$10</f>
        <v/>
      </c>
    </row>
    <row r="222">
      <c r="B222" s="7" t="inlineStr">
        <is>
          <t>Contracted revenue ($)</t>
        </is>
      </c>
      <c r="D222" s="25">
        <f>IF(D$5&lt;u_years,D220*u_price*(1+u_esc)^D$5,0)</f>
        <v/>
      </c>
      <c r="E222" s="25">
        <f>IF(E$5&lt;u_years,E220*u_price*(1+u_esc)^E$5,0)</f>
        <v/>
      </c>
      <c r="F222" s="25">
        <f>IF(F$5&lt;u_years,F220*u_price*(1+u_esc)^F$5,0)</f>
        <v/>
      </c>
      <c r="G222" s="25">
        <f>IF(G$5&lt;u_years,G220*u_price*(1+u_esc)^G$5,0)</f>
        <v/>
      </c>
      <c r="H222" s="25">
        <f>IF(H$5&lt;u_years,H220*u_price*(1+u_esc)^H$5,0)</f>
        <v/>
      </c>
      <c r="I222" s="25">
        <f>IF(I$5&lt;u_years,I220*u_price*(1+u_esc)^I$5,0)</f>
        <v/>
      </c>
      <c r="J222" s="25">
        <f>IF(J$5&lt;u_years,J220*u_price*(1+u_esc)^J$5,0)</f>
        <v/>
      </c>
      <c r="K222" s="25">
        <f>IF(K$5&lt;u_years,K220*u_price*(1+u_esc)^K$5,0)</f>
        <v/>
      </c>
      <c r="L222" s="25">
        <f>IF(L$5&lt;u_years,L220*u_price*(1+u_esc)^L$5,0)</f>
        <v/>
      </c>
      <c r="M222" s="25">
        <f>IF(M$5&lt;u_years,M220*u_price*(1+u_esc)^M$5,0)</f>
        <v/>
      </c>
      <c r="N222" s="25">
        <f>IF(N$5&lt;u_years,N220*u_price*(1+u_esc)^N$5,0)</f>
        <v/>
      </c>
      <c r="O222" s="25">
        <f>IF(O$5&lt;u_years,O220*u_price*(1+u_esc)^O$5,0)</f>
        <v/>
      </c>
      <c r="P222" s="25">
        <f>IF(P$5&lt;u_years,P220*u_price*(1+u_esc)^P$5,0)</f>
        <v/>
      </c>
      <c r="Q222" s="25">
        <f>IF(Q$5&lt;u_years,Q220*u_price*(1+u_esc)^Q$5,0)</f>
        <v/>
      </c>
      <c r="R222" s="25">
        <f>IF(R$5&lt;u_years,R220*u_price*(1+u_esc)^R$5,0)</f>
        <v/>
      </c>
      <c r="S222" s="25">
        <f>IF(S$5&lt;u_years,S220*u_price*(1+u_esc)^S$5,0)</f>
        <v/>
      </c>
      <c r="T222" s="25">
        <f>IF(T$5&lt;u_years,T220*u_price*(1+u_esc)^T$5,0)</f>
        <v/>
      </c>
      <c r="U222" s="25">
        <f>IF(U$5&lt;u_years,U220*u_price*(1+u_esc)^U$5,0)</f>
        <v/>
      </c>
      <c r="V222" s="25">
        <f>IF(V$5&lt;u_years,V220*u_price*(1+u_esc)^V$5,0)</f>
        <v/>
      </c>
      <c r="W222" s="25">
        <f>IF(W$5&lt;u_years,W220*u_price*(1+u_esc)^W$5,0)</f>
        <v/>
      </c>
      <c r="X222" s="25">
        <f>IF(X$5&lt;u_years,X220*u_price*(1+u_esc)^X$5,0)</f>
        <v/>
      </c>
      <c r="Y222" s="25">
        <f>IF(Y$5&lt;u_years,Y220*u_price*(1+u_esc)^Y$5,0)</f>
        <v/>
      </c>
      <c r="Z222" s="25">
        <f>IF(Z$5&lt;u_years,Z220*u_price*(1+u_esc)^Z$5,0)</f>
        <v/>
      </c>
      <c r="AA222" s="25">
        <f>IF(AA$5&lt;u_years,AA220*u_price*(1+u_esc)^AA$5,0)</f>
        <v/>
      </c>
      <c r="AB222" s="25">
        <f>IF(AB$5&lt;u_years,AB220*u_price*(1+u_esc)^AB$5,0)</f>
        <v/>
      </c>
      <c r="AC222" s="25">
        <f>IF(AC$5&lt;u_years,AC220*u_price*(1+u_esc)^AC$5,0)</f>
        <v/>
      </c>
      <c r="AD222" s="25">
        <f>IF(AD$5&lt;u_years,AD220*u_price*(1+u_esc)^AD$5,0)</f>
        <v/>
      </c>
      <c r="AE222" s="25">
        <f>IF(AE$5&lt;u_years,AE220*u_price*(1+u_esc)^AE$5,0)</f>
        <v/>
      </c>
      <c r="AF222" s="25">
        <f>IF(AF$5&lt;u_years,AF220*u_price*(1+u_esc)^AF$5,0)</f>
        <v/>
      </c>
      <c r="AG222" s="25">
        <f>IF(AG$5&lt;u_years,AG220*u_price*(1+u_esc)^AG$5,0)</f>
        <v/>
      </c>
      <c r="AH222" s="25">
        <f>IF(AH$5&lt;u_years,AH220*u_price*(1+u_esc)^AH$5,0)</f>
        <v/>
      </c>
      <c r="AI222" s="25">
        <f>IF(AI$5&lt;u_years,AI220*u_price*(1+u_esc)^AI$5,0)</f>
        <v/>
      </c>
      <c r="AJ222" s="25">
        <f>IF(AJ$5&lt;u_years,AJ220*u_price*(1+u_esc)^AJ$5,0)</f>
        <v/>
      </c>
      <c r="AK222" s="25">
        <f>IF(AK$5&lt;u_years,AK220*u_price*(1+u_esc)^AK$5,0)</f>
        <v/>
      </c>
      <c r="AL222" s="25">
        <f>IF(AL$5&lt;u_years,AL220*u_price*(1+u_esc)^AL$5,0)</f>
        <v/>
      </c>
    </row>
    <row r="223">
      <c r="B223" s="7" t="inlineStr">
        <is>
          <t>Merchant revenue ($)</t>
        </is>
      </c>
      <c r="D223" s="25">
        <f>IF(D$5&lt;u_years,0,D220*(D221+rec_price)+Market!D$13)</f>
        <v/>
      </c>
      <c r="E223" s="25">
        <f>IF(E$5&lt;u_years,0,E220*(E221+rec_price)+Market!E$13)</f>
        <v/>
      </c>
      <c r="F223" s="25">
        <f>IF(F$5&lt;u_years,0,F220*(F221+rec_price)+Market!F$13)</f>
        <v/>
      </c>
      <c r="G223" s="25">
        <f>IF(G$5&lt;u_years,0,G220*(G221+rec_price)+Market!G$13)</f>
        <v/>
      </c>
      <c r="H223" s="25">
        <f>IF(H$5&lt;u_years,0,H220*(H221+rec_price)+Market!H$13)</f>
        <v/>
      </c>
      <c r="I223" s="25">
        <f>IF(I$5&lt;u_years,0,I220*(I221+rec_price)+Market!I$13)</f>
        <v/>
      </c>
      <c r="J223" s="25">
        <f>IF(J$5&lt;u_years,0,J220*(J221+rec_price)+Market!J$13)</f>
        <v/>
      </c>
      <c r="K223" s="25">
        <f>IF(K$5&lt;u_years,0,K220*(K221+rec_price)+Market!K$13)</f>
        <v/>
      </c>
      <c r="L223" s="25">
        <f>IF(L$5&lt;u_years,0,L220*(L221+rec_price)+Market!L$13)</f>
        <v/>
      </c>
      <c r="M223" s="25">
        <f>IF(M$5&lt;u_years,0,M220*(M221+rec_price)+Market!M$13)</f>
        <v/>
      </c>
      <c r="N223" s="25">
        <f>IF(N$5&lt;u_years,0,N220*(N221+rec_price)+Market!N$13)</f>
        <v/>
      </c>
      <c r="O223" s="25">
        <f>IF(O$5&lt;u_years,0,O220*(O221+rec_price)+Market!O$13)</f>
        <v/>
      </c>
      <c r="P223" s="25">
        <f>IF(P$5&lt;u_years,0,P220*(P221+rec_price)+Market!P$13)</f>
        <v/>
      </c>
      <c r="Q223" s="25">
        <f>IF(Q$5&lt;u_years,0,Q220*(Q221+rec_price)+Market!Q$13)</f>
        <v/>
      </c>
      <c r="R223" s="25">
        <f>IF(R$5&lt;u_years,0,R220*(R221+rec_price)+Market!R$13)</f>
        <v/>
      </c>
      <c r="S223" s="25">
        <f>IF(S$5&lt;u_years,0,S220*(S221+rec_price)+Market!S$13)</f>
        <v/>
      </c>
      <c r="T223" s="25">
        <f>IF(T$5&lt;u_years,0,T220*(T221+rec_price)+Market!T$13)</f>
        <v/>
      </c>
      <c r="U223" s="25">
        <f>IF(U$5&lt;u_years,0,U220*(U221+rec_price)+Market!U$13)</f>
        <v/>
      </c>
      <c r="V223" s="25">
        <f>IF(V$5&lt;u_years,0,V220*(V221+rec_price)+Market!V$13)</f>
        <v/>
      </c>
      <c r="W223" s="25">
        <f>IF(W$5&lt;u_years,0,W220*(W221+rec_price)+Market!W$13)</f>
        <v/>
      </c>
      <c r="X223" s="25">
        <f>IF(X$5&lt;u_years,0,X220*(X221+rec_price)+Market!X$13)</f>
        <v/>
      </c>
      <c r="Y223" s="25">
        <f>IF(Y$5&lt;u_years,0,Y220*(Y221+rec_price)+Market!Y$13)</f>
        <v/>
      </c>
      <c r="Z223" s="25">
        <f>IF(Z$5&lt;u_years,0,Z220*(Z221+rec_price)+Market!Z$13)</f>
        <v/>
      </c>
      <c r="AA223" s="25">
        <f>IF(AA$5&lt;u_years,0,AA220*(AA221+rec_price)+Market!AA$13)</f>
        <v/>
      </c>
      <c r="AB223" s="25">
        <f>IF(AB$5&lt;u_years,0,AB220*(AB221+rec_price)+Market!AB$13)</f>
        <v/>
      </c>
      <c r="AC223" s="25">
        <f>IF(AC$5&lt;u_years,0,AC220*(AC221+rec_price)+Market!AC$13)</f>
        <v/>
      </c>
      <c r="AD223" s="25">
        <f>IF(AD$5&lt;u_years,0,AD220*(AD221+rec_price)+Market!AD$13)</f>
        <v/>
      </c>
      <c r="AE223" s="25">
        <f>IF(AE$5&lt;u_years,0,AE220*(AE221+rec_price)+Market!AE$13)</f>
        <v/>
      </c>
      <c r="AF223" s="25">
        <f>IF(AF$5&lt;u_years,0,AF220*(AF221+rec_price)+Market!AF$13)</f>
        <v/>
      </c>
      <c r="AG223" s="25">
        <f>IF(AG$5&lt;u_years,0,AG220*(AG221+rec_price)+Market!AG$13)</f>
        <v/>
      </c>
      <c r="AH223" s="25">
        <f>IF(AH$5&lt;u_years,0,AH220*(AH221+rec_price)+Market!AH$13)</f>
        <v/>
      </c>
      <c r="AI223" s="25">
        <f>IF(AI$5&lt;u_years,0,AI220*(AI221+rec_price)+Market!AI$13)</f>
        <v/>
      </c>
      <c r="AJ223" s="25">
        <f>IF(AJ$5&lt;u_years,0,AJ220*(AJ221+rec_price)+Market!AJ$13)</f>
        <v/>
      </c>
      <c r="AK223" s="25">
        <f>IF(AK$5&lt;u_years,0,AK220*(AK221+rec_price)+Market!AK$13)</f>
        <v/>
      </c>
      <c r="AL223" s="25">
        <f>IF(AL$5&lt;u_years,0,AL220*(AL221+rec_price)+Market!AL$13)</f>
        <v/>
      </c>
    </row>
    <row r="224">
      <c r="B224" s="7" t="inlineStr">
        <is>
          <t>Basis cost kept by the project ($)</t>
        </is>
      </c>
      <c r="D224" s="25" t="n">
        <v>0</v>
      </c>
      <c r="E224" s="25" t="n">
        <v>0</v>
      </c>
      <c r="F224" s="25" t="n">
        <v>0</v>
      </c>
      <c r="G224" s="25" t="n">
        <v>0</v>
      </c>
      <c r="H224" s="25" t="n">
        <v>0</v>
      </c>
      <c r="I224" s="25" t="n">
        <v>0</v>
      </c>
      <c r="J224" s="25" t="n">
        <v>0</v>
      </c>
      <c r="K224" s="25" t="n">
        <v>0</v>
      </c>
      <c r="L224" s="25" t="n">
        <v>0</v>
      </c>
      <c r="M224" s="25" t="n">
        <v>0</v>
      </c>
      <c r="N224" s="25" t="n">
        <v>0</v>
      </c>
      <c r="O224" s="25" t="n">
        <v>0</v>
      </c>
      <c r="P224" s="25" t="n">
        <v>0</v>
      </c>
      <c r="Q224" s="25" t="n">
        <v>0</v>
      </c>
      <c r="R224" s="25" t="n">
        <v>0</v>
      </c>
      <c r="S224" s="25" t="n">
        <v>0</v>
      </c>
      <c r="T224" s="25" t="n">
        <v>0</v>
      </c>
      <c r="U224" s="25" t="n">
        <v>0</v>
      </c>
      <c r="V224" s="25" t="n">
        <v>0</v>
      </c>
      <c r="W224" s="25" t="n">
        <v>0</v>
      </c>
      <c r="X224" s="25" t="n">
        <v>0</v>
      </c>
      <c r="Y224" s="25" t="n">
        <v>0</v>
      </c>
      <c r="Z224" s="25" t="n">
        <v>0</v>
      </c>
      <c r="AA224" s="25" t="n">
        <v>0</v>
      </c>
      <c r="AB224" s="25" t="n">
        <v>0</v>
      </c>
      <c r="AC224" s="25" t="n">
        <v>0</v>
      </c>
      <c r="AD224" s="25" t="n">
        <v>0</v>
      </c>
      <c r="AE224" s="25" t="n">
        <v>0</v>
      </c>
      <c r="AF224" s="25" t="n">
        <v>0</v>
      </c>
      <c r="AG224" s="25" t="n">
        <v>0</v>
      </c>
      <c r="AH224" s="25" t="n">
        <v>0</v>
      </c>
      <c r="AI224" s="25" t="n">
        <v>0</v>
      </c>
      <c r="AJ224" s="25" t="n">
        <v>0</v>
      </c>
      <c r="AK224" s="25" t="n">
        <v>0</v>
      </c>
      <c r="AL224" s="25" t="n">
        <v>0</v>
      </c>
    </row>
    <row r="225">
      <c r="B225" s="7" t="inlineStr">
        <is>
          <t>Operating cost ($)</t>
        </is>
      </c>
      <c r="D225" s="25">
        <f>(om_kw*mwac*1000+ins_rate*$C$217+am_cost+prop_tax+misc_cost)*Opex!D$7+rent_acre*acres_lease*Opex!D$8</f>
        <v/>
      </c>
      <c r="E225" s="25">
        <f>(om_kw*mwac*1000+ins_rate*$C$217+am_cost+prop_tax+misc_cost)*Opex!E$7+rent_acre*acres_lease*Opex!E$8</f>
        <v/>
      </c>
      <c r="F225" s="25">
        <f>(om_kw*mwac*1000+ins_rate*$C$217+am_cost+prop_tax+misc_cost)*Opex!F$7+rent_acre*acres_lease*Opex!F$8</f>
        <v/>
      </c>
      <c r="G225" s="25">
        <f>(om_kw*mwac*1000+ins_rate*$C$217+am_cost+prop_tax+misc_cost)*Opex!G$7+rent_acre*acres_lease*Opex!G$8</f>
        <v/>
      </c>
      <c r="H225" s="25">
        <f>(om_kw*mwac*1000+ins_rate*$C$217+am_cost+prop_tax+misc_cost)*Opex!H$7+rent_acre*acres_lease*Opex!H$8</f>
        <v/>
      </c>
      <c r="I225" s="25">
        <f>(om_kw*mwac*1000+ins_rate*$C$217+am_cost+prop_tax+misc_cost)*Opex!I$7+rent_acre*acres_lease*Opex!I$8</f>
        <v/>
      </c>
      <c r="J225" s="25">
        <f>(om_kw*mwac*1000+ins_rate*$C$217+am_cost+prop_tax+misc_cost)*Opex!J$7+rent_acre*acres_lease*Opex!J$8</f>
        <v/>
      </c>
      <c r="K225" s="25">
        <f>(om_kw*mwac*1000+ins_rate*$C$217+am_cost+prop_tax+misc_cost)*Opex!K$7+rent_acre*acres_lease*Opex!K$8</f>
        <v/>
      </c>
      <c r="L225" s="25">
        <f>(om_kw*mwac*1000+ins_rate*$C$217+am_cost+prop_tax+misc_cost)*Opex!L$7+rent_acre*acres_lease*Opex!L$8</f>
        <v/>
      </c>
      <c r="M225" s="25">
        <f>(om_kw*mwac*1000+ins_rate*$C$217+am_cost+prop_tax+misc_cost)*Opex!M$7+rent_acre*acres_lease*Opex!M$8</f>
        <v/>
      </c>
      <c r="N225" s="25">
        <f>(om_kw*mwac*1000+ins_rate*$C$217+am_cost+prop_tax+misc_cost)*Opex!N$7+rent_acre*acres_lease*Opex!N$8</f>
        <v/>
      </c>
      <c r="O225" s="25">
        <f>(om_kw*mwac*1000+ins_rate*$C$217+am_cost+prop_tax+misc_cost)*Opex!O$7+rent_acre*acres_lease*Opex!O$8</f>
        <v/>
      </c>
      <c r="P225" s="25">
        <f>(om_kw*mwac*1000+ins_rate*$C$217+am_cost+prop_tax+misc_cost)*Opex!P$7+rent_acre*acres_lease*Opex!P$8</f>
        <v/>
      </c>
      <c r="Q225" s="25">
        <f>(om_kw*mwac*1000+ins_rate*$C$217+am_cost+prop_tax+misc_cost)*Opex!Q$7+rent_acre*acres_lease*Opex!Q$8</f>
        <v/>
      </c>
      <c r="R225" s="25">
        <f>(om_kw*mwac*1000+ins_rate*$C$217+am_cost+prop_tax+misc_cost)*Opex!R$7+rent_acre*acres_lease*Opex!R$8</f>
        <v/>
      </c>
      <c r="S225" s="25">
        <f>(om_kw*mwac*1000+ins_rate*$C$217+am_cost+prop_tax+misc_cost)*Opex!S$7+rent_acre*acres_lease*Opex!S$8</f>
        <v/>
      </c>
      <c r="T225" s="25">
        <f>(om_kw*mwac*1000+ins_rate*$C$217+am_cost+prop_tax+misc_cost)*Opex!T$7+rent_acre*acres_lease*Opex!T$8</f>
        <v/>
      </c>
      <c r="U225" s="25">
        <f>(om_kw*mwac*1000+ins_rate*$C$217+am_cost+prop_tax+misc_cost)*Opex!U$7+rent_acre*acres_lease*Opex!U$8</f>
        <v/>
      </c>
      <c r="V225" s="25">
        <f>(om_kw*mwac*1000+ins_rate*$C$217+am_cost+prop_tax+misc_cost)*Opex!V$7+rent_acre*acres_lease*Opex!V$8</f>
        <v/>
      </c>
      <c r="W225" s="25">
        <f>(om_kw*mwac*1000+ins_rate*$C$217+am_cost+prop_tax+misc_cost)*Opex!W$7+rent_acre*acres_lease*Opex!W$8</f>
        <v/>
      </c>
      <c r="X225" s="25">
        <f>(om_kw*mwac*1000+ins_rate*$C$217+am_cost+prop_tax+misc_cost)*Opex!X$7+rent_acre*acres_lease*Opex!X$8</f>
        <v/>
      </c>
      <c r="Y225" s="25">
        <f>(om_kw*mwac*1000+ins_rate*$C$217+am_cost+prop_tax+misc_cost)*Opex!Y$7+rent_acre*acres_lease*Opex!Y$8</f>
        <v/>
      </c>
      <c r="Z225" s="25">
        <f>(om_kw*mwac*1000+ins_rate*$C$217+am_cost+prop_tax+misc_cost)*Opex!Z$7+rent_acre*acres_lease*Opex!Z$8</f>
        <v/>
      </c>
      <c r="AA225" s="25">
        <f>(om_kw*mwac*1000+ins_rate*$C$217+am_cost+prop_tax+misc_cost)*Opex!AA$7+rent_acre*acres_lease*Opex!AA$8</f>
        <v/>
      </c>
      <c r="AB225" s="25">
        <f>(om_kw*mwac*1000+ins_rate*$C$217+am_cost+prop_tax+misc_cost)*Opex!AB$7+rent_acre*acres_lease*Opex!AB$8</f>
        <v/>
      </c>
      <c r="AC225" s="25">
        <f>(om_kw*mwac*1000+ins_rate*$C$217+am_cost+prop_tax+misc_cost)*Opex!AC$7+rent_acre*acres_lease*Opex!AC$8</f>
        <v/>
      </c>
      <c r="AD225" s="25">
        <f>(om_kw*mwac*1000+ins_rate*$C$217+am_cost+prop_tax+misc_cost)*Opex!AD$7+rent_acre*acres_lease*Opex!AD$8</f>
        <v/>
      </c>
      <c r="AE225" s="25">
        <f>(om_kw*mwac*1000+ins_rate*$C$217+am_cost+prop_tax+misc_cost)*Opex!AE$7+rent_acre*acres_lease*Opex!AE$8</f>
        <v/>
      </c>
      <c r="AF225" s="25">
        <f>(om_kw*mwac*1000+ins_rate*$C$217+am_cost+prop_tax+misc_cost)*Opex!AF$7+rent_acre*acres_lease*Opex!AF$8</f>
        <v/>
      </c>
      <c r="AG225" s="25">
        <f>(om_kw*mwac*1000+ins_rate*$C$217+am_cost+prop_tax+misc_cost)*Opex!AG$7+rent_acre*acres_lease*Opex!AG$8</f>
        <v/>
      </c>
      <c r="AH225" s="25">
        <f>(om_kw*mwac*1000+ins_rate*$C$217+am_cost+prop_tax+misc_cost)*Opex!AH$7+rent_acre*acres_lease*Opex!AH$8</f>
        <v/>
      </c>
      <c r="AI225" s="25">
        <f>(om_kw*mwac*1000+ins_rate*$C$217+am_cost+prop_tax+misc_cost)*Opex!AI$7+rent_acre*acres_lease*Opex!AI$8</f>
        <v/>
      </c>
      <c r="AJ225" s="25">
        <f>(om_kw*mwac*1000+ins_rate*$C$217+am_cost+prop_tax+misc_cost)*Opex!AJ$7+rent_acre*acres_lease*Opex!AJ$8</f>
        <v/>
      </c>
      <c r="AK225" s="25">
        <f>(om_kw*mwac*1000+ins_rate*$C$217+am_cost+prop_tax+misc_cost)*Opex!AK$7+rent_acre*acres_lease*Opex!AK$8</f>
        <v/>
      </c>
      <c r="AL225" s="25">
        <f>(om_kw*mwac*1000+ins_rate*$C$217+am_cost+prop_tax+misc_cost)*Opex!AL$7+rent_acre*acres_lease*Opex!AL$8</f>
        <v/>
      </c>
    </row>
    <row r="226">
      <c r="B226" s="7" t="inlineStr">
        <is>
          <t>Credit cash ($)</t>
        </is>
      </c>
      <c r="D226" s="25">
        <f>IF("ITC"="PTC",IF(D$5&lt;ptc_years,D220*Credits!D$8*(1+sw_bonus)*transfer_ptc,0),0)+IF(D$5=0,$C$219,0)</f>
        <v/>
      </c>
      <c r="E226" s="25">
        <f>IF("ITC"="PTC",IF(E$5&lt;ptc_years,E220*Credits!E$8*(1+sw_bonus)*transfer_ptc,0),0)+IF(E$5=0,$C$219,0)</f>
        <v/>
      </c>
      <c r="F226" s="25">
        <f>IF("ITC"="PTC",IF(F$5&lt;ptc_years,F220*Credits!F$8*(1+sw_bonus)*transfer_ptc,0),0)+IF(F$5=0,$C$219,0)</f>
        <v/>
      </c>
      <c r="G226" s="25">
        <f>IF("ITC"="PTC",IF(G$5&lt;ptc_years,G220*Credits!G$8*(1+sw_bonus)*transfer_ptc,0),0)+IF(G$5=0,$C$219,0)</f>
        <v/>
      </c>
      <c r="H226" s="25">
        <f>IF("ITC"="PTC",IF(H$5&lt;ptc_years,H220*Credits!H$8*(1+sw_bonus)*transfer_ptc,0),0)+IF(H$5=0,$C$219,0)</f>
        <v/>
      </c>
      <c r="I226" s="25">
        <f>IF("ITC"="PTC",IF(I$5&lt;ptc_years,I220*Credits!I$8*(1+sw_bonus)*transfer_ptc,0),0)+IF(I$5=0,$C$219,0)</f>
        <v/>
      </c>
      <c r="J226" s="25">
        <f>IF("ITC"="PTC",IF(J$5&lt;ptc_years,J220*Credits!J$8*(1+sw_bonus)*transfer_ptc,0),0)+IF(J$5=0,$C$219,0)</f>
        <v/>
      </c>
      <c r="K226" s="25">
        <f>IF("ITC"="PTC",IF(K$5&lt;ptc_years,K220*Credits!K$8*(1+sw_bonus)*transfer_ptc,0),0)+IF(K$5=0,$C$219,0)</f>
        <v/>
      </c>
      <c r="L226" s="25">
        <f>IF("ITC"="PTC",IF(L$5&lt;ptc_years,L220*Credits!L$8*(1+sw_bonus)*transfer_ptc,0),0)+IF(L$5=0,$C$219,0)</f>
        <v/>
      </c>
      <c r="M226" s="25">
        <f>IF("ITC"="PTC",IF(M$5&lt;ptc_years,M220*Credits!M$8*(1+sw_bonus)*transfer_ptc,0),0)+IF(M$5=0,$C$219,0)</f>
        <v/>
      </c>
      <c r="N226" s="25">
        <f>IF("ITC"="PTC",IF(N$5&lt;ptc_years,N220*Credits!N$8*(1+sw_bonus)*transfer_ptc,0),0)+IF(N$5=0,$C$219,0)</f>
        <v/>
      </c>
      <c r="O226" s="25">
        <f>IF("ITC"="PTC",IF(O$5&lt;ptc_years,O220*Credits!O$8*(1+sw_bonus)*transfer_ptc,0),0)+IF(O$5=0,$C$219,0)</f>
        <v/>
      </c>
      <c r="P226" s="25">
        <f>IF("ITC"="PTC",IF(P$5&lt;ptc_years,P220*Credits!P$8*(1+sw_bonus)*transfer_ptc,0),0)+IF(P$5=0,$C$219,0)</f>
        <v/>
      </c>
      <c r="Q226" s="25">
        <f>IF("ITC"="PTC",IF(Q$5&lt;ptc_years,Q220*Credits!Q$8*(1+sw_bonus)*transfer_ptc,0),0)+IF(Q$5=0,$C$219,0)</f>
        <v/>
      </c>
      <c r="R226" s="25">
        <f>IF("ITC"="PTC",IF(R$5&lt;ptc_years,R220*Credits!R$8*(1+sw_bonus)*transfer_ptc,0),0)+IF(R$5=0,$C$219,0)</f>
        <v/>
      </c>
      <c r="S226" s="25">
        <f>IF("ITC"="PTC",IF(S$5&lt;ptc_years,S220*Credits!S$8*(1+sw_bonus)*transfer_ptc,0),0)+IF(S$5=0,$C$219,0)</f>
        <v/>
      </c>
      <c r="T226" s="25">
        <f>IF("ITC"="PTC",IF(T$5&lt;ptc_years,T220*Credits!T$8*(1+sw_bonus)*transfer_ptc,0),0)+IF(T$5=0,$C$219,0)</f>
        <v/>
      </c>
      <c r="U226" s="25">
        <f>IF("ITC"="PTC",IF(U$5&lt;ptc_years,U220*Credits!U$8*(1+sw_bonus)*transfer_ptc,0),0)+IF(U$5=0,$C$219,0)</f>
        <v/>
      </c>
      <c r="V226" s="25">
        <f>IF("ITC"="PTC",IF(V$5&lt;ptc_years,V220*Credits!V$8*(1+sw_bonus)*transfer_ptc,0),0)+IF(V$5=0,$C$219,0)</f>
        <v/>
      </c>
      <c r="W226" s="25">
        <f>IF("ITC"="PTC",IF(W$5&lt;ptc_years,W220*Credits!W$8*(1+sw_bonus)*transfer_ptc,0),0)+IF(W$5=0,$C$219,0)</f>
        <v/>
      </c>
      <c r="X226" s="25">
        <f>IF("ITC"="PTC",IF(X$5&lt;ptc_years,X220*Credits!X$8*(1+sw_bonus)*transfer_ptc,0),0)+IF(X$5=0,$C$219,0)</f>
        <v/>
      </c>
      <c r="Y226" s="25">
        <f>IF("ITC"="PTC",IF(Y$5&lt;ptc_years,Y220*Credits!Y$8*(1+sw_bonus)*transfer_ptc,0),0)+IF(Y$5=0,$C$219,0)</f>
        <v/>
      </c>
      <c r="Z226" s="25">
        <f>IF("ITC"="PTC",IF(Z$5&lt;ptc_years,Z220*Credits!Z$8*(1+sw_bonus)*transfer_ptc,0),0)+IF(Z$5=0,$C$219,0)</f>
        <v/>
      </c>
      <c r="AA226" s="25">
        <f>IF("ITC"="PTC",IF(AA$5&lt;ptc_years,AA220*Credits!AA$8*(1+sw_bonus)*transfer_ptc,0),0)+IF(AA$5=0,$C$219,0)</f>
        <v/>
      </c>
      <c r="AB226" s="25">
        <f>IF("ITC"="PTC",IF(AB$5&lt;ptc_years,AB220*Credits!AB$8*(1+sw_bonus)*transfer_ptc,0),0)+IF(AB$5=0,$C$219,0)</f>
        <v/>
      </c>
      <c r="AC226" s="25">
        <f>IF("ITC"="PTC",IF(AC$5&lt;ptc_years,AC220*Credits!AC$8*(1+sw_bonus)*transfer_ptc,0),0)+IF(AC$5=0,$C$219,0)</f>
        <v/>
      </c>
      <c r="AD226" s="25">
        <f>IF("ITC"="PTC",IF(AD$5&lt;ptc_years,AD220*Credits!AD$8*(1+sw_bonus)*transfer_ptc,0),0)+IF(AD$5=0,$C$219,0)</f>
        <v/>
      </c>
      <c r="AE226" s="25">
        <f>IF("ITC"="PTC",IF(AE$5&lt;ptc_years,AE220*Credits!AE$8*(1+sw_bonus)*transfer_ptc,0),0)+IF(AE$5=0,$C$219,0)</f>
        <v/>
      </c>
      <c r="AF226" s="25">
        <f>IF("ITC"="PTC",IF(AF$5&lt;ptc_years,AF220*Credits!AF$8*(1+sw_bonus)*transfer_ptc,0),0)+IF(AF$5=0,$C$219,0)</f>
        <v/>
      </c>
      <c r="AG226" s="25">
        <f>IF("ITC"="PTC",IF(AG$5&lt;ptc_years,AG220*Credits!AG$8*(1+sw_bonus)*transfer_ptc,0),0)+IF(AG$5=0,$C$219,0)</f>
        <v/>
      </c>
      <c r="AH226" s="25">
        <f>IF("ITC"="PTC",IF(AH$5&lt;ptc_years,AH220*Credits!AH$8*(1+sw_bonus)*transfer_ptc,0),0)+IF(AH$5=0,$C$219,0)</f>
        <v/>
      </c>
      <c r="AI226" s="25">
        <f>IF("ITC"="PTC",IF(AI$5&lt;ptc_years,AI220*Credits!AI$8*(1+sw_bonus)*transfer_ptc,0),0)+IF(AI$5=0,$C$219,0)</f>
        <v/>
      </c>
      <c r="AJ226" s="25">
        <f>IF("ITC"="PTC",IF(AJ$5&lt;ptc_years,AJ220*Credits!AJ$8*(1+sw_bonus)*transfer_ptc,0),0)+IF(AJ$5=0,$C$219,0)</f>
        <v/>
      </c>
      <c r="AK226" s="25">
        <f>IF("ITC"="PTC",IF(AK$5&lt;ptc_years,AK220*Credits!AK$8*(1+sw_bonus)*transfer_ptc,0),0)+IF(AK$5=0,$C$219,0)</f>
        <v/>
      </c>
      <c r="AL226" s="25">
        <f>IF("ITC"="PTC",IF(AL$5&lt;ptc_years,AL220*Credits!AL$8*(1+sw_bonus)*transfer_ptc,0),0)+IF(AL$5=0,$C$219,0)</f>
        <v/>
      </c>
    </row>
    <row r="227">
      <c r="B227" s="14" t="inlineStr">
        <is>
          <t>EBITDA ($)</t>
        </is>
      </c>
      <c r="D227" s="26">
        <f>D222+D223-D224-D225</f>
        <v/>
      </c>
      <c r="E227" s="26">
        <f>E222+E223-E224-E225</f>
        <v/>
      </c>
      <c r="F227" s="26">
        <f>F222+F223-F224-F225</f>
        <v/>
      </c>
      <c r="G227" s="26">
        <f>G222+G223-G224-G225</f>
        <v/>
      </c>
      <c r="H227" s="26">
        <f>H222+H223-H224-H225</f>
        <v/>
      </c>
      <c r="I227" s="26">
        <f>I222+I223-I224-I225</f>
        <v/>
      </c>
      <c r="J227" s="26">
        <f>J222+J223-J224-J225</f>
        <v/>
      </c>
      <c r="K227" s="26">
        <f>K222+K223-K224-K225</f>
        <v/>
      </c>
      <c r="L227" s="26">
        <f>L222+L223-L224-L225</f>
        <v/>
      </c>
      <c r="M227" s="26">
        <f>M222+M223-M224-M225</f>
        <v/>
      </c>
      <c r="N227" s="26">
        <f>N222+N223-N224-N225</f>
        <v/>
      </c>
      <c r="O227" s="26">
        <f>O222+O223-O224-O225</f>
        <v/>
      </c>
      <c r="P227" s="26">
        <f>P222+P223-P224-P225</f>
        <v/>
      </c>
      <c r="Q227" s="26">
        <f>Q222+Q223-Q224-Q225</f>
        <v/>
      </c>
      <c r="R227" s="26">
        <f>R222+R223-R224-R225</f>
        <v/>
      </c>
      <c r="S227" s="26">
        <f>S222+S223-S224-S225</f>
        <v/>
      </c>
      <c r="T227" s="26">
        <f>T222+T223-T224-T225</f>
        <v/>
      </c>
      <c r="U227" s="26">
        <f>U222+U223-U224-U225</f>
        <v/>
      </c>
      <c r="V227" s="26">
        <f>V222+V223-V224-V225</f>
        <v/>
      </c>
      <c r="W227" s="26">
        <f>W222+W223-W224-W225</f>
        <v/>
      </c>
      <c r="X227" s="26">
        <f>X222+X223-X224-X225</f>
        <v/>
      </c>
      <c r="Y227" s="26">
        <f>Y222+Y223-Y224-Y225</f>
        <v/>
      </c>
      <c r="Z227" s="26">
        <f>Z222+Z223-Z224-Z225</f>
        <v/>
      </c>
      <c r="AA227" s="26">
        <f>AA222+AA223-AA224-AA225</f>
        <v/>
      </c>
      <c r="AB227" s="26">
        <f>AB222+AB223-AB224-AB225</f>
        <v/>
      </c>
      <c r="AC227" s="26">
        <f>AC222+AC223-AC224-AC225</f>
        <v/>
      </c>
      <c r="AD227" s="26">
        <f>AD222+AD223-AD224-AD225</f>
        <v/>
      </c>
      <c r="AE227" s="26">
        <f>AE222+AE223-AE224-AE225</f>
        <v/>
      </c>
      <c r="AF227" s="26">
        <f>AF222+AF223-AF224-AF225</f>
        <v/>
      </c>
      <c r="AG227" s="26">
        <f>AG222+AG223-AG224-AG225</f>
        <v/>
      </c>
      <c r="AH227" s="26">
        <f>AH222+AH223-AH224-AH225</f>
        <v/>
      </c>
      <c r="AI227" s="26">
        <f>AI222+AI223-AI224-AI225</f>
        <v/>
      </c>
      <c r="AJ227" s="26">
        <f>AJ222+AJ223-AJ224-AJ225</f>
        <v/>
      </c>
      <c r="AK227" s="26">
        <f>AK222+AK223-AK224-AK225</f>
        <v/>
      </c>
      <c r="AL227" s="26">
        <f>AL222+AL223-AL224-AL225</f>
        <v/>
      </c>
    </row>
    <row r="228">
      <c r="B228" s="7" t="inlineStr">
        <is>
          <t>Discount factor to 1 January 2027, contracted rate</t>
        </is>
      </c>
      <c r="D228" s="22">
        <f>1/(1+x_rc)^(D$5+2)</f>
        <v/>
      </c>
      <c r="E228" s="22">
        <f>1/(1+x_rc)^(E$5+2)</f>
        <v/>
      </c>
      <c r="F228" s="22">
        <f>1/(1+x_rc)^(F$5+2)</f>
        <v/>
      </c>
      <c r="G228" s="22">
        <f>1/(1+x_rc)^(G$5+2)</f>
        <v/>
      </c>
      <c r="H228" s="22">
        <f>1/(1+x_rc)^(H$5+2)</f>
        <v/>
      </c>
      <c r="I228" s="22">
        <f>1/(1+x_rc)^(I$5+2)</f>
        <v/>
      </c>
      <c r="J228" s="22">
        <f>1/(1+x_rc)^(J$5+2)</f>
        <v/>
      </c>
      <c r="K228" s="22">
        <f>1/(1+x_rc)^(K$5+2)</f>
        <v/>
      </c>
      <c r="L228" s="22">
        <f>1/(1+x_rc)^(L$5+2)</f>
        <v/>
      </c>
      <c r="M228" s="22">
        <f>1/(1+x_rc)^(M$5+2)</f>
        <v/>
      </c>
      <c r="N228" s="22">
        <f>1/(1+x_rc)^(N$5+2)</f>
        <v/>
      </c>
      <c r="O228" s="22">
        <f>1/(1+x_rc)^(O$5+2)</f>
        <v/>
      </c>
      <c r="P228" s="22">
        <f>1/(1+x_rc)^(P$5+2)</f>
        <v/>
      </c>
      <c r="Q228" s="22">
        <f>1/(1+x_rc)^(Q$5+2)</f>
        <v/>
      </c>
      <c r="R228" s="22">
        <f>1/(1+x_rc)^(R$5+2)</f>
        <v/>
      </c>
      <c r="S228" s="22">
        <f>1/(1+x_rc)^(S$5+2)</f>
        <v/>
      </c>
      <c r="T228" s="22">
        <f>1/(1+x_rc)^(T$5+2)</f>
        <v/>
      </c>
      <c r="U228" s="22">
        <f>1/(1+x_rc)^(U$5+2)</f>
        <v/>
      </c>
      <c r="V228" s="22">
        <f>1/(1+x_rc)^(V$5+2)</f>
        <v/>
      </c>
      <c r="W228" s="22">
        <f>1/(1+x_rc)^(W$5+2)</f>
        <v/>
      </c>
      <c r="X228" s="22">
        <f>1/(1+x_rc)^(X$5+2)</f>
        <v/>
      </c>
      <c r="Y228" s="22">
        <f>1/(1+x_rc)^(Y$5+2)</f>
        <v/>
      </c>
      <c r="Z228" s="22">
        <f>1/(1+x_rc)^(Z$5+2)</f>
        <v/>
      </c>
      <c r="AA228" s="22">
        <f>1/(1+x_rc)^(AA$5+2)</f>
        <v/>
      </c>
      <c r="AB228" s="22">
        <f>1/(1+x_rc)^(AB$5+2)</f>
        <v/>
      </c>
      <c r="AC228" s="22">
        <f>1/(1+x_rc)^(AC$5+2)</f>
        <v/>
      </c>
      <c r="AD228" s="22">
        <f>1/(1+x_rc)^(AD$5+2)</f>
        <v/>
      </c>
      <c r="AE228" s="22">
        <f>1/(1+x_rc)^(AE$5+2)</f>
        <v/>
      </c>
      <c r="AF228" s="22">
        <f>1/(1+x_rc)^(AF$5+2)</f>
        <v/>
      </c>
      <c r="AG228" s="22">
        <f>1/(1+x_rc)^(AG$5+2)</f>
        <v/>
      </c>
      <c r="AH228" s="22">
        <f>1/(1+x_rc)^(AH$5+2)</f>
        <v/>
      </c>
      <c r="AI228" s="22">
        <f>1/(1+x_rc)^(AI$5+2)</f>
        <v/>
      </c>
      <c r="AJ228" s="22">
        <f>1/(1+x_rc)^(AJ$5+2)</f>
        <v/>
      </c>
      <c r="AK228" s="22">
        <f>1/(1+x_rc)^(AK$5+2)</f>
        <v/>
      </c>
      <c r="AL228" s="22">
        <f>1/(1+x_rc)^(AL$5+2)</f>
        <v/>
      </c>
    </row>
    <row r="229">
      <c r="B229" s="7" t="inlineStr">
        <is>
          <t>Discount factor to 1 January 2027, merchant rate</t>
        </is>
      </c>
      <c r="D229" s="22">
        <f>1/(1+x_rm)^(D$5+2)</f>
        <v/>
      </c>
      <c r="E229" s="22">
        <f>1/(1+x_rm)^(E$5+2)</f>
        <v/>
      </c>
      <c r="F229" s="22">
        <f>1/(1+x_rm)^(F$5+2)</f>
        <v/>
      </c>
      <c r="G229" s="22">
        <f>1/(1+x_rm)^(G$5+2)</f>
        <v/>
      </c>
      <c r="H229" s="22">
        <f>1/(1+x_rm)^(H$5+2)</f>
        <v/>
      </c>
      <c r="I229" s="22">
        <f>1/(1+x_rm)^(I$5+2)</f>
        <v/>
      </c>
      <c r="J229" s="22">
        <f>1/(1+x_rm)^(J$5+2)</f>
        <v/>
      </c>
      <c r="K229" s="22">
        <f>1/(1+x_rm)^(K$5+2)</f>
        <v/>
      </c>
      <c r="L229" s="22">
        <f>1/(1+x_rm)^(L$5+2)</f>
        <v/>
      </c>
      <c r="M229" s="22">
        <f>1/(1+x_rm)^(M$5+2)</f>
        <v/>
      </c>
      <c r="N229" s="22">
        <f>1/(1+x_rm)^(N$5+2)</f>
        <v/>
      </c>
      <c r="O229" s="22">
        <f>1/(1+x_rm)^(O$5+2)</f>
        <v/>
      </c>
      <c r="P229" s="22">
        <f>1/(1+x_rm)^(P$5+2)</f>
        <v/>
      </c>
      <c r="Q229" s="22">
        <f>1/(1+x_rm)^(Q$5+2)</f>
        <v/>
      </c>
      <c r="R229" s="22">
        <f>1/(1+x_rm)^(R$5+2)</f>
        <v/>
      </c>
      <c r="S229" s="22">
        <f>1/(1+x_rm)^(S$5+2)</f>
        <v/>
      </c>
      <c r="T229" s="22">
        <f>1/(1+x_rm)^(T$5+2)</f>
        <v/>
      </c>
      <c r="U229" s="22">
        <f>1/(1+x_rm)^(U$5+2)</f>
        <v/>
      </c>
      <c r="V229" s="22">
        <f>1/(1+x_rm)^(V$5+2)</f>
        <v/>
      </c>
      <c r="W229" s="22">
        <f>1/(1+x_rm)^(W$5+2)</f>
        <v/>
      </c>
      <c r="X229" s="22">
        <f>1/(1+x_rm)^(X$5+2)</f>
        <v/>
      </c>
      <c r="Y229" s="22">
        <f>1/(1+x_rm)^(Y$5+2)</f>
        <v/>
      </c>
      <c r="Z229" s="22">
        <f>1/(1+x_rm)^(Z$5+2)</f>
        <v/>
      </c>
      <c r="AA229" s="22">
        <f>1/(1+x_rm)^(AA$5+2)</f>
        <v/>
      </c>
      <c r="AB229" s="22">
        <f>1/(1+x_rm)^(AB$5+2)</f>
        <v/>
      </c>
      <c r="AC229" s="22">
        <f>1/(1+x_rm)^(AC$5+2)</f>
        <v/>
      </c>
      <c r="AD229" s="22">
        <f>1/(1+x_rm)^(AD$5+2)</f>
        <v/>
      </c>
      <c r="AE229" s="22">
        <f>1/(1+x_rm)^(AE$5+2)</f>
        <v/>
      </c>
      <c r="AF229" s="22">
        <f>1/(1+x_rm)^(AF$5+2)</f>
        <v/>
      </c>
      <c r="AG229" s="22">
        <f>1/(1+x_rm)^(AG$5+2)</f>
        <v/>
      </c>
      <c r="AH229" s="22">
        <f>1/(1+x_rm)^(AH$5+2)</f>
        <v/>
      </c>
      <c r="AI229" s="22">
        <f>1/(1+x_rm)^(AI$5+2)</f>
        <v/>
      </c>
      <c r="AJ229" s="22">
        <f>1/(1+x_rm)^(AJ$5+2)</f>
        <v/>
      </c>
      <c r="AK229" s="22">
        <f>1/(1+x_rm)^(AK$5+2)</f>
        <v/>
      </c>
      <c r="AL229" s="22">
        <f>1/(1+x_rm)^(AL$5+2)</f>
        <v/>
      </c>
    </row>
    <row r="230">
      <c r="B230" s="7" t="inlineStr">
        <is>
          <t>Value on 1 January 2027 of the flows from 2028 (split rates) ($)</t>
        </is>
      </c>
      <c r="C230" s="25">
        <f>SUMPRODUCT($D$222:$AL$222,$D$228:$AL$228)+SUMPRODUCT($D$226:$AL$226,$D$228:$AL$228)-SUMPRODUCT($D$224:$AL$224,$D$228:$AL$228)-SUMPRODUCT($D$225:$AL$225,$D$228:$AL$228)+SUMPRODUCT($D$223:$AL$223,$D$229:$AL$229)-decom_end/(1+x_rc)^(life_years+1)</f>
        <v/>
      </c>
    </row>
    <row r="231">
      <c r="B231" s="14" t="inlineStr">
        <is>
          <t>Development value on 1 January 2027: value less the capital cost ($)</t>
        </is>
      </c>
      <c r="C231" s="26">
        <f>C230-C217/(1+x_rc)</f>
        <v/>
      </c>
    </row>
    <row r="232">
      <c r="B232" s="7" t="inlineStr">
        <is>
          <t>Highest premium Ashgrove can pay at NTP ($)</t>
        </is>
      </c>
      <c r="C232" s="25">
        <f>C231-reimb+reimb/(1+x_rc)</f>
        <v/>
      </c>
    </row>
    <row r="235">
      <c r="B235" s="6" t="inlineStr">
        <is>
          <t>ITC instead of PTC, case C</t>
        </is>
      </c>
    </row>
    <row r="236">
      <c r="B236" s="7" t="inlineStr">
        <is>
          <t>Capital cost ($)</t>
        </is>
      </c>
      <c r="C236" s="25">
        <f>((x_module+x_tracker+x_bos)*mwdc*1000000+x_inverter*mwac*1000000+x_sub)*(1+contingency)+x_ic+owner</f>
        <v/>
      </c>
    </row>
    <row r="237">
      <c r="B237" s="7" t="inlineStr">
        <is>
          <t>ITC eligible basis ($)</t>
        </is>
      </c>
      <c r="C237" s="25">
        <f>((x_module+x_tracker+x_bos)*mwdc*1000000+x_inverter*mwac*1000000+x_sub)*(1+contingency)-gentie_share*x_sub</f>
        <v/>
      </c>
    </row>
    <row r="238">
      <c r="B238" s="7" t="inlineStr">
        <is>
          <t>ITC cash at the end of 2028, if elected ($)</t>
        </is>
      </c>
      <c r="C238" s="25">
        <f>IF("ITC"="ITC",C237*(itc_rate+sw_bonus)*transfer_itc,0)</f>
        <v/>
      </c>
    </row>
    <row r="239">
      <c r="B239" s="7" t="inlineStr">
        <is>
          <t>Energy (MWh)</t>
        </is>
      </c>
      <c r="D239" s="23">
        <f>mwac*hours*cf_p50*Energy!D$7*x_scale</f>
        <v/>
      </c>
      <c r="E239" s="23">
        <f>mwac*hours*cf_p50*Energy!E$7*x_scale</f>
        <v/>
      </c>
      <c r="F239" s="23">
        <f>mwac*hours*cf_p50*Energy!F$7*x_scale</f>
        <v/>
      </c>
      <c r="G239" s="23">
        <f>mwac*hours*cf_p50*Energy!G$7*x_scale</f>
        <v/>
      </c>
      <c r="H239" s="23">
        <f>mwac*hours*cf_p50*Energy!H$7*x_scale</f>
        <v/>
      </c>
      <c r="I239" s="23">
        <f>mwac*hours*cf_p50*Energy!I$7*x_scale</f>
        <v/>
      </c>
      <c r="J239" s="23">
        <f>mwac*hours*cf_p50*Energy!J$7*x_scale</f>
        <v/>
      </c>
      <c r="K239" s="23">
        <f>mwac*hours*cf_p50*Energy!K$7*x_scale</f>
        <v/>
      </c>
      <c r="L239" s="23">
        <f>mwac*hours*cf_p50*Energy!L$7*x_scale</f>
        <v/>
      </c>
      <c r="M239" s="23">
        <f>mwac*hours*cf_p50*Energy!M$7*x_scale</f>
        <v/>
      </c>
      <c r="N239" s="23">
        <f>mwac*hours*cf_p50*Energy!N$7*x_scale</f>
        <v/>
      </c>
      <c r="O239" s="23">
        <f>mwac*hours*cf_p50*Energy!O$7*x_scale</f>
        <v/>
      </c>
      <c r="P239" s="23">
        <f>mwac*hours*cf_p50*Energy!P$7*x_scale</f>
        <v/>
      </c>
      <c r="Q239" s="23">
        <f>mwac*hours*cf_p50*Energy!Q$7*x_scale</f>
        <v/>
      </c>
      <c r="R239" s="23">
        <f>mwac*hours*cf_p50*Energy!R$7*x_scale</f>
        <v/>
      </c>
      <c r="S239" s="23">
        <f>mwac*hours*cf_p50*Energy!S$7*x_scale</f>
        <v/>
      </c>
      <c r="T239" s="23">
        <f>mwac*hours*cf_p50*Energy!T$7*x_scale</f>
        <v/>
      </c>
      <c r="U239" s="23">
        <f>mwac*hours*cf_p50*Energy!U$7*x_scale</f>
        <v/>
      </c>
      <c r="V239" s="23">
        <f>mwac*hours*cf_p50*Energy!V$7*x_scale</f>
        <v/>
      </c>
      <c r="W239" s="23">
        <f>mwac*hours*cf_p50*Energy!W$7*x_scale</f>
        <v/>
      </c>
      <c r="X239" s="23">
        <f>mwac*hours*cf_p50*Energy!X$7*x_scale</f>
        <v/>
      </c>
      <c r="Y239" s="23">
        <f>mwac*hours*cf_p50*Energy!Y$7*x_scale</f>
        <v/>
      </c>
      <c r="Z239" s="23">
        <f>mwac*hours*cf_p50*Energy!Z$7*x_scale</f>
        <v/>
      </c>
      <c r="AA239" s="23">
        <f>mwac*hours*cf_p50*Energy!AA$7*x_scale</f>
        <v/>
      </c>
      <c r="AB239" s="23">
        <f>mwac*hours*cf_p50*Energy!AB$7*x_scale</f>
        <v/>
      </c>
      <c r="AC239" s="23">
        <f>mwac*hours*cf_p50*Energy!AC$7*x_scale</f>
        <v/>
      </c>
      <c r="AD239" s="23">
        <f>mwac*hours*cf_p50*Energy!AD$7*x_scale</f>
        <v/>
      </c>
      <c r="AE239" s="23">
        <f>mwac*hours*cf_p50*Energy!AE$7*x_scale</f>
        <v/>
      </c>
      <c r="AF239" s="23">
        <f>mwac*hours*cf_p50*Energy!AF$7*x_scale</f>
        <v/>
      </c>
      <c r="AG239" s="23">
        <f>mwac*hours*cf_p50*Energy!AG$7*x_scale</f>
        <v/>
      </c>
      <c r="AH239" s="23">
        <f>mwac*hours*cf_p50*Energy!AH$7*x_scale</f>
        <v/>
      </c>
      <c r="AI239" s="23">
        <f>mwac*hours*cf_p50*Energy!AI$7*x_scale</f>
        <v/>
      </c>
      <c r="AJ239" s="23">
        <f>mwac*hours*cf_p50*Energy!AJ$7*x_scale</f>
        <v/>
      </c>
      <c r="AK239" s="23">
        <f>mwac*hours*cf_p50*Energy!AK$7*x_scale</f>
        <v/>
      </c>
      <c r="AL239" s="23">
        <f>mwac*hours*cf_p50*Energy!AL$7*x_scale</f>
        <v/>
      </c>
    </row>
    <row r="240">
      <c r="B240" s="7" t="inlineStr">
        <is>
          <t>Node price, hub switch applied ($/MWh)</t>
        </is>
      </c>
      <c r="D240" s="32">
        <f>Market!D$7*(1+sw_hub)*Market!D$8+Market!D$10</f>
        <v/>
      </c>
      <c r="E240" s="32">
        <f>Market!E$7*(1+sw_hub)*Market!E$8+Market!E$10</f>
        <v/>
      </c>
      <c r="F240" s="32">
        <f>Market!F$7*(1+sw_hub)*Market!F$8+Market!F$10</f>
        <v/>
      </c>
      <c r="G240" s="32">
        <f>Market!G$7*(1+sw_hub)*Market!G$8+Market!G$10</f>
        <v/>
      </c>
      <c r="H240" s="32">
        <f>Market!H$7*(1+sw_hub)*Market!H$8+Market!H$10</f>
        <v/>
      </c>
      <c r="I240" s="32">
        <f>Market!I$7*(1+sw_hub)*Market!I$8+Market!I$10</f>
        <v/>
      </c>
      <c r="J240" s="32">
        <f>Market!J$7*(1+sw_hub)*Market!J$8+Market!J$10</f>
        <v/>
      </c>
      <c r="K240" s="32">
        <f>Market!K$7*(1+sw_hub)*Market!K$8+Market!K$10</f>
        <v/>
      </c>
      <c r="L240" s="32">
        <f>Market!L$7*(1+sw_hub)*Market!L$8+Market!L$10</f>
        <v/>
      </c>
      <c r="M240" s="32">
        <f>Market!M$7*(1+sw_hub)*Market!M$8+Market!M$10</f>
        <v/>
      </c>
      <c r="N240" s="32">
        <f>Market!N$7*(1+sw_hub)*Market!N$8+Market!N$10</f>
        <v/>
      </c>
      <c r="O240" s="32">
        <f>Market!O$7*(1+sw_hub)*Market!O$8+Market!O$10</f>
        <v/>
      </c>
      <c r="P240" s="32">
        <f>Market!P$7*(1+sw_hub)*Market!P$8+Market!P$10</f>
        <v/>
      </c>
      <c r="Q240" s="32">
        <f>Market!Q$7*(1+sw_hub)*Market!Q$8+Market!Q$10</f>
        <v/>
      </c>
      <c r="R240" s="32">
        <f>Market!R$7*(1+sw_hub)*Market!R$8+Market!R$10</f>
        <v/>
      </c>
      <c r="S240" s="32">
        <f>Market!S$7*(1+sw_hub)*Market!S$8+Market!S$10</f>
        <v/>
      </c>
      <c r="T240" s="32">
        <f>Market!T$7*(1+sw_hub)*Market!T$8+Market!T$10</f>
        <v/>
      </c>
      <c r="U240" s="32">
        <f>Market!U$7*(1+sw_hub)*Market!U$8+Market!U$10</f>
        <v/>
      </c>
      <c r="V240" s="32">
        <f>Market!V$7*(1+sw_hub)*Market!V$8+Market!V$10</f>
        <v/>
      </c>
      <c r="W240" s="32">
        <f>Market!W$7*(1+sw_hub)*Market!W$8+Market!W$10</f>
        <v/>
      </c>
      <c r="X240" s="32">
        <f>Market!X$7*(1+sw_hub)*Market!X$8+Market!X$10</f>
        <v/>
      </c>
      <c r="Y240" s="32">
        <f>Market!Y$7*(1+sw_hub)*Market!Y$8+Market!Y$10</f>
        <v/>
      </c>
      <c r="Z240" s="32">
        <f>Market!Z$7*(1+sw_hub)*Market!Z$8+Market!Z$10</f>
        <v/>
      </c>
      <c r="AA240" s="32">
        <f>Market!AA$7*(1+sw_hub)*Market!AA$8+Market!AA$10</f>
        <v/>
      </c>
      <c r="AB240" s="32">
        <f>Market!AB$7*(1+sw_hub)*Market!AB$8+Market!AB$10</f>
        <v/>
      </c>
      <c r="AC240" s="32">
        <f>Market!AC$7*(1+sw_hub)*Market!AC$8+Market!AC$10</f>
        <v/>
      </c>
      <c r="AD240" s="32">
        <f>Market!AD$7*(1+sw_hub)*Market!AD$8+Market!AD$10</f>
        <v/>
      </c>
      <c r="AE240" s="32">
        <f>Market!AE$7*(1+sw_hub)*Market!AE$8+Market!AE$10</f>
        <v/>
      </c>
      <c r="AF240" s="32">
        <f>Market!AF$7*(1+sw_hub)*Market!AF$8+Market!AF$10</f>
        <v/>
      </c>
      <c r="AG240" s="32">
        <f>Market!AG$7*(1+sw_hub)*Market!AG$8+Market!AG$10</f>
        <v/>
      </c>
      <c r="AH240" s="32">
        <f>Market!AH$7*(1+sw_hub)*Market!AH$8+Market!AH$10</f>
        <v/>
      </c>
      <c r="AI240" s="32">
        <f>Market!AI$7*(1+sw_hub)*Market!AI$8+Market!AI$10</f>
        <v/>
      </c>
      <c r="AJ240" s="32">
        <f>Market!AJ$7*(1+sw_hub)*Market!AJ$8+Market!AJ$10</f>
        <v/>
      </c>
      <c r="AK240" s="32">
        <f>Market!AK$7*(1+sw_hub)*Market!AK$8+Market!AK$10</f>
        <v/>
      </c>
      <c r="AL240" s="32">
        <f>Market!AL$7*(1+sw_hub)*Market!AL$8+Market!AL$10</f>
        <v/>
      </c>
    </row>
    <row r="241">
      <c r="B241" s="7" t="inlineStr">
        <is>
          <t>Contracted revenue ($)</t>
        </is>
      </c>
      <c r="D241" s="25">
        <f>IF(D$5&lt;c_years,D239*c_price,0)</f>
        <v/>
      </c>
      <c r="E241" s="25">
        <f>IF(E$5&lt;c_years,E239*c_price,0)</f>
        <v/>
      </c>
      <c r="F241" s="25">
        <f>IF(F$5&lt;c_years,F239*c_price,0)</f>
        <v/>
      </c>
      <c r="G241" s="25">
        <f>IF(G$5&lt;c_years,G239*c_price,0)</f>
        <v/>
      </c>
      <c r="H241" s="25">
        <f>IF(H$5&lt;c_years,H239*c_price,0)</f>
        <v/>
      </c>
      <c r="I241" s="25">
        <f>IF(I$5&lt;c_years,I239*c_price,0)</f>
        <v/>
      </c>
      <c r="J241" s="25">
        <f>IF(J$5&lt;c_years,J239*c_price,0)</f>
        <v/>
      </c>
      <c r="K241" s="25">
        <f>IF(K$5&lt;c_years,K239*c_price,0)</f>
        <v/>
      </c>
      <c r="L241" s="25">
        <f>IF(L$5&lt;c_years,L239*c_price,0)</f>
        <v/>
      </c>
      <c r="M241" s="25">
        <f>IF(M$5&lt;c_years,M239*c_price,0)</f>
        <v/>
      </c>
      <c r="N241" s="25">
        <f>IF(N$5&lt;c_years,N239*c_price,0)</f>
        <v/>
      </c>
      <c r="O241" s="25">
        <f>IF(O$5&lt;c_years,O239*c_price,0)</f>
        <v/>
      </c>
      <c r="P241" s="25">
        <f>IF(P$5&lt;c_years,P239*c_price,0)</f>
        <v/>
      </c>
      <c r="Q241" s="25">
        <f>IF(Q$5&lt;c_years,Q239*c_price,0)</f>
        <v/>
      </c>
      <c r="R241" s="25">
        <f>IF(R$5&lt;c_years,R239*c_price,0)</f>
        <v/>
      </c>
      <c r="S241" s="25">
        <f>IF(S$5&lt;c_years,S239*c_price,0)</f>
        <v/>
      </c>
      <c r="T241" s="25">
        <f>IF(T$5&lt;c_years,T239*c_price,0)</f>
        <v/>
      </c>
      <c r="U241" s="25">
        <f>IF(U$5&lt;c_years,U239*c_price,0)</f>
        <v/>
      </c>
      <c r="V241" s="25">
        <f>IF(V$5&lt;c_years,V239*c_price,0)</f>
        <v/>
      </c>
      <c r="W241" s="25">
        <f>IF(W$5&lt;c_years,W239*c_price,0)</f>
        <v/>
      </c>
      <c r="X241" s="25">
        <f>IF(X$5&lt;c_years,X239*c_price,0)</f>
        <v/>
      </c>
      <c r="Y241" s="25">
        <f>IF(Y$5&lt;c_years,Y239*c_price,0)</f>
        <v/>
      </c>
      <c r="Z241" s="25">
        <f>IF(Z$5&lt;c_years,Z239*c_price,0)</f>
        <v/>
      </c>
      <c r="AA241" s="25">
        <f>IF(AA$5&lt;c_years,AA239*c_price,0)</f>
        <v/>
      </c>
      <c r="AB241" s="25">
        <f>IF(AB$5&lt;c_years,AB239*c_price,0)</f>
        <v/>
      </c>
      <c r="AC241" s="25">
        <f>IF(AC$5&lt;c_years,AC239*c_price,0)</f>
        <v/>
      </c>
      <c r="AD241" s="25">
        <f>IF(AD$5&lt;c_years,AD239*c_price,0)</f>
        <v/>
      </c>
      <c r="AE241" s="25">
        <f>IF(AE$5&lt;c_years,AE239*c_price,0)</f>
        <v/>
      </c>
      <c r="AF241" s="25">
        <f>IF(AF$5&lt;c_years,AF239*c_price,0)</f>
        <v/>
      </c>
      <c r="AG241" s="25">
        <f>IF(AG$5&lt;c_years,AG239*c_price,0)</f>
        <v/>
      </c>
      <c r="AH241" s="25">
        <f>IF(AH$5&lt;c_years,AH239*c_price,0)</f>
        <v/>
      </c>
      <c r="AI241" s="25">
        <f>IF(AI$5&lt;c_years,AI239*c_price,0)</f>
        <v/>
      </c>
      <c r="AJ241" s="25">
        <f>IF(AJ$5&lt;c_years,AJ239*c_price,0)</f>
        <v/>
      </c>
      <c r="AK241" s="25">
        <f>IF(AK$5&lt;c_years,AK239*c_price,0)</f>
        <v/>
      </c>
      <c r="AL241" s="25">
        <f>IF(AL$5&lt;c_years,AL239*c_price,0)</f>
        <v/>
      </c>
    </row>
    <row r="242">
      <c r="B242" s="7" t="inlineStr">
        <is>
          <t>Merchant revenue ($)</t>
        </is>
      </c>
      <c r="D242" s="25">
        <f>IF(D$5&lt;c_years,Market!D$13,D239*(D240+rec_price)+Market!D$13)</f>
        <v/>
      </c>
      <c r="E242" s="25">
        <f>IF(E$5&lt;c_years,Market!E$13,E239*(E240+rec_price)+Market!E$13)</f>
        <v/>
      </c>
      <c r="F242" s="25">
        <f>IF(F$5&lt;c_years,Market!F$13,F239*(F240+rec_price)+Market!F$13)</f>
        <v/>
      </c>
      <c r="G242" s="25">
        <f>IF(G$5&lt;c_years,Market!G$13,G239*(G240+rec_price)+Market!G$13)</f>
        <v/>
      </c>
      <c r="H242" s="25">
        <f>IF(H$5&lt;c_years,Market!H$13,H239*(H240+rec_price)+Market!H$13)</f>
        <v/>
      </c>
      <c r="I242" s="25">
        <f>IF(I$5&lt;c_years,Market!I$13,I239*(I240+rec_price)+Market!I$13)</f>
        <v/>
      </c>
      <c r="J242" s="25">
        <f>IF(J$5&lt;c_years,Market!J$13,J239*(J240+rec_price)+Market!J$13)</f>
        <v/>
      </c>
      <c r="K242" s="25">
        <f>IF(K$5&lt;c_years,Market!K$13,K239*(K240+rec_price)+Market!K$13)</f>
        <v/>
      </c>
      <c r="L242" s="25">
        <f>IF(L$5&lt;c_years,Market!L$13,L239*(L240+rec_price)+Market!L$13)</f>
        <v/>
      </c>
      <c r="M242" s="25">
        <f>IF(M$5&lt;c_years,Market!M$13,M239*(M240+rec_price)+Market!M$13)</f>
        <v/>
      </c>
      <c r="N242" s="25">
        <f>IF(N$5&lt;c_years,Market!N$13,N239*(N240+rec_price)+Market!N$13)</f>
        <v/>
      </c>
      <c r="O242" s="25">
        <f>IF(O$5&lt;c_years,Market!O$13,O239*(O240+rec_price)+Market!O$13)</f>
        <v/>
      </c>
      <c r="P242" s="25">
        <f>IF(P$5&lt;c_years,Market!P$13,P239*(P240+rec_price)+Market!P$13)</f>
        <v/>
      </c>
      <c r="Q242" s="25">
        <f>IF(Q$5&lt;c_years,Market!Q$13,Q239*(Q240+rec_price)+Market!Q$13)</f>
        <v/>
      </c>
      <c r="R242" s="25">
        <f>IF(R$5&lt;c_years,Market!R$13,R239*(R240+rec_price)+Market!R$13)</f>
        <v/>
      </c>
      <c r="S242" s="25">
        <f>IF(S$5&lt;c_years,Market!S$13,S239*(S240+rec_price)+Market!S$13)</f>
        <v/>
      </c>
      <c r="T242" s="25">
        <f>IF(T$5&lt;c_years,Market!T$13,T239*(T240+rec_price)+Market!T$13)</f>
        <v/>
      </c>
      <c r="U242" s="25">
        <f>IF(U$5&lt;c_years,Market!U$13,U239*(U240+rec_price)+Market!U$13)</f>
        <v/>
      </c>
      <c r="V242" s="25">
        <f>IF(V$5&lt;c_years,Market!V$13,V239*(V240+rec_price)+Market!V$13)</f>
        <v/>
      </c>
      <c r="W242" s="25">
        <f>IF(W$5&lt;c_years,Market!W$13,W239*(W240+rec_price)+Market!W$13)</f>
        <v/>
      </c>
      <c r="X242" s="25">
        <f>IF(X$5&lt;c_years,Market!X$13,X239*(X240+rec_price)+Market!X$13)</f>
        <v/>
      </c>
      <c r="Y242" s="25">
        <f>IF(Y$5&lt;c_years,Market!Y$13,Y239*(Y240+rec_price)+Market!Y$13)</f>
        <v/>
      </c>
      <c r="Z242" s="25">
        <f>IF(Z$5&lt;c_years,Market!Z$13,Z239*(Z240+rec_price)+Market!Z$13)</f>
        <v/>
      </c>
      <c r="AA242" s="25">
        <f>IF(AA$5&lt;c_years,Market!AA$13,AA239*(AA240+rec_price)+Market!AA$13)</f>
        <v/>
      </c>
      <c r="AB242" s="25">
        <f>IF(AB$5&lt;c_years,Market!AB$13,AB239*(AB240+rec_price)+Market!AB$13)</f>
        <v/>
      </c>
      <c r="AC242" s="25">
        <f>IF(AC$5&lt;c_years,Market!AC$13,AC239*(AC240+rec_price)+Market!AC$13)</f>
        <v/>
      </c>
      <c r="AD242" s="25">
        <f>IF(AD$5&lt;c_years,Market!AD$13,AD239*(AD240+rec_price)+Market!AD$13)</f>
        <v/>
      </c>
      <c r="AE242" s="25">
        <f>IF(AE$5&lt;c_years,Market!AE$13,AE239*(AE240+rec_price)+Market!AE$13)</f>
        <v/>
      </c>
      <c r="AF242" s="25">
        <f>IF(AF$5&lt;c_years,Market!AF$13,AF239*(AF240+rec_price)+Market!AF$13)</f>
        <v/>
      </c>
      <c r="AG242" s="25">
        <f>IF(AG$5&lt;c_years,Market!AG$13,AG239*(AG240+rec_price)+Market!AG$13)</f>
        <v/>
      </c>
      <c r="AH242" s="25">
        <f>IF(AH$5&lt;c_years,Market!AH$13,AH239*(AH240+rec_price)+Market!AH$13)</f>
        <v/>
      </c>
      <c r="AI242" s="25">
        <f>IF(AI$5&lt;c_years,Market!AI$13,AI239*(AI240+rec_price)+Market!AI$13)</f>
        <v/>
      </c>
      <c r="AJ242" s="25">
        <f>IF(AJ$5&lt;c_years,Market!AJ$13,AJ239*(AJ240+rec_price)+Market!AJ$13)</f>
        <v/>
      </c>
      <c r="AK242" s="25">
        <f>IF(AK$5&lt;c_years,Market!AK$13,AK239*(AK240+rec_price)+Market!AK$13)</f>
        <v/>
      </c>
      <c r="AL242" s="25">
        <f>IF(AL$5&lt;c_years,Market!AL$13,AL239*(AL240+rec_price)+Market!AL$13)</f>
        <v/>
      </c>
    </row>
    <row r="243">
      <c r="B243" s="7" t="inlineStr">
        <is>
          <t>Basis cost kept by the project ($)</t>
        </is>
      </c>
      <c r="D243" s="25">
        <f>IF(D$5&lt;c_years,-D239*Market!D$10,0)</f>
        <v/>
      </c>
      <c r="E243" s="25">
        <f>IF(E$5&lt;c_years,-E239*Market!E$10,0)</f>
        <v/>
      </c>
      <c r="F243" s="25">
        <f>IF(F$5&lt;c_years,-F239*Market!F$10,0)</f>
        <v/>
      </c>
      <c r="G243" s="25">
        <f>IF(G$5&lt;c_years,-G239*Market!G$10,0)</f>
        <v/>
      </c>
      <c r="H243" s="25">
        <f>IF(H$5&lt;c_years,-H239*Market!H$10,0)</f>
        <v/>
      </c>
      <c r="I243" s="25">
        <f>IF(I$5&lt;c_years,-I239*Market!I$10,0)</f>
        <v/>
      </c>
      <c r="J243" s="25">
        <f>IF(J$5&lt;c_years,-J239*Market!J$10,0)</f>
        <v/>
      </c>
      <c r="K243" s="25">
        <f>IF(K$5&lt;c_years,-K239*Market!K$10,0)</f>
        <v/>
      </c>
      <c r="L243" s="25">
        <f>IF(L$5&lt;c_years,-L239*Market!L$10,0)</f>
        <v/>
      </c>
      <c r="M243" s="25">
        <f>IF(M$5&lt;c_years,-M239*Market!M$10,0)</f>
        <v/>
      </c>
      <c r="N243" s="25">
        <f>IF(N$5&lt;c_years,-N239*Market!N$10,0)</f>
        <v/>
      </c>
      <c r="O243" s="25">
        <f>IF(O$5&lt;c_years,-O239*Market!O$10,0)</f>
        <v/>
      </c>
      <c r="P243" s="25">
        <f>IF(P$5&lt;c_years,-P239*Market!P$10,0)</f>
        <v/>
      </c>
      <c r="Q243" s="25">
        <f>IF(Q$5&lt;c_years,-Q239*Market!Q$10,0)</f>
        <v/>
      </c>
      <c r="R243" s="25">
        <f>IF(R$5&lt;c_years,-R239*Market!R$10,0)</f>
        <v/>
      </c>
      <c r="S243" s="25">
        <f>IF(S$5&lt;c_years,-S239*Market!S$10,0)</f>
        <v/>
      </c>
      <c r="T243" s="25">
        <f>IF(T$5&lt;c_years,-T239*Market!T$10,0)</f>
        <v/>
      </c>
      <c r="U243" s="25">
        <f>IF(U$5&lt;c_years,-U239*Market!U$10,0)</f>
        <v/>
      </c>
      <c r="V243" s="25">
        <f>IF(V$5&lt;c_years,-V239*Market!V$10,0)</f>
        <v/>
      </c>
      <c r="W243" s="25">
        <f>IF(W$5&lt;c_years,-W239*Market!W$10,0)</f>
        <v/>
      </c>
      <c r="X243" s="25">
        <f>IF(X$5&lt;c_years,-X239*Market!X$10,0)</f>
        <v/>
      </c>
      <c r="Y243" s="25">
        <f>IF(Y$5&lt;c_years,-Y239*Market!Y$10,0)</f>
        <v/>
      </c>
      <c r="Z243" s="25">
        <f>IF(Z$5&lt;c_years,-Z239*Market!Z$10,0)</f>
        <v/>
      </c>
      <c r="AA243" s="25">
        <f>IF(AA$5&lt;c_years,-AA239*Market!AA$10,0)</f>
        <v/>
      </c>
      <c r="AB243" s="25">
        <f>IF(AB$5&lt;c_years,-AB239*Market!AB$10,0)</f>
        <v/>
      </c>
      <c r="AC243" s="25">
        <f>IF(AC$5&lt;c_years,-AC239*Market!AC$10,0)</f>
        <v/>
      </c>
      <c r="AD243" s="25">
        <f>IF(AD$5&lt;c_years,-AD239*Market!AD$10,0)</f>
        <v/>
      </c>
      <c r="AE243" s="25">
        <f>IF(AE$5&lt;c_years,-AE239*Market!AE$10,0)</f>
        <v/>
      </c>
      <c r="AF243" s="25">
        <f>IF(AF$5&lt;c_years,-AF239*Market!AF$10,0)</f>
        <v/>
      </c>
      <c r="AG243" s="25">
        <f>IF(AG$5&lt;c_years,-AG239*Market!AG$10,0)</f>
        <v/>
      </c>
      <c r="AH243" s="25">
        <f>IF(AH$5&lt;c_years,-AH239*Market!AH$10,0)</f>
        <v/>
      </c>
      <c r="AI243" s="25">
        <f>IF(AI$5&lt;c_years,-AI239*Market!AI$10,0)</f>
        <v/>
      </c>
      <c r="AJ243" s="25">
        <f>IF(AJ$5&lt;c_years,-AJ239*Market!AJ$10,0)</f>
        <v/>
      </c>
      <c r="AK243" s="25">
        <f>IF(AK$5&lt;c_years,-AK239*Market!AK$10,0)</f>
        <v/>
      </c>
      <c r="AL243" s="25">
        <f>IF(AL$5&lt;c_years,-AL239*Market!AL$10,0)</f>
        <v/>
      </c>
    </row>
    <row r="244">
      <c r="B244" s="7" t="inlineStr">
        <is>
          <t>Operating cost ($)</t>
        </is>
      </c>
      <c r="D244" s="25">
        <f>(om_kw*mwac*1000+ins_rate*$C$236+am_cost+prop_tax+misc_cost)*Opex!D$7+rent_acre*acres_lease*Opex!D$8</f>
        <v/>
      </c>
      <c r="E244" s="25">
        <f>(om_kw*mwac*1000+ins_rate*$C$236+am_cost+prop_tax+misc_cost)*Opex!E$7+rent_acre*acres_lease*Opex!E$8</f>
        <v/>
      </c>
      <c r="F244" s="25">
        <f>(om_kw*mwac*1000+ins_rate*$C$236+am_cost+prop_tax+misc_cost)*Opex!F$7+rent_acre*acres_lease*Opex!F$8</f>
        <v/>
      </c>
      <c r="G244" s="25">
        <f>(om_kw*mwac*1000+ins_rate*$C$236+am_cost+prop_tax+misc_cost)*Opex!G$7+rent_acre*acres_lease*Opex!G$8</f>
        <v/>
      </c>
      <c r="H244" s="25">
        <f>(om_kw*mwac*1000+ins_rate*$C$236+am_cost+prop_tax+misc_cost)*Opex!H$7+rent_acre*acres_lease*Opex!H$8</f>
        <v/>
      </c>
      <c r="I244" s="25">
        <f>(om_kw*mwac*1000+ins_rate*$C$236+am_cost+prop_tax+misc_cost)*Opex!I$7+rent_acre*acres_lease*Opex!I$8</f>
        <v/>
      </c>
      <c r="J244" s="25">
        <f>(om_kw*mwac*1000+ins_rate*$C$236+am_cost+prop_tax+misc_cost)*Opex!J$7+rent_acre*acres_lease*Opex!J$8</f>
        <v/>
      </c>
      <c r="K244" s="25">
        <f>(om_kw*mwac*1000+ins_rate*$C$236+am_cost+prop_tax+misc_cost)*Opex!K$7+rent_acre*acres_lease*Opex!K$8</f>
        <v/>
      </c>
      <c r="L244" s="25">
        <f>(om_kw*mwac*1000+ins_rate*$C$236+am_cost+prop_tax+misc_cost)*Opex!L$7+rent_acre*acres_lease*Opex!L$8</f>
        <v/>
      </c>
      <c r="M244" s="25">
        <f>(om_kw*mwac*1000+ins_rate*$C$236+am_cost+prop_tax+misc_cost)*Opex!M$7+rent_acre*acres_lease*Opex!M$8</f>
        <v/>
      </c>
      <c r="N244" s="25">
        <f>(om_kw*mwac*1000+ins_rate*$C$236+am_cost+prop_tax+misc_cost)*Opex!N$7+rent_acre*acres_lease*Opex!N$8</f>
        <v/>
      </c>
      <c r="O244" s="25">
        <f>(om_kw*mwac*1000+ins_rate*$C$236+am_cost+prop_tax+misc_cost)*Opex!O$7+rent_acre*acres_lease*Opex!O$8</f>
        <v/>
      </c>
      <c r="P244" s="25">
        <f>(om_kw*mwac*1000+ins_rate*$C$236+am_cost+prop_tax+misc_cost)*Opex!P$7+rent_acre*acres_lease*Opex!P$8</f>
        <v/>
      </c>
      <c r="Q244" s="25">
        <f>(om_kw*mwac*1000+ins_rate*$C$236+am_cost+prop_tax+misc_cost)*Opex!Q$7+rent_acre*acres_lease*Opex!Q$8</f>
        <v/>
      </c>
      <c r="R244" s="25">
        <f>(om_kw*mwac*1000+ins_rate*$C$236+am_cost+prop_tax+misc_cost)*Opex!R$7+rent_acre*acres_lease*Opex!R$8</f>
        <v/>
      </c>
      <c r="S244" s="25">
        <f>(om_kw*mwac*1000+ins_rate*$C$236+am_cost+prop_tax+misc_cost)*Opex!S$7+rent_acre*acres_lease*Opex!S$8</f>
        <v/>
      </c>
      <c r="T244" s="25">
        <f>(om_kw*mwac*1000+ins_rate*$C$236+am_cost+prop_tax+misc_cost)*Opex!T$7+rent_acre*acres_lease*Opex!T$8</f>
        <v/>
      </c>
      <c r="U244" s="25">
        <f>(om_kw*mwac*1000+ins_rate*$C$236+am_cost+prop_tax+misc_cost)*Opex!U$7+rent_acre*acres_lease*Opex!U$8</f>
        <v/>
      </c>
      <c r="V244" s="25">
        <f>(om_kw*mwac*1000+ins_rate*$C$236+am_cost+prop_tax+misc_cost)*Opex!V$7+rent_acre*acres_lease*Opex!V$8</f>
        <v/>
      </c>
      <c r="W244" s="25">
        <f>(om_kw*mwac*1000+ins_rate*$C$236+am_cost+prop_tax+misc_cost)*Opex!W$7+rent_acre*acres_lease*Opex!W$8</f>
        <v/>
      </c>
      <c r="X244" s="25">
        <f>(om_kw*mwac*1000+ins_rate*$C$236+am_cost+prop_tax+misc_cost)*Opex!X$7+rent_acre*acres_lease*Opex!X$8</f>
        <v/>
      </c>
      <c r="Y244" s="25">
        <f>(om_kw*mwac*1000+ins_rate*$C$236+am_cost+prop_tax+misc_cost)*Opex!Y$7+rent_acre*acres_lease*Opex!Y$8</f>
        <v/>
      </c>
      <c r="Z244" s="25">
        <f>(om_kw*mwac*1000+ins_rate*$C$236+am_cost+prop_tax+misc_cost)*Opex!Z$7+rent_acre*acres_lease*Opex!Z$8</f>
        <v/>
      </c>
      <c r="AA244" s="25">
        <f>(om_kw*mwac*1000+ins_rate*$C$236+am_cost+prop_tax+misc_cost)*Opex!AA$7+rent_acre*acres_lease*Opex!AA$8</f>
        <v/>
      </c>
      <c r="AB244" s="25">
        <f>(om_kw*mwac*1000+ins_rate*$C$236+am_cost+prop_tax+misc_cost)*Opex!AB$7+rent_acre*acres_lease*Opex!AB$8</f>
        <v/>
      </c>
      <c r="AC244" s="25">
        <f>(om_kw*mwac*1000+ins_rate*$C$236+am_cost+prop_tax+misc_cost)*Opex!AC$7+rent_acre*acres_lease*Opex!AC$8</f>
        <v/>
      </c>
      <c r="AD244" s="25">
        <f>(om_kw*mwac*1000+ins_rate*$C$236+am_cost+prop_tax+misc_cost)*Opex!AD$7+rent_acre*acres_lease*Opex!AD$8</f>
        <v/>
      </c>
      <c r="AE244" s="25">
        <f>(om_kw*mwac*1000+ins_rate*$C$236+am_cost+prop_tax+misc_cost)*Opex!AE$7+rent_acre*acres_lease*Opex!AE$8</f>
        <v/>
      </c>
      <c r="AF244" s="25">
        <f>(om_kw*mwac*1000+ins_rate*$C$236+am_cost+prop_tax+misc_cost)*Opex!AF$7+rent_acre*acres_lease*Opex!AF$8</f>
        <v/>
      </c>
      <c r="AG244" s="25">
        <f>(om_kw*mwac*1000+ins_rate*$C$236+am_cost+prop_tax+misc_cost)*Opex!AG$7+rent_acre*acres_lease*Opex!AG$8</f>
        <v/>
      </c>
      <c r="AH244" s="25">
        <f>(om_kw*mwac*1000+ins_rate*$C$236+am_cost+prop_tax+misc_cost)*Opex!AH$7+rent_acre*acres_lease*Opex!AH$8</f>
        <v/>
      </c>
      <c r="AI244" s="25">
        <f>(om_kw*mwac*1000+ins_rate*$C$236+am_cost+prop_tax+misc_cost)*Opex!AI$7+rent_acre*acres_lease*Opex!AI$8</f>
        <v/>
      </c>
      <c r="AJ244" s="25">
        <f>(om_kw*mwac*1000+ins_rate*$C$236+am_cost+prop_tax+misc_cost)*Opex!AJ$7+rent_acre*acres_lease*Opex!AJ$8</f>
        <v/>
      </c>
      <c r="AK244" s="25">
        <f>(om_kw*mwac*1000+ins_rate*$C$236+am_cost+prop_tax+misc_cost)*Opex!AK$7+rent_acre*acres_lease*Opex!AK$8</f>
        <v/>
      </c>
      <c r="AL244" s="25">
        <f>(om_kw*mwac*1000+ins_rate*$C$236+am_cost+prop_tax+misc_cost)*Opex!AL$7+rent_acre*acres_lease*Opex!AL$8</f>
        <v/>
      </c>
    </row>
    <row r="245">
      <c r="B245" s="7" t="inlineStr">
        <is>
          <t>Credit cash ($)</t>
        </is>
      </c>
      <c r="D245" s="25">
        <f>IF("ITC"="PTC",IF(D$5&lt;ptc_years,D239*Credits!D$8*(1+sw_bonus)*transfer_ptc,0),0)+IF(D$5=0,$C$238,0)</f>
        <v/>
      </c>
      <c r="E245" s="25">
        <f>IF("ITC"="PTC",IF(E$5&lt;ptc_years,E239*Credits!E$8*(1+sw_bonus)*transfer_ptc,0),0)+IF(E$5=0,$C$238,0)</f>
        <v/>
      </c>
      <c r="F245" s="25">
        <f>IF("ITC"="PTC",IF(F$5&lt;ptc_years,F239*Credits!F$8*(1+sw_bonus)*transfer_ptc,0),0)+IF(F$5=0,$C$238,0)</f>
        <v/>
      </c>
      <c r="G245" s="25">
        <f>IF("ITC"="PTC",IF(G$5&lt;ptc_years,G239*Credits!G$8*(1+sw_bonus)*transfer_ptc,0),0)+IF(G$5=0,$C$238,0)</f>
        <v/>
      </c>
      <c r="H245" s="25">
        <f>IF("ITC"="PTC",IF(H$5&lt;ptc_years,H239*Credits!H$8*(1+sw_bonus)*transfer_ptc,0),0)+IF(H$5=0,$C$238,0)</f>
        <v/>
      </c>
      <c r="I245" s="25">
        <f>IF("ITC"="PTC",IF(I$5&lt;ptc_years,I239*Credits!I$8*(1+sw_bonus)*transfer_ptc,0),0)+IF(I$5=0,$C$238,0)</f>
        <v/>
      </c>
      <c r="J245" s="25">
        <f>IF("ITC"="PTC",IF(J$5&lt;ptc_years,J239*Credits!J$8*(1+sw_bonus)*transfer_ptc,0),0)+IF(J$5=0,$C$238,0)</f>
        <v/>
      </c>
      <c r="K245" s="25">
        <f>IF("ITC"="PTC",IF(K$5&lt;ptc_years,K239*Credits!K$8*(1+sw_bonus)*transfer_ptc,0),0)+IF(K$5=0,$C$238,0)</f>
        <v/>
      </c>
      <c r="L245" s="25">
        <f>IF("ITC"="PTC",IF(L$5&lt;ptc_years,L239*Credits!L$8*(1+sw_bonus)*transfer_ptc,0),0)+IF(L$5=0,$C$238,0)</f>
        <v/>
      </c>
      <c r="M245" s="25">
        <f>IF("ITC"="PTC",IF(M$5&lt;ptc_years,M239*Credits!M$8*(1+sw_bonus)*transfer_ptc,0),0)+IF(M$5=0,$C$238,0)</f>
        <v/>
      </c>
      <c r="N245" s="25">
        <f>IF("ITC"="PTC",IF(N$5&lt;ptc_years,N239*Credits!N$8*(1+sw_bonus)*transfer_ptc,0),0)+IF(N$5=0,$C$238,0)</f>
        <v/>
      </c>
      <c r="O245" s="25">
        <f>IF("ITC"="PTC",IF(O$5&lt;ptc_years,O239*Credits!O$8*(1+sw_bonus)*transfer_ptc,0),0)+IF(O$5=0,$C$238,0)</f>
        <v/>
      </c>
      <c r="P245" s="25">
        <f>IF("ITC"="PTC",IF(P$5&lt;ptc_years,P239*Credits!P$8*(1+sw_bonus)*transfer_ptc,0),0)+IF(P$5=0,$C$238,0)</f>
        <v/>
      </c>
      <c r="Q245" s="25">
        <f>IF("ITC"="PTC",IF(Q$5&lt;ptc_years,Q239*Credits!Q$8*(1+sw_bonus)*transfer_ptc,0),0)+IF(Q$5=0,$C$238,0)</f>
        <v/>
      </c>
      <c r="R245" s="25">
        <f>IF("ITC"="PTC",IF(R$5&lt;ptc_years,R239*Credits!R$8*(1+sw_bonus)*transfer_ptc,0),0)+IF(R$5=0,$C$238,0)</f>
        <v/>
      </c>
      <c r="S245" s="25">
        <f>IF("ITC"="PTC",IF(S$5&lt;ptc_years,S239*Credits!S$8*(1+sw_bonus)*transfer_ptc,0),0)+IF(S$5=0,$C$238,0)</f>
        <v/>
      </c>
      <c r="T245" s="25">
        <f>IF("ITC"="PTC",IF(T$5&lt;ptc_years,T239*Credits!T$8*(1+sw_bonus)*transfer_ptc,0),0)+IF(T$5=0,$C$238,0)</f>
        <v/>
      </c>
      <c r="U245" s="25">
        <f>IF("ITC"="PTC",IF(U$5&lt;ptc_years,U239*Credits!U$8*(1+sw_bonus)*transfer_ptc,0),0)+IF(U$5=0,$C$238,0)</f>
        <v/>
      </c>
      <c r="V245" s="25">
        <f>IF("ITC"="PTC",IF(V$5&lt;ptc_years,V239*Credits!V$8*(1+sw_bonus)*transfer_ptc,0),0)+IF(V$5=0,$C$238,0)</f>
        <v/>
      </c>
      <c r="W245" s="25">
        <f>IF("ITC"="PTC",IF(W$5&lt;ptc_years,W239*Credits!W$8*(1+sw_bonus)*transfer_ptc,0),0)+IF(W$5=0,$C$238,0)</f>
        <v/>
      </c>
      <c r="X245" s="25">
        <f>IF("ITC"="PTC",IF(X$5&lt;ptc_years,X239*Credits!X$8*(1+sw_bonus)*transfer_ptc,0),0)+IF(X$5=0,$C$238,0)</f>
        <v/>
      </c>
      <c r="Y245" s="25">
        <f>IF("ITC"="PTC",IF(Y$5&lt;ptc_years,Y239*Credits!Y$8*(1+sw_bonus)*transfer_ptc,0),0)+IF(Y$5=0,$C$238,0)</f>
        <v/>
      </c>
      <c r="Z245" s="25">
        <f>IF("ITC"="PTC",IF(Z$5&lt;ptc_years,Z239*Credits!Z$8*(1+sw_bonus)*transfer_ptc,0),0)+IF(Z$5=0,$C$238,0)</f>
        <v/>
      </c>
      <c r="AA245" s="25">
        <f>IF("ITC"="PTC",IF(AA$5&lt;ptc_years,AA239*Credits!AA$8*(1+sw_bonus)*transfer_ptc,0),0)+IF(AA$5=0,$C$238,0)</f>
        <v/>
      </c>
      <c r="AB245" s="25">
        <f>IF("ITC"="PTC",IF(AB$5&lt;ptc_years,AB239*Credits!AB$8*(1+sw_bonus)*transfer_ptc,0),0)+IF(AB$5=0,$C$238,0)</f>
        <v/>
      </c>
      <c r="AC245" s="25">
        <f>IF("ITC"="PTC",IF(AC$5&lt;ptc_years,AC239*Credits!AC$8*(1+sw_bonus)*transfer_ptc,0),0)+IF(AC$5=0,$C$238,0)</f>
        <v/>
      </c>
      <c r="AD245" s="25">
        <f>IF("ITC"="PTC",IF(AD$5&lt;ptc_years,AD239*Credits!AD$8*(1+sw_bonus)*transfer_ptc,0),0)+IF(AD$5=0,$C$238,0)</f>
        <v/>
      </c>
      <c r="AE245" s="25">
        <f>IF("ITC"="PTC",IF(AE$5&lt;ptc_years,AE239*Credits!AE$8*(1+sw_bonus)*transfer_ptc,0),0)+IF(AE$5=0,$C$238,0)</f>
        <v/>
      </c>
      <c r="AF245" s="25">
        <f>IF("ITC"="PTC",IF(AF$5&lt;ptc_years,AF239*Credits!AF$8*(1+sw_bonus)*transfer_ptc,0),0)+IF(AF$5=0,$C$238,0)</f>
        <v/>
      </c>
      <c r="AG245" s="25">
        <f>IF("ITC"="PTC",IF(AG$5&lt;ptc_years,AG239*Credits!AG$8*(1+sw_bonus)*transfer_ptc,0),0)+IF(AG$5=0,$C$238,0)</f>
        <v/>
      </c>
      <c r="AH245" s="25">
        <f>IF("ITC"="PTC",IF(AH$5&lt;ptc_years,AH239*Credits!AH$8*(1+sw_bonus)*transfer_ptc,0),0)+IF(AH$5=0,$C$238,0)</f>
        <v/>
      </c>
      <c r="AI245" s="25">
        <f>IF("ITC"="PTC",IF(AI$5&lt;ptc_years,AI239*Credits!AI$8*(1+sw_bonus)*transfer_ptc,0),0)+IF(AI$5=0,$C$238,0)</f>
        <v/>
      </c>
      <c r="AJ245" s="25">
        <f>IF("ITC"="PTC",IF(AJ$5&lt;ptc_years,AJ239*Credits!AJ$8*(1+sw_bonus)*transfer_ptc,0),0)+IF(AJ$5=0,$C$238,0)</f>
        <v/>
      </c>
      <c r="AK245" s="25">
        <f>IF("ITC"="PTC",IF(AK$5&lt;ptc_years,AK239*Credits!AK$8*(1+sw_bonus)*transfer_ptc,0),0)+IF(AK$5=0,$C$238,0)</f>
        <v/>
      </c>
      <c r="AL245" s="25">
        <f>IF("ITC"="PTC",IF(AL$5&lt;ptc_years,AL239*Credits!AL$8*(1+sw_bonus)*transfer_ptc,0),0)+IF(AL$5=0,$C$238,0)</f>
        <v/>
      </c>
    </row>
    <row r="246">
      <c r="B246" s="14" t="inlineStr">
        <is>
          <t>EBITDA ($)</t>
        </is>
      </c>
      <c r="D246" s="26">
        <f>D241+D242-D243-D244</f>
        <v/>
      </c>
      <c r="E246" s="26">
        <f>E241+E242-E243-E244</f>
        <v/>
      </c>
      <c r="F246" s="26">
        <f>F241+F242-F243-F244</f>
        <v/>
      </c>
      <c r="G246" s="26">
        <f>G241+G242-G243-G244</f>
        <v/>
      </c>
      <c r="H246" s="26">
        <f>H241+H242-H243-H244</f>
        <v/>
      </c>
      <c r="I246" s="26">
        <f>I241+I242-I243-I244</f>
        <v/>
      </c>
      <c r="J246" s="26">
        <f>J241+J242-J243-J244</f>
        <v/>
      </c>
      <c r="K246" s="26">
        <f>K241+K242-K243-K244</f>
        <v/>
      </c>
      <c r="L246" s="26">
        <f>L241+L242-L243-L244</f>
        <v/>
      </c>
      <c r="M246" s="26">
        <f>M241+M242-M243-M244</f>
        <v/>
      </c>
      <c r="N246" s="26">
        <f>N241+N242-N243-N244</f>
        <v/>
      </c>
      <c r="O246" s="26">
        <f>O241+O242-O243-O244</f>
        <v/>
      </c>
      <c r="P246" s="26">
        <f>P241+P242-P243-P244</f>
        <v/>
      </c>
      <c r="Q246" s="26">
        <f>Q241+Q242-Q243-Q244</f>
        <v/>
      </c>
      <c r="R246" s="26">
        <f>R241+R242-R243-R244</f>
        <v/>
      </c>
      <c r="S246" s="26">
        <f>S241+S242-S243-S244</f>
        <v/>
      </c>
      <c r="T246" s="26">
        <f>T241+T242-T243-T244</f>
        <v/>
      </c>
      <c r="U246" s="26">
        <f>U241+U242-U243-U244</f>
        <v/>
      </c>
      <c r="V246" s="26">
        <f>V241+V242-V243-V244</f>
        <v/>
      </c>
      <c r="W246" s="26">
        <f>W241+W242-W243-W244</f>
        <v/>
      </c>
      <c r="X246" s="26">
        <f>X241+X242-X243-X244</f>
        <v/>
      </c>
      <c r="Y246" s="26">
        <f>Y241+Y242-Y243-Y244</f>
        <v/>
      </c>
      <c r="Z246" s="26">
        <f>Z241+Z242-Z243-Z244</f>
        <v/>
      </c>
      <c r="AA246" s="26">
        <f>AA241+AA242-AA243-AA244</f>
        <v/>
      </c>
      <c r="AB246" s="26">
        <f>AB241+AB242-AB243-AB244</f>
        <v/>
      </c>
      <c r="AC246" s="26">
        <f>AC241+AC242-AC243-AC244</f>
        <v/>
      </c>
      <c r="AD246" s="26">
        <f>AD241+AD242-AD243-AD244</f>
        <v/>
      </c>
      <c r="AE246" s="26">
        <f>AE241+AE242-AE243-AE244</f>
        <v/>
      </c>
      <c r="AF246" s="26">
        <f>AF241+AF242-AF243-AF244</f>
        <v/>
      </c>
      <c r="AG246" s="26">
        <f>AG241+AG242-AG243-AG244</f>
        <v/>
      </c>
      <c r="AH246" s="26">
        <f>AH241+AH242-AH243-AH244</f>
        <v/>
      </c>
      <c r="AI246" s="26">
        <f>AI241+AI242-AI243-AI244</f>
        <v/>
      </c>
      <c r="AJ246" s="26">
        <f>AJ241+AJ242-AJ243-AJ244</f>
        <v/>
      </c>
      <c r="AK246" s="26">
        <f>AK241+AK242-AK243-AK244</f>
        <v/>
      </c>
      <c r="AL246" s="26">
        <f>AL241+AL242-AL243-AL244</f>
        <v/>
      </c>
    </row>
    <row r="247">
      <c r="B247" s="7" t="inlineStr">
        <is>
          <t>Discount factor to 1 January 2027, contracted rate</t>
        </is>
      </c>
      <c r="D247" s="22">
        <f>1/(1+x_rc)^(D$5+2)</f>
        <v/>
      </c>
      <c r="E247" s="22">
        <f>1/(1+x_rc)^(E$5+2)</f>
        <v/>
      </c>
      <c r="F247" s="22">
        <f>1/(1+x_rc)^(F$5+2)</f>
        <v/>
      </c>
      <c r="G247" s="22">
        <f>1/(1+x_rc)^(G$5+2)</f>
        <v/>
      </c>
      <c r="H247" s="22">
        <f>1/(1+x_rc)^(H$5+2)</f>
        <v/>
      </c>
      <c r="I247" s="22">
        <f>1/(1+x_rc)^(I$5+2)</f>
        <v/>
      </c>
      <c r="J247" s="22">
        <f>1/(1+x_rc)^(J$5+2)</f>
        <v/>
      </c>
      <c r="K247" s="22">
        <f>1/(1+x_rc)^(K$5+2)</f>
        <v/>
      </c>
      <c r="L247" s="22">
        <f>1/(1+x_rc)^(L$5+2)</f>
        <v/>
      </c>
      <c r="M247" s="22">
        <f>1/(1+x_rc)^(M$5+2)</f>
        <v/>
      </c>
      <c r="N247" s="22">
        <f>1/(1+x_rc)^(N$5+2)</f>
        <v/>
      </c>
      <c r="O247" s="22">
        <f>1/(1+x_rc)^(O$5+2)</f>
        <v/>
      </c>
      <c r="P247" s="22">
        <f>1/(1+x_rc)^(P$5+2)</f>
        <v/>
      </c>
      <c r="Q247" s="22">
        <f>1/(1+x_rc)^(Q$5+2)</f>
        <v/>
      </c>
      <c r="R247" s="22">
        <f>1/(1+x_rc)^(R$5+2)</f>
        <v/>
      </c>
      <c r="S247" s="22">
        <f>1/(1+x_rc)^(S$5+2)</f>
        <v/>
      </c>
      <c r="T247" s="22">
        <f>1/(1+x_rc)^(T$5+2)</f>
        <v/>
      </c>
      <c r="U247" s="22">
        <f>1/(1+x_rc)^(U$5+2)</f>
        <v/>
      </c>
      <c r="V247" s="22">
        <f>1/(1+x_rc)^(V$5+2)</f>
        <v/>
      </c>
      <c r="W247" s="22">
        <f>1/(1+x_rc)^(W$5+2)</f>
        <v/>
      </c>
      <c r="X247" s="22">
        <f>1/(1+x_rc)^(X$5+2)</f>
        <v/>
      </c>
      <c r="Y247" s="22">
        <f>1/(1+x_rc)^(Y$5+2)</f>
        <v/>
      </c>
      <c r="Z247" s="22">
        <f>1/(1+x_rc)^(Z$5+2)</f>
        <v/>
      </c>
      <c r="AA247" s="22">
        <f>1/(1+x_rc)^(AA$5+2)</f>
        <v/>
      </c>
      <c r="AB247" s="22">
        <f>1/(1+x_rc)^(AB$5+2)</f>
        <v/>
      </c>
      <c r="AC247" s="22">
        <f>1/(1+x_rc)^(AC$5+2)</f>
        <v/>
      </c>
      <c r="AD247" s="22">
        <f>1/(1+x_rc)^(AD$5+2)</f>
        <v/>
      </c>
      <c r="AE247" s="22">
        <f>1/(1+x_rc)^(AE$5+2)</f>
        <v/>
      </c>
      <c r="AF247" s="22">
        <f>1/(1+x_rc)^(AF$5+2)</f>
        <v/>
      </c>
      <c r="AG247" s="22">
        <f>1/(1+x_rc)^(AG$5+2)</f>
        <v/>
      </c>
      <c r="AH247" s="22">
        <f>1/(1+x_rc)^(AH$5+2)</f>
        <v/>
      </c>
      <c r="AI247" s="22">
        <f>1/(1+x_rc)^(AI$5+2)</f>
        <v/>
      </c>
      <c r="AJ247" s="22">
        <f>1/(1+x_rc)^(AJ$5+2)</f>
        <v/>
      </c>
      <c r="AK247" s="22">
        <f>1/(1+x_rc)^(AK$5+2)</f>
        <v/>
      </c>
      <c r="AL247" s="22">
        <f>1/(1+x_rc)^(AL$5+2)</f>
        <v/>
      </c>
    </row>
    <row r="248">
      <c r="B248" s="7" t="inlineStr">
        <is>
          <t>Discount factor to 1 January 2027, merchant rate</t>
        </is>
      </c>
      <c r="D248" s="22">
        <f>1/(1+x_rm)^(D$5+2)</f>
        <v/>
      </c>
      <c r="E248" s="22">
        <f>1/(1+x_rm)^(E$5+2)</f>
        <v/>
      </c>
      <c r="F248" s="22">
        <f>1/(1+x_rm)^(F$5+2)</f>
        <v/>
      </c>
      <c r="G248" s="22">
        <f>1/(1+x_rm)^(G$5+2)</f>
        <v/>
      </c>
      <c r="H248" s="22">
        <f>1/(1+x_rm)^(H$5+2)</f>
        <v/>
      </c>
      <c r="I248" s="22">
        <f>1/(1+x_rm)^(I$5+2)</f>
        <v/>
      </c>
      <c r="J248" s="22">
        <f>1/(1+x_rm)^(J$5+2)</f>
        <v/>
      </c>
      <c r="K248" s="22">
        <f>1/(1+x_rm)^(K$5+2)</f>
        <v/>
      </c>
      <c r="L248" s="22">
        <f>1/(1+x_rm)^(L$5+2)</f>
        <v/>
      </c>
      <c r="M248" s="22">
        <f>1/(1+x_rm)^(M$5+2)</f>
        <v/>
      </c>
      <c r="N248" s="22">
        <f>1/(1+x_rm)^(N$5+2)</f>
        <v/>
      </c>
      <c r="O248" s="22">
        <f>1/(1+x_rm)^(O$5+2)</f>
        <v/>
      </c>
      <c r="P248" s="22">
        <f>1/(1+x_rm)^(P$5+2)</f>
        <v/>
      </c>
      <c r="Q248" s="22">
        <f>1/(1+x_rm)^(Q$5+2)</f>
        <v/>
      </c>
      <c r="R248" s="22">
        <f>1/(1+x_rm)^(R$5+2)</f>
        <v/>
      </c>
      <c r="S248" s="22">
        <f>1/(1+x_rm)^(S$5+2)</f>
        <v/>
      </c>
      <c r="T248" s="22">
        <f>1/(1+x_rm)^(T$5+2)</f>
        <v/>
      </c>
      <c r="U248" s="22">
        <f>1/(1+x_rm)^(U$5+2)</f>
        <v/>
      </c>
      <c r="V248" s="22">
        <f>1/(1+x_rm)^(V$5+2)</f>
        <v/>
      </c>
      <c r="W248" s="22">
        <f>1/(1+x_rm)^(W$5+2)</f>
        <v/>
      </c>
      <c r="X248" s="22">
        <f>1/(1+x_rm)^(X$5+2)</f>
        <v/>
      </c>
      <c r="Y248" s="22">
        <f>1/(1+x_rm)^(Y$5+2)</f>
        <v/>
      </c>
      <c r="Z248" s="22">
        <f>1/(1+x_rm)^(Z$5+2)</f>
        <v/>
      </c>
      <c r="AA248" s="22">
        <f>1/(1+x_rm)^(AA$5+2)</f>
        <v/>
      </c>
      <c r="AB248" s="22">
        <f>1/(1+x_rm)^(AB$5+2)</f>
        <v/>
      </c>
      <c r="AC248" s="22">
        <f>1/(1+x_rm)^(AC$5+2)</f>
        <v/>
      </c>
      <c r="AD248" s="22">
        <f>1/(1+x_rm)^(AD$5+2)</f>
        <v/>
      </c>
      <c r="AE248" s="22">
        <f>1/(1+x_rm)^(AE$5+2)</f>
        <v/>
      </c>
      <c r="AF248" s="22">
        <f>1/(1+x_rm)^(AF$5+2)</f>
        <v/>
      </c>
      <c r="AG248" s="22">
        <f>1/(1+x_rm)^(AG$5+2)</f>
        <v/>
      </c>
      <c r="AH248" s="22">
        <f>1/(1+x_rm)^(AH$5+2)</f>
        <v/>
      </c>
      <c r="AI248" s="22">
        <f>1/(1+x_rm)^(AI$5+2)</f>
        <v/>
      </c>
      <c r="AJ248" s="22">
        <f>1/(1+x_rm)^(AJ$5+2)</f>
        <v/>
      </c>
      <c r="AK248" s="22">
        <f>1/(1+x_rm)^(AK$5+2)</f>
        <v/>
      </c>
      <c r="AL248" s="22">
        <f>1/(1+x_rm)^(AL$5+2)</f>
        <v/>
      </c>
    </row>
    <row r="249">
      <c r="B249" s="7" t="inlineStr">
        <is>
          <t>Value on 1 January 2027 of the flows from 2028 (split rates) ($)</t>
        </is>
      </c>
      <c r="C249" s="25">
        <f>SUMPRODUCT($D$241:$AL$241,$D$247:$AL$247)+SUMPRODUCT($D$245:$AL$245,$D$247:$AL$247)-SUMPRODUCT($D$243:$AL$243,$D$247:$AL$247)-SUMPRODUCT($D$244:$AL$244,$D$247:$AL$247)+SUMPRODUCT($D$242:$AL$242,$D$248:$AL$248)-decom_end/(1+x_rc)^(life_years+1)</f>
        <v/>
      </c>
    </row>
    <row r="250">
      <c r="B250" s="14" t="inlineStr">
        <is>
          <t>Development value on 1 January 2027: value less the capital cost ($)</t>
        </is>
      </c>
      <c r="C250" s="26">
        <f>C249-C236/(1+x_rc)</f>
        <v/>
      </c>
    </row>
    <row r="251">
      <c r="B251" s="7" t="inlineStr">
        <is>
          <t>Highest premium Ashgrove can pay at NTP ($)</t>
        </is>
      </c>
      <c r="C251" s="25">
        <f>C250-reimb+reimb/(1+x_rc)</f>
        <v/>
      </c>
    </row>
    <row r="254">
      <c r="B254" s="6" t="inlineStr">
        <is>
          <t>No tax credit, case U</t>
        </is>
      </c>
    </row>
    <row r="255">
      <c r="B255" s="7" t="inlineStr">
        <is>
          <t>Capital cost ($)</t>
        </is>
      </c>
      <c r="C255" s="25">
        <f>((x_module+x_tracker+x_bos)*mwdc*1000000+x_inverter*mwac*1000000+x_sub)*(1+contingency)+x_ic+owner</f>
        <v/>
      </c>
    </row>
    <row r="256">
      <c r="B256" s="7" t="inlineStr">
        <is>
          <t>ITC eligible basis ($)</t>
        </is>
      </c>
      <c r="C256" s="25">
        <f>((x_module+x_tracker+x_bos)*mwdc*1000000+x_inverter*mwac*1000000+x_sub)*(1+contingency)-gentie_share*x_sub</f>
        <v/>
      </c>
    </row>
    <row r="257">
      <c r="B257" s="7" t="inlineStr">
        <is>
          <t>ITC cash at the end of 2028, if elected ($)</t>
        </is>
      </c>
      <c r="C257" s="25">
        <f>IF("None"="ITC",C256*(itc_rate+sw_bonus)*transfer_itc,0)</f>
        <v/>
      </c>
    </row>
    <row r="258">
      <c r="B258" s="7" t="inlineStr">
        <is>
          <t>Energy (MWh)</t>
        </is>
      </c>
      <c r="D258" s="23">
        <f>mwac*hours*cf_p50*Energy!D$7*x_scale</f>
        <v/>
      </c>
      <c r="E258" s="23">
        <f>mwac*hours*cf_p50*Energy!E$7*x_scale</f>
        <v/>
      </c>
      <c r="F258" s="23">
        <f>mwac*hours*cf_p50*Energy!F$7*x_scale</f>
        <v/>
      </c>
      <c r="G258" s="23">
        <f>mwac*hours*cf_p50*Energy!G$7*x_scale</f>
        <v/>
      </c>
      <c r="H258" s="23">
        <f>mwac*hours*cf_p50*Energy!H$7*x_scale</f>
        <v/>
      </c>
      <c r="I258" s="23">
        <f>mwac*hours*cf_p50*Energy!I$7*x_scale</f>
        <v/>
      </c>
      <c r="J258" s="23">
        <f>mwac*hours*cf_p50*Energy!J$7*x_scale</f>
        <v/>
      </c>
      <c r="K258" s="23">
        <f>mwac*hours*cf_p50*Energy!K$7*x_scale</f>
        <v/>
      </c>
      <c r="L258" s="23">
        <f>mwac*hours*cf_p50*Energy!L$7*x_scale</f>
        <v/>
      </c>
      <c r="M258" s="23">
        <f>mwac*hours*cf_p50*Energy!M$7*x_scale</f>
        <v/>
      </c>
      <c r="N258" s="23">
        <f>mwac*hours*cf_p50*Energy!N$7*x_scale</f>
        <v/>
      </c>
      <c r="O258" s="23">
        <f>mwac*hours*cf_p50*Energy!O$7*x_scale</f>
        <v/>
      </c>
      <c r="P258" s="23">
        <f>mwac*hours*cf_p50*Energy!P$7*x_scale</f>
        <v/>
      </c>
      <c r="Q258" s="23">
        <f>mwac*hours*cf_p50*Energy!Q$7*x_scale</f>
        <v/>
      </c>
      <c r="R258" s="23">
        <f>mwac*hours*cf_p50*Energy!R$7*x_scale</f>
        <v/>
      </c>
      <c r="S258" s="23">
        <f>mwac*hours*cf_p50*Energy!S$7*x_scale</f>
        <v/>
      </c>
      <c r="T258" s="23">
        <f>mwac*hours*cf_p50*Energy!T$7*x_scale</f>
        <v/>
      </c>
      <c r="U258" s="23">
        <f>mwac*hours*cf_p50*Energy!U$7*x_scale</f>
        <v/>
      </c>
      <c r="V258" s="23">
        <f>mwac*hours*cf_p50*Energy!V$7*x_scale</f>
        <v/>
      </c>
      <c r="W258" s="23">
        <f>mwac*hours*cf_p50*Energy!W$7*x_scale</f>
        <v/>
      </c>
      <c r="X258" s="23">
        <f>mwac*hours*cf_p50*Energy!X$7*x_scale</f>
        <v/>
      </c>
      <c r="Y258" s="23">
        <f>mwac*hours*cf_p50*Energy!Y$7*x_scale</f>
        <v/>
      </c>
      <c r="Z258" s="23">
        <f>mwac*hours*cf_p50*Energy!Z$7*x_scale</f>
        <v/>
      </c>
      <c r="AA258" s="23">
        <f>mwac*hours*cf_p50*Energy!AA$7*x_scale</f>
        <v/>
      </c>
      <c r="AB258" s="23">
        <f>mwac*hours*cf_p50*Energy!AB$7*x_scale</f>
        <v/>
      </c>
      <c r="AC258" s="23">
        <f>mwac*hours*cf_p50*Energy!AC$7*x_scale</f>
        <v/>
      </c>
      <c r="AD258" s="23">
        <f>mwac*hours*cf_p50*Energy!AD$7*x_scale</f>
        <v/>
      </c>
      <c r="AE258" s="23">
        <f>mwac*hours*cf_p50*Energy!AE$7*x_scale</f>
        <v/>
      </c>
      <c r="AF258" s="23">
        <f>mwac*hours*cf_p50*Energy!AF$7*x_scale</f>
        <v/>
      </c>
      <c r="AG258" s="23">
        <f>mwac*hours*cf_p50*Energy!AG$7*x_scale</f>
        <v/>
      </c>
      <c r="AH258" s="23">
        <f>mwac*hours*cf_p50*Energy!AH$7*x_scale</f>
        <v/>
      </c>
      <c r="AI258" s="23">
        <f>mwac*hours*cf_p50*Energy!AI$7*x_scale</f>
        <v/>
      </c>
      <c r="AJ258" s="23">
        <f>mwac*hours*cf_p50*Energy!AJ$7*x_scale</f>
        <v/>
      </c>
      <c r="AK258" s="23">
        <f>mwac*hours*cf_p50*Energy!AK$7*x_scale</f>
        <v/>
      </c>
      <c r="AL258" s="23">
        <f>mwac*hours*cf_p50*Energy!AL$7*x_scale</f>
        <v/>
      </c>
    </row>
    <row r="259">
      <c r="B259" s="7" t="inlineStr">
        <is>
          <t>Node price, hub switch applied ($/MWh)</t>
        </is>
      </c>
      <c r="D259" s="32">
        <f>Market!D$7*(1+sw_hub)*Market!D$8+Market!D$10</f>
        <v/>
      </c>
      <c r="E259" s="32">
        <f>Market!E$7*(1+sw_hub)*Market!E$8+Market!E$10</f>
        <v/>
      </c>
      <c r="F259" s="32">
        <f>Market!F$7*(1+sw_hub)*Market!F$8+Market!F$10</f>
        <v/>
      </c>
      <c r="G259" s="32">
        <f>Market!G$7*(1+sw_hub)*Market!G$8+Market!G$10</f>
        <v/>
      </c>
      <c r="H259" s="32">
        <f>Market!H$7*(1+sw_hub)*Market!H$8+Market!H$10</f>
        <v/>
      </c>
      <c r="I259" s="32">
        <f>Market!I$7*(1+sw_hub)*Market!I$8+Market!I$10</f>
        <v/>
      </c>
      <c r="J259" s="32">
        <f>Market!J$7*(1+sw_hub)*Market!J$8+Market!J$10</f>
        <v/>
      </c>
      <c r="K259" s="32">
        <f>Market!K$7*(1+sw_hub)*Market!K$8+Market!K$10</f>
        <v/>
      </c>
      <c r="L259" s="32">
        <f>Market!L$7*(1+sw_hub)*Market!L$8+Market!L$10</f>
        <v/>
      </c>
      <c r="M259" s="32">
        <f>Market!M$7*(1+sw_hub)*Market!M$8+Market!M$10</f>
        <v/>
      </c>
      <c r="N259" s="32">
        <f>Market!N$7*(1+sw_hub)*Market!N$8+Market!N$10</f>
        <v/>
      </c>
      <c r="O259" s="32">
        <f>Market!O$7*(1+sw_hub)*Market!O$8+Market!O$10</f>
        <v/>
      </c>
      <c r="P259" s="32">
        <f>Market!P$7*(1+sw_hub)*Market!P$8+Market!P$10</f>
        <v/>
      </c>
      <c r="Q259" s="32">
        <f>Market!Q$7*(1+sw_hub)*Market!Q$8+Market!Q$10</f>
        <v/>
      </c>
      <c r="R259" s="32">
        <f>Market!R$7*(1+sw_hub)*Market!R$8+Market!R$10</f>
        <v/>
      </c>
      <c r="S259" s="32">
        <f>Market!S$7*(1+sw_hub)*Market!S$8+Market!S$10</f>
        <v/>
      </c>
      <c r="T259" s="32">
        <f>Market!T$7*(1+sw_hub)*Market!T$8+Market!T$10</f>
        <v/>
      </c>
      <c r="U259" s="32">
        <f>Market!U$7*(1+sw_hub)*Market!U$8+Market!U$10</f>
        <v/>
      </c>
      <c r="V259" s="32">
        <f>Market!V$7*(1+sw_hub)*Market!V$8+Market!V$10</f>
        <v/>
      </c>
      <c r="W259" s="32">
        <f>Market!W$7*(1+sw_hub)*Market!W$8+Market!W$10</f>
        <v/>
      </c>
      <c r="X259" s="32">
        <f>Market!X$7*(1+sw_hub)*Market!X$8+Market!X$10</f>
        <v/>
      </c>
      <c r="Y259" s="32">
        <f>Market!Y$7*(1+sw_hub)*Market!Y$8+Market!Y$10</f>
        <v/>
      </c>
      <c r="Z259" s="32">
        <f>Market!Z$7*(1+sw_hub)*Market!Z$8+Market!Z$10</f>
        <v/>
      </c>
      <c r="AA259" s="32">
        <f>Market!AA$7*(1+sw_hub)*Market!AA$8+Market!AA$10</f>
        <v/>
      </c>
      <c r="AB259" s="32">
        <f>Market!AB$7*(1+sw_hub)*Market!AB$8+Market!AB$10</f>
        <v/>
      </c>
      <c r="AC259" s="32">
        <f>Market!AC$7*(1+sw_hub)*Market!AC$8+Market!AC$10</f>
        <v/>
      </c>
      <c r="AD259" s="32">
        <f>Market!AD$7*(1+sw_hub)*Market!AD$8+Market!AD$10</f>
        <v/>
      </c>
      <c r="AE259" s="32">
        <f>Market!AE$7*(1+sw_hub)*Market!AE$8+Market!AE$10</f>
        <v/>
      </c>
      <c r="AF259" s="32">
        <f>Market!AF$7*(1+sw_hub)*Market!AF$8+Market!AF$10</f>
        <v/>
      </c>
      <c r="AG259" s="32">
        <f>Market!AG$7*(1+sw_hub)*Market!AG$8+Market!AG$10</f>
        <v/>
      </c>
      <c r="AH259" s="32">
        <f>Market!AH$7*(1+sw_hub)*Market!AH$8+Market!AH$10</f>
        <v/>
      </c>
      <c r="AI259" s="32">
        <f>Market!AI$7*(1+sw_hub)*Market!AI$8+Market!AI$10</f>
        <v/>
      </c>
      <c r="AJ259" s="32">
        <f>Market!AJ$7*(1+sw_hub)*Market!AJ$8+Market!AJ$10</f>
        <v/>
      </c>
      <c r="AK259" s="32">
        <f>Market!AK$7*(1+sw_hub)*Market!AK$8+Market!AK$10</f>
        <v/>
      </c>
      <c r="AL259" s="32">
        <f>Market!AL$7*(1+sw_hub)*Market!AL$8+Market!AL$10</f>
        <v/>
      </c>
    </row>
    <row r="260">
      <c r="B260" s="7" t="inlineStr">
        <is>
          <t>Contracted revenue ($)</t>
        </is>
      </c>
      <c r="D260" s="25">
        <f>IF(D$5&lt;u_years,D258*u_price*(1+u_esc)^D$5,0)</f>
        <v/>
      </c>
      <c r="E260" s="25">
        <f>IF(E$5&lt;u_years,E258*u_price*(1+u_esc)^E$5,0)</f>
        <v/>
      </c>
      <c r="F260" s="25">
        <f>IF(F$5&lt;u_years,F258*u_price*(1+u_esc)^F$5,0)</f>
        <v/>
      </c>
      <c r="G260" s="25">
        <f>IF(G$5&lt;u_years,G258*u_price*(1+u_esc)^G$5,0)</f>
        <v/>
      </c>
      <c r="H260" s="25">
        <f>IF(H$5&lt;u_years,H258*u_price*(1+u_esc)^H$5,0)</f>
        <v/>
      </c>
      <c r="I260" s="25">
        <f>IF(I$5&lt;u_years,I258*u_price*(1+u_esc)^I$5,0)</f>
        <v/>
      </c>
      <c r="J260" s="25">
        <f>IF(J$5&lt;u_years,J258*u_price*(1+u_esc)^J$5,0)</f>
        <v/>
      </c>
      <c r="K260" s="25">
        <f>IF(K$5&lt;u_years,K258*u_price*(1+u_esc)^K$5,0)</f>
        <v/>
      </c>
      <c r="L260" s="25">
        <f>IF(L$5&lt;u_years,L258*u_price*(1+u_esc)^L$5,0)</f>
        <v/>
      </c>
      <c r="M260" s="25">
        <f>IF(M$5&lt;u_years,M258*u_price*(1+u_esc)^M$5,0)</f>
        <v/>
      </c>
      <c r="N260" s="25">
        <f>IF(N$5&lt;u_years,N258*u_price*(1+u_esc)^N$5,0)</f>
        <v/>
      </c>
      <c r="O260" s="25">
        <f>IF(O$5&lt;u_years,O258*u_price*(1+u_esc)^O$5,0)</f>
        <v/>
      </c>
      <c r="P260" s="25">
        <f>IF(P$5&lt;u_years,P258*u_price*(1+u_esc)^P$5,0)</f>
        <v/>
      </c>
      <c r="Q260" s="25">
        <f>IF(Q$5&lt;u_years,Q258*u_price*(1+u_esc)^Q$5,0)</f>
        <v/>
      </c>
      <c r="R260" s="25">
        <f>IF(R$5&lt;u_years,R258*u_price*(1+u_esc)^R$5,0)</f>
        <v/>
      </c>
      <c r="S260" s="25">
        <f>IF(S$5&lt;u_years,S258*u_price*(1+u_esc)^S$5,0)</f>
        <v/>
      </c>
      <c r="T260" s="25">
        <f>IF(T$5&lt;u_years,T258*u_price*(1+u_esc)^T$5,0)</f>
        <v/>
      </c>
      <c r="U260" s="25">
        <f>IF(U$5&lt;u_years,U258*u_price*(1+u_esc)^U$5,0)</f>
        <v/>
      </c>
      <c r="V260" s="25">
        <f>IF(V$5&lt;u_years,V258*u_price*(1+u_esc)^V$5,0)</f>
        <v/>
      </c>
      <c r="W260" s="25">
        <f>IF(W$5&lt;u_years,W258*u_price*(1+u_esc)^W$5,0)</f>
        <v/>
      </c>
      <c r="X260" s="25">
        <f>IF(X$5&lt;u_years,X258*u_price*(1+u_esc)^X$5,0)</f>
        <v/>
      </c>
      <c r="Y260" s="25">
        <f>IF(Y$5&lt;u_years,Y258*u_price*(1+u_esc)^Y$5,0)</f>
        <v/>
      </c>
      <c r="Z260" s="25">
        <f>IF(Z$5&lt;u_years,Z258*u_price*(1+u_esc)^Z$5,0)</f>
        <v/>
      </c>
      <c r="AA260" s="25">
        <f>IF(AA$5&lt;u_years,AA258*u_price*(1+u_esc)^AA$5,0)</f>
        <v/>
      </c>
      <c r="AB260" s="25">
        <f>IF(AB$5&lt;u_years,AB258*u_price*(1+u_esc)^AB$5,0)</f>
        <v/>
      </c>
      <c r="AC260" s="25">
        <f>IF(AC$5&lt;u_years,AC258*u_price*(1+u_esc)^AC$5,0)</f>
        <v/>
      </c>
      <c r="AD260" s="25">
        <f>IF(AD$5&lt;u_years,AD258*u_price*(1+u_esc)^AD$5,0)</f>
        <v/>
      </c>
      <c r="AE260" s="25">
        <f>IF(AE$5&lt;u_years,AE258*u_price*(1+u_esc)^AE$5,0)</f>
        <v/>
      </c>
      <c r="AF260" s="25">
        <f>IF(AF$5&lt;u_years,AF258*u_price*(1+u_esc)^AF$5,0)</f>
        <v/>
      </c>
      <c r="AG260" s="25">
        <f>IF(AG$5&lt;u_years,AG258*u_price*(1+u_esc)^AG$5,0)</f>
        <v/>
      </c>
      <c r="AH260" s="25">
        <f>IF(AH$5&lt;u_years,AH258*u_price*(1+u_esc)^AH$5,0)</f>
        <v/>
      </c>
      <c r="AI260" s="25">
        <f>IF(AI$5&lt;u_years,AI258*u_price*(1+u_esc)^AI$5,0)</f>
        <v/>
      </c>
      <c r="AJ260" s="25">
        <f>IF(AJ$5&lt;u_years,AJ258*u_price*(1+u_esc)^AJ$5,0)</f>
        <v/>
      </c>
      <c r="AK260" s="25">
        <f>IF(AK$5&lt;u_years,AK258*u_price*(1+u_esc)^AK$5,0)</f>
        <v/>
      </c>
      <c r="AL260" s="25">
        <f>IF(AL$5&lt;u_years,AL258*u_price*(1+u_esc)^AL$5,0)</f>
        <v/>
      </c>
    </row>
    <row r="261">
      <c r="B261" s="7" t="inlineStr">
        <is>
          <t>Merchant revenue ($)</t>
        </is>
      </c>
      <c r="D261" s="25">
        <f>IF(D$5&lt;u_years,0,D258*(D259+rec_price)+Market!D$13)</f>
        <v/>
      </c>
      <c r="E261" s="25">
        <f>IF(E$5&lt;u_years,0,E258*(E259+rec_price)+Market!E$13)</f>
        <v/>
      </c>
      <c r="F261" s="25">
        <f>IF(F$5&lt;u_years,0,F258*(F259+rec_price)+Market!F$13)</f>
        <v/>
      </c>
      <c r="G261" s="25">
        <f>IF(G$5&lt;u_years,0,G258*(G259+rec_price)+Market!G$13)</f>
        <v/>
      </c>
      <c r="H261" s="25">
        <f>IF(H$5&lt;u_years,0,H258*(H259+rec_price)+Market!H$13)</f>
        <v/>
      </c>
      <c r="I261" s="25">
        <f>IF(I$5&lt;u_years,0,I258*(I259+rec_price)+Market!I$13)</f>
        <v/>
      </c>
      <c r="J261" s="25">
        <f>IF(J$5&lt;u_years,0,J258*(J259+rec_price)+Market!J$13)</f>
        <v/>
      </c>
      <c r="K261" s="25">
        <f>IF(K$5&lt;u_years,0,K258*(K259+rec_price)+Market!K$13)</f>
        <v/>
      </c>
      <c r="L261" s="25">
        <f>IF(L$5&lt;u_years,0,L258*(L259+rec_price)+Market!L$13)</f>
        <v/>
      </c>
      <c r="M261" s="25">
        <f>IF(M$5&lt;u_years,0,M258*(M259+rec_price)+Market!M$13)</f>
        <v/>
      </c>
      <c r="N261" s="25">
        <f>IF(N$5&lt;u_years,0,N258*(N259+rec_price)+Market!N$13)</f>
        <v/>
      </c>
      <c r="O261" s="25">
        <f>IF(O$5&lt;u_years,0,O258*(O259+rec_price)+Market!O$13)</f>
        <v/>
      </c>
      <c r="P261" s="25">
        <f>IF(P$5&lt;u_years,0,P258*(P259+rec_price)+Market!P$13)</f>
        <v/>
      </c>
      <c r="Q261" s="25">
        <f>IF(Q$5&lt;u_years,0,Q258*(Q259+rec_price)+Market!Q$13)</f>
        <v/>
      </c>
      <c r="R261" s="25">
        <f>IF(R$5&lt;u_years,0,R258*(R259+rec_price)+Market!R$13)</f>
        <v/>
      </c>
      <c r="S261" s="25">
        <f>IF(S$5&lt;u_years,0,S258*(S259+rec_price)+Market!S$13)</f>
        <v/>
      </c>
      <c r="T261" s="25">
        <f>IF(T$5&lt;u_years,0,T258*(T259+rec_price)+Market!T$13)</f>
        <v/>
      </c>
      <c r="U261" s="25">
        <f>IF(U$5&lt;u_years,0,U258*(U259+rec_price)+Market!U$13)</f>
        <v/>
      </c>
      <c r="V261" s="25">
        <f>IF(V$5&lt;u_years,0,V258*(V259+rec_price)+Market!V$13)</f>
        <v/>
      </c>
      <c r="W261" s="25">
        <f>IF(W$5&lt;u_years,0,W258*(W259+rec_price)+Market!W$13)</f>
        <v/>
      </c>
      <c r="X261" s="25">
        <f>IF(X$5&lt;u_years,0,X258*(X259+rec_price)+Market!X$13)</f>
        <v/>
      </c>
      <c r="Y261" s="25">
        <f>IF(Y$5&lt;u_years,0,Y258*(Y259+rec_price)+Market!Y$13)</f>
        <v/>
      </c>
      <c r="Z261" s="25">
        <f>IF(Z$5&lt;u_years,0,Z258*(Z259+rec_price)+Market!Z$13)</f>
        <v/>
      </c>
      <c r="AA261" s="25">
        <f>IF(AA$5&lt;u_years,0,AA258*(AA259+rec_price)+Market!AA$13)</f>
        <v/>
      </c>
      <c r="AB261" s="25">
        <f>IF(AB$5&lt;u_years,0,AB258*(AB259+rec_price)+Market!AB$13)</f>
        <v/>
      </c>
      <c r="AC261" s="25">
        <f>IF(AC$5&lt;u_years,0,AC258*(AC259+rec_price)+Market!AC$13)</f>
        <v/>
      </c>
      <c r="AD261" s="25">
        <f>IF(AD$5&lt;u_years,0,AD258*(AD259+rec_price)+Market!AD$13)</f>
        <v/>
      </c>
      <c r="AE261" s="25">
        <f>IF(AE$5&lt;u_years,0,AE258*(AE259+rec_price)+Market!AE$13)</f>
        <v/>
      </c>
      <c r="AF261" s="25">
        <f>IF(AF$5&lt;u_years,0,AF258*(AF259+rec_price)+Market!AF$13)</f>
        <v/>
      </c>
      <c r="AG261" s="25">
        <f>IF(AG$5&lt;u_years,0,AG258*(AG259+rec_price)+Market!AG$13)</f>
        <v/>
      </c>
      <c r="AH261" s="25">
        <f>IF(AH$5&lt;u_years,0,AH258*(AH259+rec_price)+Market!AH$13)</f>
        <v/>
      </c>
      <c r="AI261" s="25">
        <f>IF(AI$5&lt;u_years,0,AI258*(AI259+rec_price)+Market!AI$13)</f>
        <v/>
      </c>
      <c r="AJ261" s="25">
        <f>IF(AJ$5&lt;u_years,0,AJ258*(AJ259+rec_price)+Market!AJ$13)</f>
        <v/>
      </c>
      <c r="AK261" s="25">
        <f>IF(AK$5&lt;u_years,0,AK258*(AK259+rec_price)+Market!AK$13)</f>
        <v/>
      </c>
      <c r="AL261" s="25">
        <f>IF(AL$5&lt;u_years,0,AL258*(AL259+rec_price)+Market!AL$13)</f>
        <v/>
      </c>
    </row>
    <row r="262">
      <c r="B262" s="7" t="inlineStr">
        <is>
          <t>Basis cost kept by the project ($)</t>
        </is>
      </c>
      <c r="D262" s="25" t="n">
        <v>0</v>
      </c>
      <c r="E262" s="25" t="n">
        <v>0</v>
      </c>
      <c r="F262" s="25" t="n">
        <v>0</v>
      </c>
      <c r="G262" s="25" t="n">
        <v>0</v>
      </c>
      <c r="H262" s="25" t="n">
        <v>0</v>
      </c>
      <c r="I262" s="25" t="n">
        <v>0</v>
      </c>
      <c r="J262" s="25" t="n">
        <v>0</v>
      </c>
      <c r="K262" s="25" t="n">
        <v>0</v>
      </c>
      <c r="L262" s="25" t="n">
        <v>0</v>
      </c>
      <c r="M262" s="25" t="n">
        <v>0</v>
      </c>
      <c r="N262" s="25" t="n">
        <v>0</v>
      </c>
      <c r="O262" s="25" t="n">
        <v>0</v>
      </c>
      <c r="P262" s="25" t="n">
        <v>0</v>
      </c>
      <c r="Q262" s="25" t="n">
        <v>0</v>
      </c>
      <c r="R262" s="25" t="n">
        <v>0</v>
      </c>
      <c r="S262" s="25" t="n">
        <v>0</v>
      </c>
      <c r="T262" s="25" t="n">
        <v>0</v>
      </c>
      <c r="U262" s="25" t="n">
        <v>0</v>
      </c>
      <c r="V262" s="25" t="n">
        <v>0</v>
      </c>
      <c r="W262" s="25" t="n">
        <v>0</v>
      </c>
      <c r="X262" s="25" t="n">
        <v>0</v>
      </c>
      <c r="Y262" s="25" t="n">
        <v>0</v>
      </c>
      <c r="Z262" s="25" t="n">
        <v>0</v>
      </c>
      <c r="AA262" s="25" t="n">
        <v>0</v>
      </c>
      <c r="AB262" s="25" t="n">
        <v>0</v>
      </c>
      <c r="AC262" s="25" t="n">
        <v>0</v>
      </c>
      <c r="AD262" s="25" t="n">
        <v>0</v>
      </c>
      <c r="AE262" s="25" t="n">
        <v>0</v>
      </c>
      <c r="AF262" s="25" t="n">
        <v>0</v>
      </c>
      <c r="AG262" s="25" t="n">
        <v>0</v>
      </c>
      <c r="AH262" s="25" t="n">
        <v>0</v>
      </c>
      <c r="AI262" s="25" t="n">
        <v>0</v>
      </c>
      <c r="AJ262" s="25" t="n">
        <v>0</v>
      </c>
      <c r="AK262" s="25" t="n">
        <v>0</v>
      </c>
      <c r="AL262" s="25" t="n">
        <v>0</v>
      </c>
    </row>
    <row r="263">
      <c r="B263" s="7" t="inlineStr">
        <is>
          <t>Operating cost ($)</t>
        </is>
      </c>
      <c r="D263" s="25">
        <f>(om_kw*mwac*1000+ins_rate*$C$255+am_cost+prop_tax+misc_cost)*Opex!D$7+rent_acre*acres_lease*Opex!D$8</f>
        <v/>
      </c>
      <c r="E263" s="25">
        <f>(om_kw*mwac*1000+ins_rate*$C$255+am_cost+prop_tax+misc_cost)*Opex!E$7+rent_acre*acres_lease*Opex!E$8</f>
        <v/>
      </c>
      <c r="F263" s="25">
        <f>(om_kw*mwac*1000+ins_rate*$C$255+am_cost+prop_tax+misc_cost)*Opex!F$7+rent_acre*acres_lease*Opex!F$8</f>
        <v/>
      </c>
      <c r="G263" s="25">
        <f>(om_kw*mwac*1000+ins_rate*$C$255+am_cost+prop_tax+misc_cost)*Opex!G$7+rent_acre*acres_lease*Opex!G$8</f>
        <v/>
      </c>
      <c r="H263" s="25">
        <f>(om_kw*mwac*1000+ins_rate*$C$255+am_cost+prop_tax+misc_cost)*Opex!H$7+rent_acre*acres_lease*Opex!H$8</f>
        <v/>
      </c>
      <c r="I263" s="25">
        <f>(om_kw*mwac*1000+ins_rate*$C$255+am_cost+prop_tax+misc_cost)*Opex!I$7+rent_acre*acres_lease*Opex!I$8</f>
        <v/>
      </c>
      <c r="J263" s="25">
        <f>(om_kw*mwac*1000+ins_rate*$C$255+am_cost+prop_tax+misc_cost)*Opex!J$7+rent_acre*acres_lease*Opex!J$8</f>
        <v/>
      </c>
      <c r="K263" s="25">
        <f>(om_kw*mwac*1000+ins_rate*$C$255+am_cost+prop_tax+misc_cost)*Opex!K$7+rent_acre*acres_lease*Opex!K$8</f>
        <v/>
      </c>
      <c r="L263" s="25">
        <f>(om_kw*mwac*1000+ins_rate*$C$255+am_cost+prop_tax+misc_cost)*Opex!L$7+rent_acre*acres_lease*Opex!L$8</f>
        <v/>
      </c>
      <c r="M263" s="25">
        <f>(om_kw*mwac*1000+ins_rate*$C$255+am_cost+prop_tax+misc_cost)*Opex!M$7+rent_acre*acres_lease*Opex!M$8</f>
        <v/>
      </c>
      <c r="N263" s="25">
        <f>(om_kw*mwac*1000+ins_rate*$C$255+am_cost+prop_tax+misc_cost)*Opex!N$7+rent_acre*acres_lease*Opex!N$8</f>
        <v/>
      </c>
      <c r="O263" s="25">
        <f>(om_kw*mwac*1000+ins_rate*$C$255+am_cost+prop_tax+misc_cost)*Opex!O$7+rent_acre*acres_lease*Opex!O$8</f>
        <v/>
      </c>
      <c r="P263" s="25">
        <f>(om_kw*mwac*1000+ins_rate*$C$255+am_cost+prop_tax+misc_cost)*Opex!P$7+rent_acre*acres_lease*Opex!P$8</f>
        <v/>
      </c>
      <c r="Q263" s="25">
        <f>(om_kw*mwac*1000+ins_rate*$C$255+am_cost+prop_tax+misc_cost)*Opex!Q$7+rent_acre*acres_lease*Opex!Q$8</f>
        <v/>
      </c>
      <c r="R263" s="25">
        <f>(om_kw*mwac*1000+ins_rate*$C$255+am_cost+prop_tax+misc_cost)*Opex!R$7+rent_acre*acres_lease*Opex!R$8</f>
        <v/>
      </c>
      <c r="S263" s="25">
        <f>(om_kw*mwac*1000+ins_rate*$C$255+am_cost+prop_tax+misc_cost)*Opex!S$7+rent_acre*acres_lease*Opex!S$8</f>
        <v/>
      </c>
      <c r="T263" s="25">
        <f>(om_kw*mwac*1000+ins_rate*$C$255+am_cost+prop_tax+misc_cost)*Opex!T$7+rent_acre*acres_lease*Opex!T$8</f>
        <v/>
      </c>
      <c r="U263" s="25">
        <f>(om_kw*mwac*1000+ins_rate*$C$255+am_cost+prop_tax+misc_cost)*Opex!U$7+rent_acre*acres_lease*Opex!U$8</f>
        <v/>
      </c>
      <c r="V263" s="25">
        <f>(om_kw*mwac*1000+ins_rate*$C$255+am_cost+prop_tax+misc_cost)*Opex!V$7+rent_acre*acres_lease*Opex!V$8</f>
        <v/>
      </c>
      <c r="W263" s="25">
        <f>(om_kw*mwac*1000+ins_rate*$C$255+am_cost+prop_tax+misc_cost)*Opex!W$7+rent_acre*acres_lease*Opex!W$8</f>
        <v/>
      </c>
      <c r="X263" s="25">
        <f>(om_kw*mwac*1000+ins_rate*$C$255+am_cost+prop_tax+misc_cost)*Opex!X$7+rent_acre*acres_lease*Opex!X$8</f>
        <v/>
      </c>
      <c r="Y263" s="25">
        <f>(om_kw*mwac*1000+ins_rate*$C$255+am_cost+prop_tax+misc_cost)*Opex!Y$7+rent_acre*acres_lease*Opex!Y$8</f>
        <v/>
      </c>
      <c r="Z263" s="25">
        <f>(om_kw*mwac*1000+ins_rate*$C$255+am_cost+prop_tax+misc_cost)*Opex!Z$7+rent_acre*acres_lease*Opex!Z$8</f>
        <v/>
      </c>
      <c r="AA263" s="25">
        <f>(om_kw*mwac*1000+ins_rate*$C$255+am_cost+prop_tax+misc_cost)*Opex!AA$7+rent_acre*acres_lease*Opex!AA$8</f>
        <v/>
      </c>
      <c r="AB263" s="25">
        <f>(om_kw*mwac*1000+ins_rate*$C$255+am_cost+prop_tax+misc_cost)*Opex!AB$7+rent_acre*acres_lease*Opex!AB$8</f>
        <v/>
      </c>
      <c r="AC263" s="25">
        <f>(om_kw*mwac*1000+ins_rate*$C$255+am_cost+prop_tax+misc_cost)*Opex!AC$7+rent_acre*acres_lease*Opex!AC$8</f>
        <v/>
      </c>
      <c r="AD263" s="25">
        <f>(om_kw*mwac*1000+ins_rate*$C$255+am_cost+prop_tax+misc_cost)*Opex!AD$7+rent_acre*acres_lease*Opex!AD$8</f>
        <v/>
      </c>
      <c r="AE263" s="25">
        <f>(om_kw*mwac*1000+ins_rate*$C$255+am_cost+prop_tax+misc_cost)*Opex!AE$7+rent_acre*acres_lease*Opex!AE$8</f>
        <v/>
      </c>
      <c r="AF263" s="25">
        <f>(om_kw*mwac*1000+ins_rate*$C$255+am_cost+prop_tax+misc_cost)*Opex!AF$7+rent_acre*acres_lease*Opex!AF$8</f>
        <v/>
      </c>
      <c r="AG263" s="25">
        <f>(om_kw*mwac*1000+ins_rate*$C$255+am_cost+prop_tax+misc_cost)*Opex!AG$7+rent_acre*acres_lease*Opex!AG$8</f>
        <v/>
      </c>
      <c r="AH263" s="25">
        <f>(om_kw*mwac*1000+ins_rate*$C$255+am_cost+prop_tax+misc_cost)*Opex!AH$7+rent_acre*acres_lease*Opex!AH$8</f>
        <v/>
      </c>
      <c r="AI263" s="25">
        <f>(om_kw*mwac*1000+ins_rate*$C$255+am_cost+prop_tax+misc_cost)*Opex!AI$7+rent_acre*acres_lease*Opex!AI$8</f>
        <v/>
      </c>
      <c r="AJ263" s="25">
        <f>(om_kw*mwac*1000+ins_rate*$C$255+am_cost+prop_tax+misc_cost)*Opex!AJ$7+rent_acre*acres_lease*Opex!AJ$8</f>
        <v/>
      </c>
      <c r="AK263" s="25">
        <f>(om_kw*mwac*1000+ins_rate*$C$255+am_cost+prop_tax+misc_cost)*Opex!AK$7+rent_acre*acres_lease*Opex!AK$8</f>
        <v/>
      </c>
      <c r="AL263" s="25">
        <f>(om_kw*mwac*1000+ins_rate*$C$255+am_cost+prop_tax+misc_cost)*Opex!AL$7+rent_acre*acres_lease*Opex!AL$8</f>
        <v/>
      </c>
    </row>
    <row r="264">
      <c r="B264" s="7" t="inlineStr">
        <is>
          <t>Credit cash ($)</t>
        </is>
      </c>
      <c r="D264" s="25">
        <f>IF("None"="PTC",IF(D$5&lt;ptc_years,D258*Credits!D$8*(1+sw_bonus)*transfer_ptc,0),0)+IF(D$5=0,$C$257,0)</f>
        <v/>
      </c>
      <c r="E264" s="25">
        <f>IF("None"="PTC",IF(E$5&lt;ptc_years,E258*Credits!E$8*(1+sw_bonus)*transfer_ptc,0),0)+IF(E$5=0,$C$257,0)</f>
        <v/>
      </c>
      <c r="F264" s="25">
        <f>IF("None"="PTC",IF(F$5&lt;ptc_years,F258*Credits!F$8*(1+sw_bonus)*transfer_ptc,0),0)+IF(F$5=0,$C$257,0)</f>
        <v/>
      </c>
      <c r="G264" s="25">
        <f>IF("None"="PTC",IF(G$5&lt;ptc_years,G258*Credits!G$8*(1+sw_bonus)*transfer_ptc,0),0)+IF(G$5=0,$C$257,0)</f>
        <v/>
      </c>
      <c r="H264" s="25">
        <f>IF("None"="PTC",IF(H$5&lt;ptc_years,H258*Credits!H$8*(1+sw_bonus)*transfer_ptc,0),0)+IF(H$5=0,$C$257,0)</f>
        <v/>
      </c>
      <c r="I264" s="25">
        <f>IF("None"="PTC",IF(I$5&lt;ptc_years,I258*Credits!I$8*(1+sw_bonus)*transfer_ptc,0),0)+IF(I$5=0,$C$257,0)</f>
        <v/>
      </c>
      <c r="J264" s="25">
        <f>IF("None"="PTC",IF(J$5&lt;ptc_years,J258*Credits!J$8*(1+sw_bonus)*transfer_ptc,0),0)+IF(J$5=0,$C$257,0)</f>
        <v/>
      </c>
      <c r="K264" s="25">
        <f>IF("None"="PTC",IF(K$5&lt;ptc_years,K258*Credits!K$8*(1+sw_bonus)*transfer_ptc,0),0)+IF(K$5=0,$C$257,0)</f>
        <v/>
      </c>
      <c r="L264" s="25">
        <f>IF("None"="PTC",IF(L$5&lt;ptc_years,L258*Credits!L$8*(1+sw_bonus)*transfer_ptc,0),0)+IF(L$5=0,$C$257,0)</f>
        <v/>
      </c>
      <c r="M264" s="25">
        <f>IF("None"="PTC",IF(M$5&lt;ptc_years,M258*Credits!M$8*(1+sw_bonus)*transfer_ptc,0),0)+IF(M$5=0,$C$257,0)</f>
        <v/>
      </c>
      <c r="N264" s="25">
        <f>IF("None"="PTC",IF(N$5&lt;ptc_years,N258*Credits!N$8*(1+sw_bonus)*transfer_ptc,0),0)+IF(N$5=0,$C$257,0)</f>
        <v/>
      </c>
      <c r="O264" s="25">
        <f>IF("None"="PTC",IF(O$5&lt;ptc_years,O258*Credits!O$8*(1+sw_bonus)*transfer_ptc,0),0)+IF(O$5=0,$C$257,0)</f>
        <v/>
      </c>
      <c r="P264" s="25">
        <f>IF("None"="PTC",IF(P$5&lt;ptc_years,P258*Credits!P$8*(1+sw_bonus)*transfer_ptc,0),0)+IF(P$5=0,$C$257,0)</f>
        <v/>
      </c>
      <c r="Q264" s="25">
        <f>IF("None"="PTC",IF(Q$5&lt;ptc_years,Q258*Credits!Q$8*(1+sw_bonus)*transfer_ptc,0),0)+IF(Q$5=0,$C$257,0)</f>
        <v/>
      </c>
      <c r="R264" s="25">
        <f>IF("None"="PTC",IF(R$5&lt;ptc_years,R258*Credits!R$8*(1+sw_bonus)*transfer_ptc,0),0)+IF(R$5=0,$C$257,0)</f>
        <v/>
      </c>
      <c r="S264" s="25">
        <f>IF("None"="PTC",IF(S$5&lt;ptc_years,S258*Credits!S$8*(1+sw_bonus)*transfer_ptc,0),0)+IF(S$5=0,$C$257,0)</f>
        <v/>
      </c>
      <c r="T264" s="25">
        <f>IF("None"="PTC",IF(T$5&lt;ptc_years,T258*Credits!T$8*(1+sw_bonus)*transfer_ptc,0),0)+IF(T$5=0,$C$257,0)</f>
        <v/>
      </c>
      <c r="U264" s="25">
        <f>IF("None"="PTC",IF(U$5&lt;ptc_years,U258*Credits!U$8*(1+sw_bonus)*transfer_ptc,0),0)+IF(U$5=0,$C$257,0)</f>
        <v/>
      </c>
      <c r="V264" s="25">
        <f>IF("None"="PTC",IF(V$5&lt;ptc_years,V258*Credits!V$8*(1+sw_bonus)*transfer_ptc,0),0)+IF(V$5=0,$C$257,0)</f>
        <v/>
      </c>
      <c r="W264" s="25">
        <f>IF("None"="PTC",IF(W$5&lt;ptc_years,W258*Credits!W$8*(1+sw_bonus)*transfer_ptc,0),0)+IF(W$5=0,$C$257,0)</f>
        <v/>
      </c>
      <c r="X264" s="25">
        <f>IF("None"="PTC",IF(X$5&lt;ptc_years,X258*Credits!X$8*(1+sw_bonus)*transfer_ptc,0),0)+IF(X$5=0,$C$257,0)</f>
        <v/>
      </c>
      <c r="Y264" s="25">
        <f>IF("None"="PTC",IF(Y$5&lt;ptc_years,Y258*Credits!Y$8*(1+sw_bonus)*transfer_ptc,0),0)+IF(Y$5=0,$C$257,0)</f>
        <v/>
      </c>
      <c r="Z264" s="25">
        <f>IF("None"="PTC",IF(Z$5&lt;ptc_years,Z258*Credits!Z$8*(1+sw_bonus)*transfer_ptc,0),0)+IF(Z$5=0,$C$257,0)</f>
        <v/>
      </c>
      <c r="AA264" s="25">
        <f>IF("None"="PTC",IF(AA$5&lt;ptc_years,AA258*Credits!AA$8*(1+sw_bonus)*transfer_ptc,0),0)+IF(AA$5=0,$C$257,0)</f>
        <v/>
      </c>
      <c r="AB264" s="25">
        <f>IF("None"="PTC",IF(AB$5&lt;ptc_years,AB258*Credits!AB$8*(1+sw_bonus)*transfer_ptc,0),0)+IF(AB$5=0,$C$257,0)</f>
        <v/>
      </c>
      <c r="AC264" s="25">
        <f>IF("None"="PTC",IF(AC$5&lt;ptc_years,AC258*Credits!AC$8*(1+sw_bonus)*transfer_ptc,0),0)+IF(AC$5=0,$C$257,0)</f>
        <v/>
      </c>
      <c r="AD264" s="25">
        <f>IF("None"="PTC",IF(AD$5&lt;ptc_years,AD258*Credits!AD$8*(1+sw_bonus)*transfer_ptc,0),0)+IF(AD$5=0,$C$257,0)</f>
        <v/>
      </c>
      <c r="AE264" s="25">
        <f>IF("None"="PTC",IF(AE$5&lt;ptc_years,AE258*Credits!AE$8*(1+sw_bonus)*transfer_ptc,0),0)+IF(AE$5=0,$C$257,0)</f>
        <v/>
      </c>
      <c r="AF264" s="25">
        <f>IF("None"="PTC",IF(AF$5&lt;ptc_years,AF258*Credits!AF$8*(1+sw_bonus)*transfer_ptc,0),0)+IF(AF$5=0,$C$257,0)</f>
        <v/>
      </c>
      <c r="AG264" s="25">
        <f>IF("None"="PTC",IF(AG$5&lt;ptc_years,AG258*Credits!AG$8*(1+sw_bonus)*transfer_ptc,0),0)+IF(AG$5=0,$C$257,0)</f>
        <v/>
      </c>
      <c r="AH264" s="25">
        <f>IF("None"="PTC",IF(AH$5&lt;ptc_years,AH258*Credits!AH$8*(1+sw_bonus)*transfer_ptc,0),0)+IF(AH$5=0,$C$257,0)</f>
        <v/>
      </c>
      <c r="AI264" s="25">
        <f>IF("None"="PTC",IF(AI$5&lt;ptc_years,AI258*Credits!AI$8*(1+sw_bonus)*transfer_ptc,0),0)+IF(AI$5=0,$C$257,0)</f>
        <v/>
      </c>
      <c r="AJ264" s="25">
        <f>IF("None"="PTC",IF(AJ$5&lt;ptc_years,AJ258*Credits!AJ$8*(1+sw_bonus)*transfer_ptc,0),0)+IF(AJ$5=0,$C$257,0)</f>
        <v/>
      </c>
      <c r="AK264" s="25">
        <f>IF("None"="PTC",IF(AK$5&lt;ptc_years,AK258*Credits!AK$8*(1+sw_bonus)*transfer_ptc,0),0)+IF(AK$5=0,$C$257,0)</f>
        <v/>
      </c>
      <c r="AL264" s="25">
        <f>IF("None"="PTC",IF(AL$5&lt;ptc_years,AL258*Credits!AL$8*(1+sw_bonus)*transfer_ptc,0),0)+IF(AL$5=0,$C$257,0)</f>
        <v/>
      </c>
    </row>
    <row r="265">
      <c r="B265" s="14" t="inlineStr">
        <is>
          <t>EBITDA ($)</t>
        </is>
      </c>
      <c r="D265" s="26">
        <f>D260+D261-D262-D263</f>
        <v/>
      </c>
      <c r="E265" s="26">
        <f>E260+E261-E262-E263</f>
        <v/>
      </c>
      <c r="F265" s="26">
        <f>F260+F261-F262-F263</f>
        <v/>
      </c>
      <c r="G265" s="26">
        <f>G260+G261-G262-G263</f>
        <v/>
      </c>
      <c r="H265" s="26">
        <f>H260+H261-H262-H263</f>
        <v/>
      </c>
      <c r="I265" s="26">
        <f>I260+I261-I262-I263</f>
        <v/>
      </c>
      <c r="J265" s="26">
        <f>J260+J261-J262-J263</f>
        <v/>
      </c>
      <c r="K265" s="26">
        <f>K260+K261-K262-K263</f>
        <v/>
      </c>
      <c r="L265" s="26">
        <f>L260+L261-L262-L263</f>
        <v/>
      </c>
      <c r="M265" s="26">
        <f>M260+M261-M262-M263</f>
        <v/>
      </c>
      <c r="N265" s="26">
        <f>N260+N261-N262-N263</f>
        <v/>
      </c>
      <c r="O265" s="26">
        <f>O260+O261-O262-O263</f>
        <v/>
      </c>
      <c r="P265" s="26">
        <f>P260+P261-P262-P263</f>
        <v/>
      </c>
      <c r="Q265" s="26">
        <f>Q260+Q261-Q262-Q263</f>
        <v/>
      </c>
      <c r="R265" s="26">
        <f>R260+R261-R262-R263</f>
        <v/>
      </c>
      <c r="S265" s="26">
        <f>S260+S261-S262-S263</f>
        <v/>
      </c>
      <c r="T265" s="26">
        <f>T260+T261-T262-T263</f>
        <v/>
      </c>
      <c r="U265" s="26">
        <f>U260+U261-U262-U263</f>
        <v/>
      </c>
      <c r="V265" s="26">
        <f>V260+V261-V262-V263</f>
        <v/>
      </c>
      <c r="W265" s="26">
        <f>W260+W261-W262-W263</f>
        <v/>
      </c>
      <c r="X265" s="26">
        <f>X260+X261-X262-X263</f>
        <v/>
      </c>
      <c r="Y265" s="26">
        <f>Y260+Y261-Y262-Y263</f>
        <v/>
      </c>
      <c r="Z265" s="26">
        <f>Z260+Z261-Z262-Z263</f>
        <v/>
      </c>
      <c r="AA265" s="26">
        <f>AA260+AA261-AA262-AA263</f>
        <v/>
      </c>
      <c r="AB265" s="26">
        <f>AB260+AB261-AB262-AB263</f>
        <v/>
      </c>
      <c r="AC265" s="26">
        <f>AC260+AC261-AC262-AC263</f>
        <v/>
      </c>
      <c r="AD265" s="26">
        <f>AD260+AD261-AD262-AD263</f>
        <v/>
      </c>
      <c r="AE265" s="26">
        <f>AE260+AE261-AE262-AE263</f>
        <v/>
      </c>
      <c r="AF265" s="26">
        <f>AF260+AF261-AF262-AF263</f>
        <v/>
      </c>
      <c r="AG265" s="26">
        <f>AG260+AG261-AG262-AG263</f>
        <v/>
      </c>
      <c r="AH265" s="26">
        <f>AH260+AH261-AH262-AH263</f>
        <v/>
      </c>
      <c r="AI265" s="26">
        <f>AI260+AI261-AI262-AI263</f>
        <v/>
      </c>
      <c r="AJ265" s="26">
        <f>AJ260+AJ261-AJ262-AJ263</f>
        <v/>
      </c>
      <c r="AK265" s="26">
        <f>AK260+AK261-AK262-AK263</f>
        <v/>
      </c>
      <c r="AL265" s="26">
        <f>AL260+AL261-AL262-AL263</f>
        <v/>
      </c>
    </row>
    <row r="266">
      <c r="B266" s="7" t="inlineStr">
        <is>
          <t>Discount factor to 1 January 2027, contracted rate</t>
        </is>
      </c>
      <c r="D266" s="22">
        <f>1/(1+x_rc)^(D$5+2)</f>
        <v/>
      </c>
      <c r="E266" s="22">
        <f>1/(1+x_rc)^(E$5+2)</f>
        <v/>
      </c>
      <c r="F266" s="22">
        <f>1/(1+x_rc)^(F$5+2)</f>
        <v/>
      </c>
      <c r="G266" s="22">
        <f>1/(1+x_rc)^(G$5+2)</f>
        <v/>
      </c>
      <c r="H266" s="22">
        <f>1/(1+x_rc)^(H$5+2)</f>
        <v/>
      </c>
      <c r="I266" s="22">
        <f>1/(1+x_rc)^(I$5+2)</f>
        <v/>
      </c>
      <c r="J266" s="22">
        <f>1/(1+x_rc)^(J$5+2)</f>
        <v/>
      </c>
      <c r="K266" s="22">
        <f>1/(1+x_rc)^(K$5+2)</f>
        <v/>
      </c>
      <c r="L266" s="22">
        <f>1/(1+x_rc)^(L$5+2)</f>
        <v/>
      </c>
      <c r="M266" s="22">
        <f>1/(1+x_rc)^(M$5+2)</f>
        <v/>
      </c>
      <c r="N266" s="22">
        <f>1/(1+x_rc)^(N$5+2)</f>
        <v/>
      </c>
      <c r="O266" s="22">
        <f>1/(1+x_rc)^(O$5+2)</f>
        <v/>
      </c>
      <c r="P266" s="22">
        <f>1/(1+x_rc)^(P$5+2)</f>
        <v/>
      </c>
      <c r="Q266" s="22">
        <f>1/(1+x_rc)^(Q$5+2)</f>
        <v/>
      </c>
      <c r="R266" s="22">
        <f>1/(1+x_rc)^(R$5+2)</f>
        <v/>
      </c>
      <c r="S266" s="22">
        <f>1/(1+x_rc)^(S$5+2)</f>
        <v/>
      </c>
      <c r="T266" s="22">
        <f>1/(1+x_rc)^(T$5+2)</f>
        <v/>
      </c>
      <c r="U266" s="22">
        <f>1/(1+x_rc)^(U$5+2)</f>
        <v/>
      </c>
      <c r="V266" s="22">
        <f>1/(1+x_rc)^(V$5+2)</f>
        <v/>
      </c>
      <c r="W266" s="22">
        <f>1/(1+x_rc)^(W$5+2)</f>
        <v/>
      </c>
      <c r="X266" s="22">
        <f>1/(1+x_rc)^(X$5+2)</f>
        <v/>
      </c>
      <c r="Y266" s="22">
        <f>1/(1+x_rc)^(Y$5+2)</f>
        <v/>
      </c>
      <c r="Z266" s="22">
        <f>1/(1+x_rc)^(Z$5+2)</f>
        <v/>
      </c>
      <c r="AA266" s="22">
        <f>1/(1+x_rc)^(AA$5+2)</f>
        <v/>
      </c>
      <c r="AB266" s="22">
        <f>1/(1+x_rc)^(AB$5+2)</f>
        <v/>
      </c>
      <c r="AC266" s="22">
        <f>1/(1+x_rc)^(AC$5+2)</f>
        <v/>
      </c>
      <c r="AD266" s="22">
        <f>1/(1+x_rc)^(AD$5+2)</f>
        <v/>
      </c>
      <c r="AE266" s="22">
        <f>1/(1+x_rc)^(AE$5+2)</f>
        <v/>
      </c>
      <c r="AF266" s="22">
        <f>1/(1+x_rc)^(AF$5+2)</f>
        <v/>
      </c>
      <c r="AG266" s="22">
        <f>1/(1+x_rc)^(AG$5+2)</f>
        <v/>
      </c>
      <c r="AH266" s="22">
        <f>1/(1+x_rc)^(AH$5+2)</f>
        <v/>
      </c>
      <c r="AI266" s="22">
        <f>1/(1+x_rc)^(AI$5+2)</f>
        <v/>
      </c>
      <c r="AJ266" s="22">
        <f>1/(1+x_rc)^(AJ$5+2)</f>
        <v/>
      </c>
      <c r="AK266" s="22">
        <f>1/(1+x_rc)^(AK$5+2)</f>
        <v/>
      </c>
      <c r="AL266" s="22">
        <f>1/(1+x_rc)^(AL$5+2)</f>
        <v/>
      </c>
    </row>
    <row r="267">
      <c r="B267" s="7" t="inlineStr">
        <is>
          <t>Discount factor to 1 January 2027, merchant rate</t>
        </is>
      </c>
      <c r="D267" s="22">
        <f>1/(1+x_rm)^(D$5+2)</f>
        <v/>
      </c>
      <c r="E267" s="22">
        <f>1/(1+x_rm)^(E$5+2)</f>
        <v/>
      </c>
      <c r="F267" s="22">
        <f>1/(1+x_rm)^(F$5+2)</f>
        <v/>
      </c>
      <c r="G267" s="22">
        <f>1/(1+x_rm)^(G$5+2)</f>
        <v/>
      </c>
      <c r="H267" s="22">
        <f>1/(1+x_rm)^(H$5+2)</f>
        <v/>
      </c>
      <c r="I267" s="22">
        <f>1/(1+x_rm)^(I$5+2)</f>
        <v/>
      </c>
      <c r="J267" s="22">
        <f>1/(1+x_rm)^(J$5+2)</f>
        <v/>
      </c>
      <c r="K267" s="22">
        <f>1/(1+x_rm)^(K$5+2)</f>
        <v/>
      </c>
      <c r="L267" s="22">
        <f>1/(1+x_rm)^(L$5+2)</f>
        <v/>
      </c>
      <c r="M267" s="22">
        <f>1/(1+x_rm)^(M$5+2)</f>
        <v/>
      </c>
      <c r="N267" s="22">
        <f>1/(1+x_rm)^(N$5+2)</f>
        <v/>
      </c>
      <c r="O267" s="22">
        <f>1/(1+x_rm)^(O$5+2)</f>
        <v/>
      </c>
      <c r="P267" s="22">
        <f>1/(1+x_rm)^(P$5+2)</f>
        <v/>
      </c>
      <c r="Q267" s="22">
        <f>1/(1+x_rm)^(Q$5+2)</f>
        <v/>
      </c>
      <c r="R267" s="22">
        <f>1/(1+x_rm)^(R$5+2)</f>
        <v/>
      </c>
      <c r="S267" s="22">
        <f>1/(1+x_rm)^(S$5+2)</f>
        <v/>
      </c>
      <c r="T267" s="22">
        <f>1/(1+x_rm)^(T$5+2)</f>
        <v/>
      </c>
      <c r="U267" s="22">
        <f>1/(1+x_rm)^(U$5+2)</f>
        <v/>
      </c>
      <c r="V267" s="22">
        <f>1/(1+x_rm)^(V$5+2)</f>
        <v/>
      </c>
      <c r="W267" s="22">
        <f>1/(1+x_rm)^(W$5+2)</f>
        <v/>
      </c>
      <c r="X267" s="22">
        <f>1/(1+x_rm)^(X$5+2)</f>
        <v/>
      </c>
      <c r="Y267" s="22">
        <f>1/(1+x_rm)^(Y$5+2)</f>
        <v/>
      </c>
      <c r="Z267" s="22">
        <f>1/(1+x_rm)^(Z$5+2)</f>
        <v/>
      </c>
      <c r="AA267" s="22">
        <f>1/(1+x_rm)^(AA$5+2)</f>
        <v/>
      </c>
      <c r="AB267" s="22">
        <f>1/(1+x_rm)^(AB$5+2)</f>
        <v/>
      </c>
      <c r="AC267" s="22">
        <f>1/(1+x_rm)^(AC$5+2)</f>
        <v/>
      </c>
      <c r="AD267" s="22">
        <f>1/(1+x_rm)^(AD$5+2)</f>
        <v/>
      </c>
      <c r="AE267" s="22">
        <f>1/(1+x_rm)^(AE$5+2)</f>
        <v/>
      </c>
      <c r="AF267" s="22">
        <f>1/(1+x_rm)^(AF$5+2)</f>
        <v/>
      </c>
      <c r="AG267" s="22">
        <f>1/(1+x_rm)^(AG$5+2)</f>
        <v/>
      </c>
      <c r="AH267" s="22">
        <f>1/(1+x_rm)^(AH$5+2)</f>
        <v/>
      </c>
      <c r="AI267" s="22">
        <f>1/(1+x_rm)^(AI$5+2)</f>
        <v/>
      </c>
      <c r="AJ267" s="22">
        <f>1/(1+x_rm)^(AJ$5+2)</f>
        <v/>
      </c>
      <c r="AK267" s="22">
        <f>1/(1+x_rm)^(AK$5+2)</f>
        <v/>
      </c>
      <c r="AL267" s="22">
        <f>1/(1+x_rm)^(AL$5+2)</f>
        <v/>
      </c>
    </row>
    <row r="268">
      <c r="B268" s="7" t="inlineStr">
        <is>
          <t>Value on 1 January 2027 of the flows from 2028 (split rates) ($)</t>
        </is>
      </c>
      <c r="C268" s="25">
        <f>SUMPRODUCT($D$260:$AL$260,$D$266:$AL$266)+SUMPRODUCT($D$264:$AL$264,$D$266:$AL$266)-SUMPRODUCT($D$262:$AL$262,$D$266:$AL$266)-SUMPRODUCT($D$263:$AL$263,$D$266:$AL$266)+SUMPRODUCT($D$261:$AL$261,$D$267:$AL$267)-decom_end/(1+x_rc)^(life_years+1)</f>
        <v/>
      </c>
    </row>
    <row r="269">
      <c r="B269" s="14" t="inlineStr">
        <is>
          <t>Development value on 1 January 2027: value less the capital cost ($)</t>
        </is>
      </c>
      <c r="C269" s="26">
        <f>C268-C255/(1+x_rc)</f>
        <v/>
      </c>
    </row>
    <row r="270">
      <c r="B270" s="7" t="inlineStr">
        <is>
          <t>Highest premium Ashgrove can pay at NTP ($)</t>
        </is>
      </c>
      <c r="C270" s="25">
        <f>C269-reimb+reimb/(1+x_rc)</f>
        <v/>
      </c>
    </row>
    <row r="273">
      <c r="B273" s="6" t="inlineStr">
        <is>
          <t>No tax credit, case C</t>
        </is>
      </c>
    </row>
    <row r="274">
      <c r="B274" s="7" t="inlineStr">
        <is>
          <t>Capital cost ($)</t>
        </is>
      </c>
      <c r="C274" s="25">
        <f>((x_module+x_tracker+x_bos)*mwdc*1000000+x_inverter*mwac*1000000+x_sub)*(1+contingency)+x_ic+owner</f>
        <v/>
      </c>
    </row>
    <row r="275">
      <c r="B275" s="7" t="inlineStr">
        <is>
          <t>ITC eligible basis ($)</t>
        </is>
      </c>
      <c r="C275" s="25">
        <f>((x_module+x_tracker+x_bos)*mwdc*1000000+x_inverter*mwac*1000000+x_sub)*(1+contingency)-gentie_share*x_sub</f>
        <v/>
      </c>
    </row>
    <row r="276">
      <c r="B276" s="7" t="inlineStr">
        <is>
          <t>ITC cash at the end of 2028, if elected ($)</t>
        </is>
      </c>
      <c r="C276" s="25">
        <f>IF("None"="ITC",C275*(itc_rate+sw_bonus)*transfer_itc,0)</f>
        <v/>
      </c>
    </row>
    <row r="277">
      <c r="B277" s="7" t="inlineStr">
        <is>
          <t>Energy (MWh)</t>
        </is>
      </c>
      <c r="D277" s="23">
        <f>mwac*hours*cf_p50*Energy!D$7*x_scale</f>
        <v/>
      </c>
      <c r="E277" s="23">
        <f>mwac*hours*cf_p50*Energy!E$7*x_scale</f>
        <v/>
      </c>
      <c r="F277" s="23">
        <f>mwac*hours*cf_p50*Energy!F$7*x_scale</f>
        <v/>
      </c>
      <c r="G277" s="23">
        <f>mwac*hours*cf_p50*Energy!G$7*x_scale</f>
        <v/>
      </c>
      <c r="H277" s="23">
        <f>mwac*hours*cf_p50*Energy!H$7*x_scale</f>
        <v/>
      </c>
      <c r="I277" s="23">
        <f>mwac*hours*cf_p50*Energy!I$7*x_scale</f>
        <v/>
      </c>
      <c r="J277" s="23">
        <f>mwac*hours*cf_p50*Energy!J$7*x_scale</f>
        <v/>
      </c>
      <c r="K277" s="23">
        <f>mwac*hours*cf_p50*Energy!K$7*x_scale</f>
        <v/>
      </c>
      <c r="L277" s="23">
        <f>mwac*hours*cf_p50*Energy!L$7*x_scale</f>
        <v/>
      </c>
      <c r="M277" s="23">
        <f>mwac*hours*cf_p50*Energy!M$7*x_scale</f>
        <v/>
      </c>
      <c r="N277" s="23">
        <f>mwac*hours*cf_p50*Energy!N$7*x_scale</f>
        <v/>
      </c>
      <c r="O277" s="23">
        <f>mwac*hours*cf_p50*Energy!O$7*x_scale</f>
        <v/>
      </c>
      <c r="P277" s="23">
        <f>mwac*hours*cf_p50*Energy!P$7*x_scale</f>
        <v/>
      </c>
      <c r="Q277" s="23">
        <f>mwac*hours*cf_p50*Energy!Q$7*x_scale</f>
        <v/>
      </c>
      <c r="R277" s="23">
        <f>mwac*hours*cf_p50*Energy!R$7*x_scale</f>
        <v/>
      </c>
      <c r="S277" s="23">
        <f>mwac*hours*cf_p50*Energy!S$7*x_scale</f>
        <v/>
      </c>
      <c r="T277" s="23">
        <f>mwac*hours*cf_p50*Energy!T$7*x_scale</f>
        <v/>
      </c>
      <c r="U277" s="23">
        <f>mwac*hours*cf_p50*Energy!U$7*x_scale</f>
        <v/>
      </c>
      <c r="V277" s="23">
        <f>mwac*hours*cf_p50*Energy!V$7*x_scale</f>
        <v/>
      </c>
      <c r="W277" s="23">
        <f>mwac*hours*cf_p50*Energy!W$7*x_scale</f>
        <v/>
      </c>
      <c r="X277" s="23">
        <f>mwac*hours*cf_p50*Energy!X$7*x_scale</f>
        <v/>
      </c>
      <c r="Y277" s="23">
        <f>mwac*hours*cf_p50*Energy!Y$7*x_scale</f>
        <v/>
      </c>
      <c r="Z277" s="23">
        <f>mwac*hours*cf_p50*Energy!Z$7*x_scale</f>
        <v/>
      </c>
      <c r="AA277" s="23">
        <f>mwac*hours*cf_p50*Energy!AA$7*x_scale</f>
        <v/>
      </c>
      <c r="AB277" s="23">
        <f>mwac*hours*cf_p50*Energy!AB$7*x_scale</f>
        <v/>
      </c>
      <c r="AC277" s="23">
        <f>mwac*hours*cf_p50*Energy!AC$7*x_scale</f>
        <v/>
      </c>
      <c r="AD277" s="23">
        <f>mwac*hours*cf_p50*Energy!AD$7*x_scale</f>
        <v/>
      </c>
      <c r="AE277" s="23">
        <f>mwac*hours*cf_p50*Energy!AE$7*x_scale</f>
        <v/>
      </c>
      <c r="AF277" s="23">
        <f>mwac*hours*cf_p50*Energy!AF$7*x_scale</f>
        <v/>
      </c>
      <c r="AG277" s="23">
        <f>mwac*hours*cf_p50*Energy!AG$7*x_scale</f>
        <v/>
      </c>
      <c r="AH277" s="23">
        <f>mwac*hours*cf_p50*Energy!AH$7*x_scale</f>
        <v/>
      </c>
      <c r="AI277" s="23">
        <f>mwac*hours*cf_p50*Energy!AI$7*x_scale</f>
        <v/>
      </c>
      <c r="AJ277" s="23">
        <f>mwac*hours*cf_p50*Energy!AJ$7*x_scale</f>
        <v/>
      </c>
      <c r="AK277" s="23">
        <f>mwac*hours*cf_p50*Energy!AK$7*x_scale</f>
        <v/>
      </c>
      <c r="AL277" s="23">
        <f>mwac*hours*cf_p50*Energy!AL$7*x_scale</f>
        <v/>
      </c>
    </row>
    <row r="278">
      <c r="B278" s="7" t="inlineStr">
        <is>
          <t>Node price, hub switch applied ($/MWh)</t>
        </is>
      </c>
      <c r="D278" s="32">
        <f>Market!D$7*(1+sw_hub)*Market!D$8+Market!D$10</f>
        <v/>
      </c>
      <c r="E278" s="32">
        <f>Market!E$7*(1+sw_hub)*Market!E$8+Market!E$10</f>
        <v/>
      </c>
      <c r="F278" s="32">
        <f>Market!F$7*(1+sw_hub)*Market!F$8+Market!F$10</f>
        <v/>
      </c>
      <c r="G278" s="32">
        <f>Market!G$7*(1+sw_hub)*Market!G$8+Market!G$10</f>
        <v/>
      </c>
      <c r="H278" s="32">
        <f>Market!H$7*(1+sw_hub)*Market!H$8+Market!H$10</f>
        <v/>
      </c>
      <c r="I278" s="32">
        <f>Market!I$7*(1+sw_hub)*Market!I$8+Market!I$10</f>
        <v/>
      </c>
      <c r="J278" s="32">
        <f>Market!J$7*(1+sw_hub)*Market!J$8+Market!J$10</f>
        <v/>
      </c>
      <c r="K278" s="32">
        <f>Market!K$7*(1+sw_hub)*Market!K$8+Market!K$10</f>
        <v/>
      </c>
      <c r="L278" s="32">
        <f>Market!L$7*(1+sw_hub)*Market!L$8+Market!L$10</f>
        <v/>
      </c>
      <c r="M278" s="32">
        <f>Market!M$7*(1+sw_hub)*Market!M$8+Market!M$10</f>
        <v/>
      </c>
      <c r="N278" s="32">
        <f>Market!N$7*(1+sw_hub)*Market!N$8+Market!N$10</f>
        <v/>
      </c>
      <c r="O278" s="32">
        <f>Market!O$7*(1+sw_hub)*Market!O$8+Market!O$10</f>
        <v/>
      </c>
      <c r="P278" s="32">
        <f>Market!P$7*(1+sw_hub)*Market!P$8+Market!P$10</f>
        <v/>
      </c>
      <c r="Q278" s="32">
        <f>Market!Q$7*(1+sw_hub)*Market!Q$8+Market!Q$10</f>
        <v/>
      </c>
      <c r="R278" s="32">
        <f>Market!R$7*(1+sw_hub)*Market!R$8+Market!R$10</f>
        <v/>
      </c>
      <c r="S278" s="32">
        <f>Market!S$7*(1+sw_hub)*Market!S$8+Market!S$10</f>
        <v/>
      </c>
      <c r="T278" s="32">
        <f>Market!T$7*(1+sw_hub)*Market!T$8+Market!T$10</f>
        <v/>
      </c>
      <c r="U278" s="32">
        <f>Market!U$7*(1+sw_hub)*Market!U$8+Market!U$10</f>
        <v/>
      </c>
      <c r="V278" s="32">
        <f>Market!V$7*(1+sw_hub)*Market!V$8+Market!V$10</f>
        <v/>
      </c>
      <c r="W278" s="32">
        <f>Market!W$7*(1+sw_hub)*Market!W$8+Market!W$10</f>
        <v/>
      </c>
      <c r="X278" s="32">
        <f>Market!X$7*(1+sw_hub)*Market!X$8+Market!X$10</f>
        <v/>
      </c>
      <c r="Y278" s="32">
        <f>Market!Y$7*(1+sw_hub)*Market!Y$8+Market!Y$10</f>
        <v/>
      </c>
      <c r="Z278" s="32">
        <f>Market!Z$7*(1+sw_hub)*Market!Z$8+Market!Z$10</f>
        <v/>
      </c>
      <c r="AA278" s="32">
        <f>Market!AA$7*(1+sw_hub)*Market!AA$8+Market!AA$10</f>
        <v/>
      </c>
      <c r="AB278" s="32">
        <f>Market!AB$7*(1+sw_hub)*Market!AB$8+Market!AB$10</f>
        <v/>
      </c>
      <c r="AC278" s="32">
        <f>Market!AC$7*(1+sw_hub)*Market!AC$8+Market!AC$10</f>
        <v/>
      </c>
      <c r="AD278" s="32">
        <f>Market!AD$7*(1+sw_hub)*Market!AD$8+Market!AD$10</f>
        <v/>
      </c>
      <c r="AE278" s="32">
        <f>Market!AE$7*(1+sw_hub)*Market!AE$8+Market!AE$10</f>
        <v/>
      </c>
      <c r="AF278" s="32">
        <f>Market!AF$7*(1+sw_hub)*Market!AF$8+Market!AF$10</f>
        <v/>
      </c>
      <c r="AG278" s="32">
        <f>Market!AG$7*(1+sw_hub)*Market!AG$8+Market!AG$10</f>
        <v/>
      </c>
      <c r="AH278" s="32">
        <f>Market!AH$7*(1+sw_hub)*Market!AH$8+Market!AH$10</f>
        <v/>
      </c>
      <c r="AI278" s="32">
        <f>Market!AI$7*(1+sw_hub)*Market!AI$8+Market!AI$10</f>
        <v/>
      </c>
      <c r="AJ278" s="32">
        <f>Market!AJ$7*(1+sw_hub)*Market!AJ$8+Market!AJ$10</f>
        <v/>
      </c>
      <c r="AK278" s="32">
        <f>Market!AK$7*(1+sw_hub)*Market!AK$8+Market!AK$10</f>
        <v/>
      </c>
      <c r="AL278" s="32">
        <f>Market!AL$7*(1+sw_hub)*Market!AL$8+Market!AL$10</f>
        <v/>
      </c>
    </row>
    <row r="279">
      <c r="B279" s="7" t="inlineStr">
        <is>
          <t>Contracted revenue ($)</t>
        </is>
      </c>
      <c r="D279" s="25">
        <f>IF(D$5&lt;c_years,D277*c_price,0)</f>
        <v/>
      </c>
      <c r="E279" s="25">
        <f>IF(E$5&lt;c_years,E277*c_price,0)</f>
        <v/>
      </c>
      <c r="F279" s="25">
        <f>IF(F$5&lt;c_years,F277*c_price,0)</f>
        <v/>
      </c>
      <c r="G279" s="25">
        <f>IF(G$5&lt;c_years,G277*c_price,0)</f>
        <v/>
      </c>
      <c r="H279" s="25">
        <f>IF(H$5&lt;c_years,H277*c_price,0)</f>
        <v/>
      </c>
      <c r="I279" s="25">
        <f>IF(I$5&lt;c_years,I277*c_price,0)</f>
        <v/>
      </c>
      <c r="J279" s="25">
        <f>IF(J$5&lt;c_years,J277*c_price,0)</f>
        <v/>
      </c>
      <c r="K279" s="25">
        <f>IF(K$5&lt;c_years,K277*c_price,0)</f>
        <v/>
      </c>
      <c r="L279" s="25">
        <f>IF(L$5&lt;c_years,L277*c_price,0)</f>
        <v/>
      </c>
      <c r="M279" s="25">
        <f>IF(M$5&lt;c_years,M277*c_price,0)</f>
        <v/>
      </c>
      <c r="N279" s="25">
        <f>IF(N$5&lt;c_years,N277*c_price,0)</f>
        <v/>
      </c>
      <c r="O279" s="25">
        <f>IF(O$5&lt;c_years,O277*c_price,0)</f>
        <v/>
      </c>
      <c r="P279" s="25">
        <f>IF(P$5&lt;c_years,P277*c_price,0)</f>
        <v/>
      </c>
      <c r="Q279" s="25">
        <f>IF(Q$5&lt;c_years,Q277*c_price,0)</f>
        <v/>
      </c>
      <c r="R279" s="25">
        <f>IF(R$5&lt;c_years,R277*c_price,0)</f>
        <v/>
      </c>
      <c r="S279" s="25">
        <f>IF(S$5&lt;c_years,S277*c_price,0)</f>
        <v/>
      </c>
      <c r="T279" s="25">
        <f>IF(T$5&lt;c_years,T277*c_price,0)</f>
        <v/>
      </c>
      <c r="U279" s="25">
        <f>IF(U$5&lt;c_years,U277*c_price,0)</f>
        <v/>
      </c>
      <c r="V279" s="25">
        <f>IF(V$5&lt;c_years,V277*c_price,0)</f>
        <v/>
      </c>
      <c r="W279" s="25">
        <f>IF(W$5&lt;c_years,W277*c_price,0)</f>
        <v/>
      </c>
      <c r="X279" s="25">
        <f>IF(X$5&lt;c_years,X277*c_price,0)</f>
        <v/>
      </c>
      <c r="Y279" s="25">
        <f>IF(Y$5&lt;c_years,Y277*c_price,0)</f>
        <v/>
      </c>
      <c r="Z279" s="25">
        <f>IF(Z$5&lt;c_years,Z277*c_price,0)</f>
        <v/>
      </c>
      <c r="AA279" s="25">
        <f>IF(AA$5&lt;c_years,AA277*c_price,0)</f>
        <v/>
      </c>
      <c r="AB279" s="25">
        <f>IF(AB$5&lt;c_years,AB277*c_price,0)</f>
        <v/>
      </c>
      <c r="AC279" s="25">
        <f>IF(AC$5&lt;c_years,AC277*c_price,0)</f>
        <v/>
      </c>
      <c r="AD279" s="25">
        <f>IF(AD$5&lt;c_years,AD277*c_price,0)</f>
        <v/>
      </c>
      <c r="AE279" s="25">
        <f>IF(AE$5&lt;c_years,AE277*c_price,0)</f>
        <v/>
      </c>
      <c r="AF279" s="25">
        <f>IF(AF$5&lt;c_years,AF277*c_price,0)</f>
        <v/>
      </c>
      <c r="AG279" s="25">
        <f>IF(AG$5&lt;c_years,AG277*c_price,0)</f>
        <v/>
      </c>
      <c r="AH279" s="25">
        <f>IF(AH$5&lt;c_years,AH277*c_price,0)</f>
        <v/>
      </c>
      <c r="AI279" s="25">
        <f>IF(AI$5&lt;c_years,AI277*c_price,0)</f>
        <v/>
      </c>
      <c r="AJ279" s="25">
        <f>IF(AJ$5&lt;c_years,AJ277*c_price,0)</f>
        <v/>
      </c>
      <c r="AK279" s="25">
        <f>IF(AK$5&lt;c_years,AK277*c_price,0)</f>
        <v/>
      </c>
      <c r="AL279" s="25">
        <f>IF(AL$5&lt;c_years,AL277*c_price,0)</f>
        <v/>
      </c>
    </row>
    <row r="280">
      <c r="B280" s="7" t="inlineStr">
        <is>
          <t>Merchant revenue ($)</t>
        </is>
      </c>
      <c r="D280" s="25">
        <f>IF(D$5&lt;c_years,Market!D$13,D277*(D278+rec_price)+Market!D$13)</f>
        <v/>
      </c>
      <c r="E280" s="25">
        <f>IF(E$5&lt;c_years,Market!E$13,E277*(E278+rec_price)+Market!E$13)</f>
        <v/>
      </c>
      <c r="F280" s="25">
        <f>IF(F$5&lt;c_years,Market!F$13,F277*(F278+rec_price)+Market!F$13)</f>
        <v/>
      </c>
      <c r="G280" s="25">
        <f>IF(G$5&lt;c_years,Market!G$13,G277*(G278+rec_price)+Market!G$13)</f>
        <v/>
      </c>
      <c r="H280" s="25">
        <f>IF(H$5&lt;c_years,Market!H$13,H277*(H278+rec_price)+Market!H$13)</f>
        <v/>
      </c>
      <c r="I280" s="25">
        <f>IF(I$5&lt;c_years,Market!I$13,I277*(I278+rec_price)+Market!I$13)</f>
        <v/>
      </c>
      <c r="J280" s="25">
        <f>IF(J$5&lt;c_years,Market!J$13,J277*(J278+rec_price)+Market!J$13)</f>
        <v/>
      </c>
      <c r="K280" s="25">
        <f>IF(K$5&lt;c_years,Market!K$13,K277*(K278+rec_price)+Market!K$13)</f>
        <v/>
      </c>
      <c r="L280" s="25">
        <f>IF(L$5&lt;c_years,Market!L$13,L277*(L278+rec_price)+Market!L$13)</f>
        <v/>
      </c>
      <c r="M280" s="25">
        <f>IF(M$5&lt;c_years,Market!M$13,M277*(M278+rec_price)+Market!M$13)</f>
        <v/>
      </c>
      <c r="N280" s="25">
        <f>IF(N$5&lt;c_years,Market!N$13,N277*(N278+rec_price)+Market!N$13)</f>
        <v/>
      </c>
      <c r="O280" s="25">
        <f>IF(O$5&lt;c_years,Market!O$13,O277*(O278+rec_price)+Market!O$13)</f>
        <v/>
      </c>
      <c r="P280" s="25">
        <f>IF(P$5&lt;c_years,Market!P$13,P277*(P278+rec_price)+Market!P$13)</f>
        <v/>
      </c>
      <c r="Q280" s="25">
        <f>IF(Q$5&lt;c_years,Market!Q$13,Q277*(Q278+rec_price)+Market!Q$13)</f>
        <v/>
      </c>
      <c r="R280" s="25">
        <f>IF(R$5&lt;c_years,Market!R$13,R277*(R278+rec_price)+Market!R$13)</f>
        <v/>
      </c>
      <c r="S280" s="25">
        <f>IF(S$5&lt;c_years,Market!S$13,S277*(S278+rec_price)+Market!S$13)</f>
        <v/>
      </c>
      <c r="T280" s="25">
        <f>IF(T$5&lt;c_years,Market!T$13,T277*(T278+rec_price)+Market!T$13)</f>
        <v/>
      </c>
      <c r="U280" s="25">
        <f>IF(U$5&lt;c_years,Market!U$13,U277*(U278+rec_price)+Market!U$13)</f>
        <v/>
      </c>
      <c r="V280" s="25">
        <f>IF(V$5&lt;c_years,Market!V$13,V277*(V278+rec_price)+Market!V$13)</f>
        <v/>
      </c>
      <c r="W280" s="25">
        <f>IF(W$5&lt;c_years,Market!W$13,W277*(W278+rec_price)+Market!W$13)</f>
        <v/>
      </c>
      <c r="X280" s="25">
        <f>IF(X$5&lt;c_years,Market!X$13,X277*(X278+rec_price)+Market!X$13)</f>
        <v/>
      </c>
      <c r="Y280" s="25">
        <f>IF(Y$5&lt;c_years,Market!Y$13,Y277*(Y278+rec_price)+Market!Y$13)</f>
        <v/>
      </c>
      <c r="Z280" s="25">
        <f>IF(Z$5&lt;c_years,Market!Z$13,Z277*(Z278+rec_price)+Market!Z$13)</f>
        <v/>
      </c>
      <c r="AA280" s="25">
        <f>IF(AA$5&lt;c_years,Market!AA$13,AA277*(AA278+rec_price)+Market!AA$13)</f>
        <v/>
      </c>
      <c r="AB280" s="25">
        <f>IF(AB$5&lt;c_years,Market!AB$13,AB277*(AB278+rec_price)+Market!AB$13)</f>
        <v/>
      </c>
      <c r="AC280" s="25">
        <f>IF(AC$5&lt;c_years,Market!AC$13,AC277*(AC278+rec_price)+Market!AC$13)</f>
        <v/>
      </c>
      <c r="AD280" s="25">
        <f>IF(AD$5&lt;c_years,Market!AD$13,AD277*(AD278+rec_price)+Market!AD$13)</f>
        <v/>
      </c>
      <c r="AE280" s="25">
        <f>IF(AE$5&lt;c_years,Market!AE$13,AE277*(AE278+rec_price)+Market!AE$13)</f>
        <v/>
      </c>
      <c r="AF280" s="25">
        <f>IF(AF$5&lt;c_years,Market!AF$13,AF277*(AF278+rec_price)+Market!AF$13)</f>
        <v/>
      </c>
      <c r="AG280" s="25">
        <f>IF(AG$5&lt;c_years,Market!AG$13,AG277*(AG278+rec_price)+Market!AG$13)</f>
        <v/>
      </c>
      <c r="AH280" s="25">
        <f>IF(AH$5&lt;c_years,Market!AH$13,AH277*(AH278+rec_price)+Market!AH$13)</f>
        <v/>
      </c>
      <c r="AI280" s="25">
        <f>IF(AI$5&lt;c_years,Market!AI$13,AI277*(AI278+rec_price)+Market!AI$13)</f>
        <v/>
      </c>
      <c r="AJ280" s="25">
        <f>IF(AJ$5&lt;c_years,Market!AJ$13,AJ277*(AJ278+rec_price)+Market!AJ$13)</f>
        <v/>
      </c>
      <c r="AK280" s="25">
        <f>IF(AK$5&lt;c_years,Market!AK$13,AK277*(AK278+rec_price)+Market!AK$13)</f>
        <v/>
      </c>
      <c r="AL280" s="25">
        <f>IF(AL$5&lt;c_years,Market!AL$13,AL277*(AL278+rec_price)+Market!AL$13)</f>
        <v/>
      </c>
    </row>
    <row r="281">
      <c r="B281" s="7" t="inlineStr">
        <is>
          <t>Basis cost kept by the project ($)</t>
        </is>
      </c>
      <c r="D281" s="25">
        <f>IF(D$5&lt;c_years,-D277*Market!D$10,0)</f>
        <v/>
      </c>
      <c r="E281" s="25">
        <f>IF(E$5&lt;c_years,-E277*Market!E$10,0)</f>
        <v/>
      </c>
      <c r="F281" s="25">
        <f>IF(F$5&lt;c_years,-F277*Market!F$10,0)</f>
        <v/>
      </c>
      <c r="G281" s="25">
        <f>IF(G$5&lt;c_years,-G277*Market!G$10,0)</f>
        <v/>
      </c>
      <c r="H281" s="25">
        <f>IF(H$5&lt;c_years,-H277*Market!H$10,0)</f>
        <v/>
      </c>
      <c r="I281" s="25">
        <f>IF(I$5&lt;c_years,-I277*Market!I$10,0)</f>
        <v/>
      </c>
      <c r="J281" s="25">
        <f>IF(J$5&lt;c_years,-J277*Market!J$10,0)</f>
        <v/>
      </c>
      <c r="K281" s="25">
        <f>IF(K$5&lt;c_years,-K277*Market!K$10,0)</f>
        <v/>
      </c>
      <c r="L281" s="25">
        <f>IF(L$5&lt;c_years,-L277*Market!L$10,0)</f>
        <v/>
      </c>
      <c r="M281" s="25">
        <f>IF(M$5&lt;c_years,-M277*Market!M$10,0)</f>
        <v/>
      </c>
      <c r="N281" s="25">
        <f>IF(N$5&lt;c_years,-N277*Market!N$10,0)</f>
        <v/>
      </c>
      <c r="O281" s="25">
        <f>IF(O$5&lt;c_years,-O277*Market!O$10,0)</f>
        <v/>
      </c>
      <c r="P281" s="25">
        <f>IF(P$5&lt;c_years,-P277*Market!P$10,0)</f>
        <v/>
      </c>
      <c r="Q281" s="25">
        <f>IF(Q$5&lt;c_years,-Q277*Market!Q$10,0)</f>
        <v/>
      </c>
      <c r="R281" s="25">
        <f>IF(R$5&lt;c_years,-R277*Market!R$10,0)</f>
        <v/>
      </c>
      <c r="S281" s="25">
        <f>IF(S$5&lt;c_years,-S277*Market!S$10,0)</f>
        <v/>
      </c>
      <c r="T281" s="25">
        <f>IF(T$5&lt;c_years,-T277*Market!T$10,0)</f>
        <v/>
      </c>
      <c r="U281" s="25">
        <f>IF(U$5&lt;c_years,-U277*Market!U$10,0)</f>
        <v/>
      </c>
      <c r="V281" s="25">
        <f>IF(V$5&lt;c_years,-V277*Market!V$10,0)</f>
        <v/>
      </c>
      <c r="W281" s="25">
        <f>IF(W$5&lt;c_years,-W277*Market!W$10,0)</f>
        <v/>
      </c>
      <c r="X281" s="25">
        <f>IF(X$5&lt;c_years,-X277*Market!X$10,0)</f>
        <v/>
      </c>
      <c r="Y281" s="25">
        <f>IF(Y$5&lt;c_years,-Y277*Market!Y$10,0)</f>
        <v/>
      </c>
      <c r="Z281" s="25">
        <f>IF(Z$5&lt;c_years,-Z277*Market!Z$10,0)</f>
        <v/>
      </c>
      <c r="AA281" s="25">
        <f>IF(AA$5&lt;c_years,-AA277*Market!AA$10,0)</f>
        <v/>
      </c>
      <c r="AB281" s="25">
        <f>IF(AB$5&lt;c_years,-AB277*Market!AB$10,0)</f>
        <v/>
      </c>
      <c r="AC281" s="25">
        <f>IF(AC$5&lt;c_years,-AC277*Market!AC$10,0)</f>
        <v/>
      </c>
      <c r="AD281" s="25">
        <f>IF(AD$5&lt;c_years,-AD277*Market!AD$10,0)</f>
        <v/>
      </c>
      <c r="AE281" s="25">
        <f>IF(AE$5&lt;c_years,-AE277*Market!AE$10,0)</f>
        <v/>
      </c>
      <c r="AF281" s="25">
        <f>IF(AF$5&lt;c_years,-AF277*Market!AF$10,0)</f>
        <v/>
      </c>
      <c r="AG281" s="25">
        <f>IF(AG$5&lt;c_years,-AG277*Market!AG$10,0)</f>
        <v/>
      </c>
      <c r="AH281" s="25">
        <f>IF(AH$5&lt;c_years,-AH277*Market!AH$10,0)</f>
        <v/>
      </c>
      <c r="AI281" s="25">
        <f>IF(AI$5&lt;c_years,-AI277*Market!AI$10,0)</f>
        <v/>
      </c>
      <c r="AJ281" s="25">
        <f>IF(AJ$5&lt;c_years,-AJ277*Market!AJ$10,0)</f>
        <v/>
      </c>
      <c r="AK281" s="25">
        <f>IF(AK$5&lt;c_years,-AK277*Market!AK$10,0)</f>
        <v/>
      </c>
      <c r="AL281" s="25">
        <f>IF(AL$5&lt;c_years,-AL277*Market!AL$10,0)</f>
        <v/>
      </c>
    </row>
    <row r="282">
      <c r="B282" s="7" t="inlineStr">
        <is>
          <t>Operating cost ($)</t>
        </is>
      </c>
      <c r="D282" s="25">
        <f>(om_kw*mwac*1000+ins_rate*$C$274+am_cost+prop_tax+misc_cost)*Opex!D$7+rent_acre*acres_lease*Opex!D$8</f>
        <v/>
      </c>
      <c r="E282" s="25">
        <f>(om_kw*mwac*1000+ins_rate*$C$274+am_cost+prop_tax+misc_cost)*Opex!E$7+rent_acre*acres_lease*Opex!E$8</f>
        <v/>
      </c>
      <c r="F282" s="25">
        <f>(om_kw*mwac*1000+ins_rate*$C$274+am_cost+prop_tax+misc_cost)*Opex!F$7+rent_acre*acres_lease*Opex!F$8</f>
        <v/>
      </c>
      <c r="G282" s="25">
        <f>(om_kw*mwac*1000+ins_rate*$C$274+am_cost+prop_tax+misc_cost)*Opex!G$7+rent_acre*acres_lease*Opex!G$8</f>
        <v/>
      </c>
      <c r="H282" s="25">
        <f>(om_kw*mwac*1000+ins_rate*$C$274+am_cost+prop_tax+misc_cost)*Opex!H$7+rent_acre*acres_lease*Opex!H$8</f>
        <v/>
      </c>
      <c r="I282" s="25">
        <f>(om_kw*mwac*1000+ins_rate*$C$274+am_cost+prop_tax+misc_cost)*Opex!I$7+rent_acre*acres_lease*Opex!I$8</f>
        <v/>
      </c>
      <c r="J282" s="25">
        <f>(om_kw*mwac*1000+ins_rate*$C$274+am_cost+prop_tax+misc_cost)*Opex!J$7+rent_acre*acres_lease*Opex!J$8</f>
        <v/>
      </c>
      <c r="K282" s="25">
        <f>(om_kw*mwac*1000+ins_rate*$C$274+am_cost+prop_tax+misc_cost)*Opex!K$7+rent_acre*acres_lease*Opex!K$8</f>
        <v/>
      </c>
      <c r="L282" s="25">
        <f>(om_kw*mwac*1000+ins_rate*$C$274+am_cost+prop_tax+misc_cost)*Opex!L$7+rent_acre*acres_lease*Opex!L$8</f>
        <v/>
      </c>
      <c r="M282" s="25">
        <f>(om_kw*mwac*1000+ins_rate*$C$274+am_cost+prop_tax+misc_cost)*Opex!M$7+rent_acre*acres_lease*Opex!M$8</f>
        <v/>
      </c>
      <c r="N282" s="25">
        <f>(om_kw*mwac*1000+ins_rate*$C$274+am_cost+prop_tax+misc_cost)*Opex!N$7+rent_acre*acres_lease*Opex!N$8</f>
        <v/>
      </c>
      <c r="O282" s="25">
        <f>(om_kw*mwac*1000+ins_rate*$C$274+am_cost+prop_tax+misc_cost)*Opex!O$7+rent_acre*acres_lease*Opex!O$8</f>
        <v/>
      </c>
      <c r="P282" s="25">
        <f>(om_kw*mwac*1000+ins_rate*$C$274+am_cost+prop_tax+misc_cost)*Opex!P$7+rent_acre*acres_lease*Opex!P$8</f>
        <v/>
      </c>
      <c r="Q282" s="25">
        <f>(om_kw*mwac*1000+ins_rate*$C$274+am_cost+prop_tax+misc_cost)*Opex!Q$7+rent_acre*acres_lease*Opex!Q$8</f>
        <v/>
      </c>
      <c r="R282" s="25">
        <f>(om_kw*mwac*1000+ins_rate*$C$274+am_cost+prop_tax+misc_cost)*Opex!R$7+rent_acre*acres_lease*Opex!R$8</f>
        <v/>
      </c>
      <c r="S282" s="25">
        <f>(om_kw*mwac*1000+ins_rate*$C$274+am_cost+prop_tax+misc_cost)*Opex!S$7+rent_acre*acres_lease*Opex!S$8</f>
        <v/>
      </c>
      <c r="T282" s="25">
        <f>(om_kw*mwac*1000+ins_rate*$C$274+am_cost+prop_tax+misc_cost)*Opex!T$7+rent_acre*acres_lease*Opex!T$8</f>
        <v/>
      </c>
      <c r="U282" s="25">
        <f>(om_kw*mwac*1000+ins_rate*$C$274+am_cost+prop_tax+misc_cost)*Opex!U$7+rent_acre*acres_lease*Opex!U$8</f>
        <v/>
      </c>
      <c r="V282" s="25">
        <f>(om_kw*mwac*1000+ins_rate*$C$274+am_cost+prop_tax+misc_cost)*Opex!V$7+rent_acre*acres_lease*Opex!V$8</f>
        <v/>
      </c>
      <c r="W282" s="25">
        <f>(om_kw*mwac*1000+ins_rate*$C$274+am_cost+prop_tax+misc_cost)*Opex!W$7+rent_acre*acres_lease*Opex!W$8</f>
        <v/>
      </c>
      <c r="X282" s="25">
        <f>(om_kw*mwac*1000+ins_rate*$C$274+am_cost+prop_tax+misc_cost)*Opex!X$7+rent_acre*acres_lease*Opex!X$8</f>
        <v/>
      </c>
      <c r="Y282" s="25">
        <f>(om_kw*mwac*1000+ins_rate*$C$274+am_cost+prop_tax+misc_cost)*Opex!Y$7+rent_acre*acres_lease*Opex!Y$8</f>
        <v/>
      </c>
      <c r="Z282" s="25">
        <f>(om_kw*mwac*1000+ins_rate*$C$274+am_cost+prop_tax+misc_cost)*Opex!Z$7+rent_acre*acres_lease*Opex!Z$8</f>
        <v/>
      </c>
      <c r="AA282" s="25">
        <f>(om_kw*mwac*1000+ins_rate*$C$274+am_cost+prop_tax+misc_cost)*Opex!AA$7+rent_acre*acres_lease*Opex!AA$8</f>
        <v/>
      </c>
      <c r="AB282" s="25">
        <f>(om_kw*mwac*1000+ins_rate*$C$274+am_cost+prop_tax+misc_cost)*Opex!AB$7+rent_acre*acres_lease*Opex!AB$8</f>
        <v/>
      </c>
      <c r="AC282" s="25">
        <f>(om_kw*mwac*1000+ins_rate*$C$274+am_cost+prop_tax+misc_cost)*Opex!AC$7+rent_acre*acres_lease*Opex!AC$8</f>
        <v/>
      </c>
      <c r="AD282" s="25">
        <f>(om_kw*mwac*1000+ins_rate*$C$274+am_cost+prop_tax+misc_cost)*Opex!AD$7+rent_acre*acres_lease*Opex!AD$8</f>
        <v/>
      </c>
      <c r="AE282" s="25">
        <f>(om_kw*mwac*1000+ins_rate*$C$274+am_cost+prop_tax+misc_cost)*Opex!AE$7+rent_acre*acres_lease*Opex!AE$8</f>
        <v/>
      </c>
      <c r="AF282" s="25">
        <f>(om_kw*mwac*1000+ins_rate*$C$274+am_cost+prop_tax+misc_cost)*Opex!AF$7+rent_acre*acres_lease*Opex!AF$8</f>
        <v/>
      </c>
      <c r="AG282" s="25">
        <f>(om_kw*mwac*1000+ins_rate*$C$274+am_cost+prop_tax+misc_cost)*Opex!AG$7+rent_acre*acres_lease*Opex!AG$8</f>
        <v/>
      </c>
      <c r="AH282" s="25">
        <f>(om_kw*mwac*1000+ins_rate*$C$274+am_cost+prop_tax+misc_cost)*Opex!AH$7+rent_acre*acres_lease*Opex!AH$8</f>
        <v/>
      </c>
      <c r="AI282" s="25">
        <f>(om_kw*mwac*1000+ins_rate*$C$274+am_cost+prop_tax+misc_cost)*Opex!AI$7+rent_acre*acres_lease*Opex!AI$8</f>
        <v/>
      </c>
      <c r="AJ282" s="25">
        <f>(om_kw*mwac*1000+ins_rate*$C$274+am_cost+prop_tax+misc_cost)*Opex!AJ$7+rent_acre*acres_lease*Opex!AJ$8</f>
        <v/>
      </c>
      <c r="AK282" s="25">
        <f>(om_kw*mwac*1000+ins_rate*$C$274+am_cost+prop_tax+misc_cost)*Opex!AK$7+rent_acre*acres_lease*Opex!AK$8</f>
        <v/>
      </c>
      <c r="AL282" s="25">
        <f>(om_kw*mwac*1000+ins_rate*$C$274+am_cost+prop_tax+misc_cost)*Opex!AL$7+rent_acre*acres_lease*Opex!AL$8</f>
        <v/>
      </c>
    </row>
    <row r="283">
      <c r="B283" s="7" t="inlineStr">
        <is>
          <t>Credit cash ($)</t>
        </is>
      </c>
      <c r="D283" s="25">
        <f>IF("None"="PTC",IF(D$5&lt;ptc_years,D277*Credits!D$8*(1+sw_bonus)*transfer_ptc,0),0)+IF(D$5=0,$C$276,0)</f>
        <v/>
      </c>
      <c r="E283" s="25">
        <f>IF("None"="PTC",IF(E$5&lt;ptc_years,E277*Credits!E$8*(1+sw_bonus)*transfer_ptc,0),0)+IF(E$5=0,$C$276,0)</f>
        <v/>
      </c>
      <c r="F283" s="25">
        <f>IF("None"="PTC",IF(F$5&lt;ptc_years,F277*Credits!F$8*(1+sw_bonus)*transfer_ptc,0),0)+IF(F$5=0,$C$276,0)</f>
        <v/>
      </c>
      <c r="G283" s="25">
        <f>IF("None"="PTC",IF(G$5&lt;ptc_years,G277*Credits!G$8*(1+sw_bonus)*transfer_ptc,0),0)+IF(G$5=0,$C$276,0)</f>
        <v/>
      </c>
      <c r="H283" s="25">
        <f>IF("None"="PTC",IF(H$5&lt;ptc_years,H277*Credits!H$8*(1+sw_bonus)*transfer_ptc,0),0)+IF(H$5=0,$C$276,0)</f>
        <v/>
      </c>
      <c r="I283" s="25">
        <f>IF("None"="PTC",IF(I$5&lt;ptc_years,I277*Credits!I$8*(1+sw_bonus)*transfer_ptc,0),0)+IF(I$5=0,$C$276,0)</f>
        <v/>
      </c>
      <c r="J283" s="25">
        <f>IF("None"="PTC",IF(J$5&lt;ptc_years,J277*Credits!J$8*(1+sw_bonus)*transfer_ptc,0),0)+IF(J$5=0,$C$276,0)</f>
        <v/>
      </c>
      <c r="K283" s="25">
        <f>IF("None"="PTC",IF(K$5&lt;ptc_years,K277*Credits!K$8*(1+sw_bonus)*transfer_ptc,0),0)+IF(K$5=0,$C$276,0)</f>
        <v/>
      </c>
      <c r="L283" s="25">
        <f>IF("None"="PTC",IF(L$5&lt;ptc_years,L277*Credits!L$8*(1+sw_bonus)*transfer_ptc,0),0)+IF(L$5=0,$C$276,0)</f>
        <v/>
      </c>
      <c r="M283" s="25">
        <f>IF("None"="PTC",IF(M$5&lt;ptc_years,M277*Credits!M$8*(1+sw_bonus)*transfer_ptc,0),0)+IF(M$5=0,$C$276,0)</f>
        <v/>
      </c>
      <c r="N283" s="25">
        <f>IF("None"="PTC",IF(N$5&lt;ptc_years,N277*Credits!N$8*(1+sw_bonus)*transfer_ptc,0),0)+IF(N$5=0,$C$276,0)</f>
        <v/>
      </c>
      <c r="O283" s="25">
        <f>IF("None"="PTC",IF(O$5&lt;ptc_years,O277*Credits!O$8*(1+sw_bonus)*transfer_ptc,0),0)+IF(O$5=0,$C$276,0)</f>
        <v/>
      </c>
      <c r="P283" s="25">
        <f>IF("None"="PTC",IF(P$5&lt;ptc_years,P277*Credits!P$8*(1+sw_bonus)*transfer_ptc,0),0)+IF(P$5=0,$C$276,0)</f>
        <v/>
      </c>
      <c r="Q283" s="25">
        <f>IF("None"="PTC",IF(Q$5&lt;ptc_years,Q277*Credits!Q$8*(1+sw_bonus)*transfer_ptc,0),0)+IF(Q$5=0,$C$276,0)</f>
        <v/>
      </c>
      <c r="R283" s="25">
        <f>IF("None"="PTC",IF(R$5&lt;ptc_years,R277*Credits!R$8*(1+sw_bonus)*transfer_ptc,0),0)+IF(R$5=0,$C$276,0)</f>
        <v/>
      </c>
      <c r="S283" s="25">
        <f>IF("None"="PTC",IF(S$5&lt;ptc_years,S277*Credits!S$8*(1+sw_bonus)*transfer_ptc,0),0)+IF(S$5=0,$C$276,0)</f>
        <v/>
      </c>
      <c r="T283" s="25">
        <f>IF("None"="PTC",IF(T$5&lt;ptc_years,T277*Credits!T$8*(1+sw_bonus)*transfer_ptc,0),0)+IF(T$5=0,$C$276,0)</f>
        <v/>
      </c>
      <c r="U283" s="25">
        <f>IF("None"="PTC",IF(U$5&lt;ptc_years,U277*Credits!U$8*(1+sw_bonus)*transfer_ptc,0),0)+IF(U$5=0,$C$276,0)</f>
        <v/>
      </c>
      <c r="V283" s="25">
        <f>IF("None"="PTC",IF(V$5&lt;ptc_years,V277*Credits!V$8*(1+sw_bonus)*transfer_ptc,0),0)+IF(V$5=0,$C$276,0)</f>
        <v/>
      </c>
      <c r="W283" s="25">
        <f>IF("None"="PTC",IF(W$5&lt;ptc_years,W277*Credits!W$8*(1+sw_bonus)*transfer_ptc,0),0)+IF(W$5=0,$C$276,0)</f>
        <v/>
      </c>
      <c r="X283" s="25">
        <f>IF("None"="PTC",IF(X$5&lt;ptc_years,X277*Credits!X$8*(1+sw_bonus)*transfer_ptc,0),0)+IF(X$5=0,$C$276,0)</f>
        <v/>
      </c>
      <c r="Y283" s="25">
        <f>IF("None"="PTC",IF(Y$5&lt;ptc_years,Y277*Credits!Y$8*(1+sw_bonus)*transfer_ptc,0),0)+IF(Y$5=0,$C$276,0)</f>
        <v/>
      </c>
      <c r="Z283" s="25">
        <f>IF("None"="PTC",IF(Z$5&lt;ptc_years,Z277*Credits!Z$8*(1+sw_bonus)*transfer_ptc,0),0)+IF(Z$5=0,$C$276,0)</f>
        <v/>
      </c>
      <c r="AA283" s="25">
        <f>IF("None"="PTC",IF(AA$5&lt;ptc_years,AA277*Credits!AA$8*(1+sw_bonus)*transfer_ptc,0),0)+IF(AA$5=0,$C$276,0)</f>
        <v/>
      </c>
      <c r="AB283" s="25">
        <f>IF("None"="PTC",IF(AB$5&lt;ptc_years,AB277*Credits!AB$8*(1+sw_bonus)*transfer_ptc,0),0)+IF(AB$5=0,$C$276,0)</f>
        <v/>
      </c>
      <c r="AC283" s="25">
        <f>IF("None"="PTC",IF(AC$5&lt;ptc_years,AC277*Credits!AC$8*(1+sw_bonus)*transfer_ptc,0),0)+IF(AC$5=0,$C$276,0)</f>
        <v/>
      </c>
      <c r="AD283" s="25">
        <f>IF("None"="PTC",IF(AD$5&lt;ptc_years,AD277*Credits!AD$8*(1+sw_bonus)*transfer_ptc,0),0)+IF(AD$5=0,$C$276,0)</f>
        <v/>
      </c>
      <c r="AE283" s="25">
        <f>IF("None"="PTC",IF(AE$5&lt;ptc_years,AE277*Credits!AE$8*(1+sw_bonus)*transfer_ptc,0),0)+IF(AE$5=0,$C$276,0)</f>
        <v/>
      </c>
      <c r="AF283" s="25">
        <f>IF("None"="PTC",IF(AF$5&lt;ptc_years,AF277*Credits!AF$8*(1+sw_bonus)*transfer_ptc,0),0)+IF(AF$5=0,$C$276,0)</f>
        <v/>
      </c>
      <c r="AG283" s="25">
        <f>IF("None"="PTC",IF(AG$5&lt;ptc_years,AG277*Credits!AG$8*(1+sw_bonus)*transfer_ptc,0),0)+IF(AG$5=0,$C$276,0)</f>
        <v/>
      </c>
      <c r="AH283" s="25">
        <f>IF("None"="PTC",IF(AH$5&lt;ptc_years,AH277*Credits!AH$8*(1+sw_bonus)*transfer_ptc,0),0)+IF(AH$5=0,$C$276,0)</f>
        <v/>
      </c>
      <c r="AI283" s="25">
        <f>IF("None"="PTC",IF(AI$5&lt;ptc_years,AI277*Credits!AI$8*(1+sw_bonus)*transfer_ptc,0),0)+IF(AI$5=0,$C$276,0)</f>
        <v/>
      </c>
      <c r="AJ283" s="25">
        <f>IF("None"="PTC",IF(AJ$5&lt;ptc_years,AJ277*Credits!AJ$8*(1+sw_bonus)*transfer_ptc,0),0)+IF(AJ$5=0,$C$276,0)</f>
        <v/>
      </c>
      <c r="AK283" s="25">
        <f>IF("None"="PTC",IF(AK$5&lt;ptc_years,AK277*Credits!AK$8*(1+sw_bonus)*transfer_ptc,0),0)+IF(AK$5=0,$C$276,0)</f>
        <v/>
      </c>
      <c r="AL283" s="25">
        <f>IF("None"="PTC",IF(AL$5&lt;ptc_years,AL277*Credits!AL$8*(1+sw_bonus)*transfer_ptc,0),0)+IF(AL$5=0,$C$276,0)</f>
        <v/>
      </c>
    </row>
    <row r="284">
      <c r="B284" s="14" t="inlineStr">
        <is>
          <t>EBITDA ($)</t>
        </is>
      </c>
      <c r="D284" s="26">
        <f>D279+D280-D281-D282</f>
        <v/>
      </c>
      <c r="E284" s="26">
        <f>E279+E280-E281-E282</f>
        <v/>
      </c>
      <c r="F284" s="26">
        <f>F279+F280-F281-F282</f>
        <v/>
      </c>
      <c r="G284" s="26">
        <f>G279+G280-G281-G282</f>
        <v/>
      </c>
      <c r="H284" s="26">
        <f>H279+H280-H281-H282</f>
        <v/>
      </c>
      <c r="I284" s="26">
        <f>I279+I280-I281-I282</f>
        <v/>
      </c>
      <c r="J284" s="26">
        <f>J279+J280-J281-J282</f>
        <v/>
      </c>
      <c r="K284" s="26">
        <f>K279+K280-K281-K282</f>
        <v/>
      </c>
      <c r="L284" s="26">
        <f>L279+L280-L281-L282</f>
        <v/>
      </c>
      <c r="M284" s="26">
        <f>M279+M280-M281-M282</f>
        <v/>
      </c>
      <c r="N284" s="26">
        <f>N279+N280-N281-N282</f>
        <v/>
      </c>
      <c r="O284" s="26">
        <f>O279+O280-O281-O282</f>
        <v/>
      </c>
      <c r="P284" s="26">
        <f>P279+P280-P281-P282</f>
        <v/>
      </c>
      <c r="Q284" s="26">
        <f>Q279+Q280-Q281-Q282</f>
        <v/>
      </c>
      <c r="R284" s="26">
        <f>R279+R280-R281-R282</f>
        <v/>
      </c>
      <c r="S284" s="26">
        <f>S279+S280-S281-S282</f>
        <v/>
      </c>
      <c r="T284" s="26">
        <f>T279+T280-T281-T282</f>
        <v/>
      </c>
      <c r="U284" s="26">
        <f>U279+U280-U281-U282</f>
        <v/>
      </c>
      <c r="V284" s="26">
        <f>V279+V280-V281-V282</f>
        <v/>
      </c>
      <c r="W284" s="26">
        <f>W279+W280-W281-W282</f>
        <v/>
      </c>
      <c r="X284" s="26">
        <f>X279+X280-X281-X282</f>
        <v/>
      </c>
      <c r="Y284" s="26">
        <f>Y279+Y280-Y281-Y282</f>
        <v/>
      </c>
      <c r="Z284" s="26">
        <f>Z279+Z280-Z281-Z282</f>
        <v/>
      </c>
      <c r="AA284" s="26">
        <f>AA279+AA280-AA281-AA282</f>
        <v/>
      </c>
      <c r="AB284" s="26">
        <f>AB279+AB280-AB281-AB282</f>
        <v/>
      </c>
      <c r="AC284" s="26">
        <f>AC279+AC280-AC281-AC282</f>
        <v/>
      </c>
      <c r="AD284" s="26">
        <f>AD279+AD280-AD281-AD282</f>
        <v/>
      </c>
      <c r="AE284" s="26">
        <f>AE279+AE280-AE281-AE282</f>
        <v/>
      </c>
      <c r="AF284" s="26">
        <f>AF279+AF280-AF281-AF282</f>
        <v/>
      </c>
      <c r="AG284" s="26">
        <f>AG279+AG280-AG281-AG282</f>
        <v/>
      </c>
      <c r="AH284" s="26">
        <f>AH279+AH280-AH281-AH282</f>
        <v/>
      </c>
      <c r="AI284" s="26">
        <f>AI279+AI280-AI281-AI282</f>
        <v/>
      </c>
      <c r="AJ284" s="26">
        <f>AJ279+AJ280-AJ281-AJ282</f>
        <v/>
      </c>
      <c r="AK284" s="26">
        <f>AK279+AK280-AK281-AK282</f>
        <v/>
      </c>
      <c r="AL284" s="26">
        <f>AL279+AL280-AL281-AL282</f>
        <v/>
      </c>
    </row>
    <row r="285">
      <c r="B285" s="7" t="inlineStr">
        <is>
          <t>Discount factor to 1 January 2027, contracted rate</t>
        </is>
      </c>
      <c r="D285" s="22">
        <f>1/(1+x_rc)^(D$5+2)</f>
        <v/>
      </c>
      <c r="E285" s="22">
        <f>1/(1+x_rc)^(E$5+2)</f>
        <v/>
      </c>
      <c r="F285" s="22">
        <f>1/(1+x_rc)^(F$5+2)</f>
        <v/>
      </c>
      <c r="G285" s="22">
        <f>1/(1+x_rc)^(G$5+2)</f>
        <v/>
      </c>
      <c r="H285" s="22">
        <f>1/(1+x_rc)^(H$5+2)</f>
        <v/>
      </c>
      <c r="I285" s="22">
        <f>1/(1+x_rc)^(I$5+2)</f>
        <v/>
      </c>
      <c r="J285" s="22">
        <f>1/(1+x_rc)^(J$5+2)</f>
        <v/>
      </c>
      <c r="K285" s="22">
        <f>1/(1+x_rc)^(K$5+2)</f>
        <v/>
      </c>
      <c r="L285" s="22">
        <f>1/(1+x_rc)^(L$5+2)</f>
        <v/>
      </c>
      <c r="M285" s="22">
        <f>1/(1+x_rc)^(M$5+2)</f>
        <v/>
      </c>
      <c r="N285" s="22">
        <f>1/(1+x_rc)^(N$5+2)</f>
        <v/>
      </c>
      <c r="O285" s="22">
        <f>1/(1+x_rc)^(O$5+2)</f>
        <v/>
      </c>
      <c r="P285" s="22">
        <f>1/(1+x_rc)^(P$5+2)</f>
        <v/>
      </c>
      <c r="Q285" s="22">
        <f>1/(1+x_rc)^(Q$5+2)</f>
        <v/>
      </c>
      <c r="R285" s="22">
        <f>1/(1+x_rc)^(R$5+2)</f>
        <v/>
      </c>
      <c r="S285" s="22">
        <f>1/(1+x_rc)^(S$5+2)</f>
        <v/>
      </c>
      <c r="T285" s="22">
        <f>1/(1+x_rc)^(T$5+2)</f>
        <v/>
      </c>
      <c r="U285" s="22">
        <f>1/(1+x_rc)^(U$5+2)</f>
        <v/>
      </c>
      <c r="V285" s="22">
        <f>1/(1+x_rc)^(V$5+2)</f>
        <v/>
      </c>
      <c r="W285" s="22">
        <f>1/(1+x_rc)^(W$5+2)</f>
        <v/>
      </c>
      <c r="X285" s="22">
        <f>1/(1+x_rc)^(X$5+2)</f>
        <v/>
      </c>
      <c r="Y285" s="22">
        <f>1/(1+x_rc)^(Y$5+2)</f>
        <v/>
      </c>
      <c r="Z285" s="22">
        <f>1/(1+x_rc)^(Z$5+2)</f>
        <v/>
      </c>
      <c r="AA285" s="22">
        <f>1/(1+x_rc)^(AA$5+2)</f>
        <v/>
      </c>
      <c r="AB285" s="22">
        <f>1/(1+x_rc)^(AB$5+2)</f>
        <v/>
      </c>
      <c r="AC285" s="22">
        <f>1/(1+x_rc)^(AC$5+2)</f>
        <v/>
      </c>
      <c r="AD285" s="22">
        <f>1/(1+x_rc)^(AD$5+2)</f>
        <v/>
      </c>
      <c r="AE285" s="22">
        <f>1/(1+x_rc)^(AE$5+2)</f>
        <v/>
      </c>
      <c r="AF285" s="22">
        <f>1/(1+x_rc)^(AF$5+2)</f>
        <v/>
      </c>
      <c r="AG285" s="22">
        <f>1/(1+x_rc)^(AG$5+2)</f>
        <v/>
      </c>
      <c r="AH285" s="22">
        <f>1/(1+x_rc)^(AH$5+2)</f>
        <v/>
      </c>
      <c r="AI285" s="22">
        <f>1/(1+x_rc)^(AI$5+2)</f>
        <v/>
      </c>
      <c r="AJ285" s="22">
        <f>1/(1+x_rc)^(AJ$5+2)</f>
        <v/>
      </c>
      <c r="AK285" s="22">
        <f>1/(1+x_rc)^(AK$5+2)</f>
        <v/>
      </c>
      <c r="AL285" s="22">
        <f>1/(1+x_rc)^(AL$5+2)</f>
        <v/>
      </c>
    </row>
    <row r="286">
      <c r="B286" s="7" t="inlineStr">
        <is>
          <t>Discount factor to 1 January 2027, merchant rate</t>
        </is>
      </c>
      <c r="D286" s="22">
        <f>1/(1+x_rm)^(D$5+2)</f>
        <v/>
      </c>
      <c r="E286" s="22">
        <f>1/(1+x_rm)^(E$5+2)</f>
        <v/>
      </c>
      <c r="F286" s="22">
        <f>1/(1+x_rm)^(F$5+2)</f>
        <v/>
      </c>
      <c r="G286" s="22">
        <f>1/(1+x_rm)^(G$5+2)</f>
        <v/>
      </c>
      <c r="H286" s="22">
        <f>1/(1+x_rm)^(H$5+2)</f>
        <v/>
      </c>
      <c r="I286" s="22">
        <f>1/(1+x_rm)^(I$5+2)</f>
        <v/>
      </c>
      <c r="J286" s="22">
        <f>1/(1+x_rm)^(J$5+2)</f>
        <v/>
      </c>
      <c r="K286" s="22">
        <f>1/(1+x_rm)^(K$5+2)</f>
        <v/>
      </c>
      <c r="L286" s="22">
        <f>1/(1+x_rm)^(L$5+2)</f>
        <v/>
      </c>
      <c r="M286" s="22">
        <f>1/(1+x_rm)^(M$5+2)</f>
        <v/>
      </c>
      <c r="N286" s="22">
        <f>1/(1+x_rm)^(N$5+2)</f>
        <v/>
      </c>
      <c r="O286" s="22">
        <f>1/(1+x_rm)^(O$5+2)</f>
        <v/>
      </c>
      <c r="P286" s="22">
        <f>1/(1+x_rm)^(P$5+2)</f>
        <v/>
      </c>
      <c r="Q286" s="22">
        <f>1/(1+x_rm)^(Q$5+2)</f>
        <v/>
      </c>
      <c r="R286" s="22">
        <f>1/(1+x_rm)^(R$5+2)</f>
        <v/>
      </c>
      <c r="S286" s="22">
        <f>1/(1+x_rm)^(S$5+2)</f>
        <v/>
      </c>
      <c r="T286" s="22">
        <f>1/(1+x_rm)^(T$5+2)</f>
        <v/>
      </c>
      <c r="U286" s="22">
        <f>1/(1+x_rm)^(U$5+2)</f>
        <v/>
      </c>
      <c r="V286" s="22">
        <f>1/(1+x_rm)^(V$5+2)</f>
        <v/>
      </c>
      <c r="W286" s="22">
        <f>1/(1+x_rm)^(W$5+2)</f>
        <v/>
      </c>
      <c r="X286" s="22">
        <f>1/(1+x_rm)^(X$5+2)</f>
        <v/>
      </c>
      <c r="Y286" s="22">
        <f>1/(1+x_rm)^(Y$5+2)</f>
        <v/>
      </c>
      <c r="Z286" s="22">
        <f>1/(1+x_rm)^(Z$5+2)</f>
        <v/>
      </c>
      <c r="AA286" s="22">
        <f>1/(1+x_rm)^(AA$5+2)</f>
        <v/>
      </c>
      <c r="AB286" s="22">
        <f>1/(1+x_rm)^(AB$5+2)</f>
        <v/>
      </c>
      <c r="AC286" s="22">
        <f>1/(1+x_rm)^(AC$5+2)</f>
        <v/>
      </c>
      <c r="AD286" s="22">
        <f>1/(1+x_rm)^(AD$5+2)</f>
        <v/>
      </c>
      <c r="AE286" s="22">
        <f>1/(1+x_rm)^(AE$5+2)</f>
        <v/>
      </c>
      <c r="AF286" s="22">
        <f>1/(1+x_rm)^(AF$5+2)</f>
        <v/>
      </c>
      <c r="AG286" s="22">
        <f>1/(1+x_rm)^(AG$5+2)</f>
        <v/>
      </c>
      <c r="AH286" s="22">
        <f>1/(1+x_rm)^(AH$5+2)</f>
        <v/>
      </c>
      <c r="AI286" s="22">
        <f>1/(1+x_rm)^(AI$5+2)</f>
        <v/>
      </c>
      <c r="AJ286" s="22">
        <f>1/(1+x_rm)^(AJ$5+2)</f>
        <v/>
      </c>
      <c r="AK286" s="22">
        <f>1/(1+x_rm)^(AK$5+2)</f>
        <v/>
      </c>
      <c r="AL286" s="22">
        <f>1/(1+x_rm)^(AL$5+2)</f>
        <v/>
      </c>
    </row>
    <row r="287">
      <c r="B287" s="7" t="inlineStr">
        <is>
          <t>Value on 1 January 2027 of the flows from 2028 (split rates) ($)</t>
        </is>
      </c>
      <c r="C287" s="25">
        <f>SUMPRODUCT($D$279:$AL$279,$D$285:$AL$285)+SUMPRODUCT($D$283:$AL$283,$D$285:$AL$285)-SUMPRODUCT($D$281:$AL$281,$D$285:$AL$285)-SUMPRODUCT($D$282:$AL$282,$D$285:$AL$285)+SUMPRODUCT($D$280:$AL$280,$D$286:$AL$286)-decom_end/(1+x_rc)^(life_years+1)</f>
        <v/>
      </c>
    </row>
    <row r="288">
      <c r="B288" s="14" t="inlineStr">
        <is>
          <t>Development value on 1 January 2027: value less the capital cost ($)</t>
        </is>
      </c>
      <c r="C288" s="26">
        <f>C287-C274/(1+x_rc)</f>
        <v/>
      </c>
    </row>
    <row r="289">
      <c r="B289" s="7" t="inlineStr">
        <is>
          <t>Highest premium Ashgrove can pay at NTP ($)</t>
        </is>
      </c>
      <c r="C289" s="25">
        <f>C288-reimb+reimb/(1+x_rc)</f>
        <v/>
      </c>
    </row>
    <row r="292">
      <c r="B292" s="6" t="inlineStr">
        <is>
          <t>Energy community bonus, case U</t>
        </is>
      </c>
    </row>
    <row r="293">
      <c r="B293" s="7" t="inlineStr">
        <is>
          <t>Capital cost ($)</t>
        </is>
      </c>
      <c r="C293" s="25">
        <f>((x_module+x_tracker+x_bos)*mwdc*1000000+x_inverter*mwac*1000000+x_sub)*(1+contingency)+x_ic+owner</f>
        <v/>
      </c>
    </row>
    <row r="294">
      <c r="B294" s="7" t="inlineStr">
        <is>
          <t>ITC eligible basis ($)</t>
        </is>
      </c>
      <c r="C294" s="25">
        <f>((x_module+x_tracker+x_bos)*mwdc*1000000+x_inverter*mwac*1000000+x_sub)*(1+contingency)-gentie_share*x_sub</f>
        <v/>
      </c>
    </row>
    <row r="295">
      <c r="B295" s="7" t="inlineStr">
        <is>
          <t>ITC cash at the end of 2028, if elected ($)</t>
        </is>
      </c>
      <c r="C295" s="25">
        <f>IF(sw_credit="ITC",C294*(itc_rate+ec_bonus)*transfer_itc,0)</f>
        <v/>
      </c>
    </row>
    <row r="296">
      <c r="B296" s="7" t="inlineStr">
        <is>
          <t>Energy (MWh)</t>
        </is>
      </c>
      <c r="D296" s="23">
        <f>mwac*hours*cf_p50*Energy!D$7*x_scale</f>
        <v/>
      </c>
      <c r="E296" s="23">
        <f>mwac*hours*cf_p50*Energy!E$7*x_scale</f>
        <v/>
      </c>
      <c r="F296" s="23">
        <f>mwac*hours*cf_p50*Energy!F$7*x_scale</f>
        <v/>
      </c>
      <c r="G296" s="23">
        <f>mwac*hours*cf_p50*Energy!G$7*x_scale</f>
        <v/>
      </c>
      <c r="H296" s="23">
        <f>mwac*hours*cf_p50*Energy!H$7*x_scale</f>
        <v/>
      </c>
      <c r="I296" s="23">
        <f>mwac*hours*cf_p50*Energy!I$7*x_scale</f>
        <v/>
      </c>
      <c r="J296" s="23">
        <f>mwac*hours*cf_p50*Energy!J$7*x_scale</f>
        <v/>
      </c>
      <c r="K296" s="23">
        <f>mwac*hours*cf_p50*Energy!K$7*x_scale</f>
        <v/>
      </c>
      <c r="L296" s="23">
        <f>mwac*hours*cf_p50*Energy!L$7*x_scale</f>
        <v/>
      </c>
      <c r="M296" s="23">
        <f>mwac*hours*cf_p50*Energy!M$7*x_scale</f>
        <v/>
      </c>
      <c r="N296" s="23">
        <f>mwac*hours*cf_p50*Energy!N$7*x_scale</f>
        <v/>
      </c>
      <c r="O296" s="23">
        <f>mwac*hours*cf_p50*Energy!O$7*x_scale</f>
        <v/>
      </c>
      <c r="P296" s="23">
        <f>mwac*hours*cf_p50*Energy!P$7*x_scale</f>
        <v/>
      </c>
      <c r="Q296" s="23">
        <f>mwac*hours*cf_p50*Energy!Q$7*x_scale</f>
        <v/>
      </c>
      <c r="R296" s="23">
        <f>mwac*hours*cf_p50*Energy!R$7*x_scale</f>
        <v/>
      </c>
      <c r="S296" s="23">
        <f>mwac*hours*cf_p50*Energy!S$7*x_scale</f>
        <v/>
      </c>
      <c r="T296" s="23">
        <f>mwac*hours*cf_p50*Energy!T$7*x_scale</f>
        <v/>
      </c>
      <c r="U296" s="23">
        <f>mwac*hours*cf_p50*Energy!U$7*x_scale</f>
        <v/>
      </c>
      <c r="V296" s="23">
        <f>mwac*hours*cf_p50*Energy!V$7*x_scale</f>
        <v/>
      </c>
      <c r="W296" s="23">
        <f>mwac*hours*cf_p50*Energy!W$7*x_scale</f>
        <v/>
      </c>
      <c r="X296" s="23">
        <f>mwac*hours*cf_p50*Energy!X$7*x_scale</f>
        <v/>
      </c>
      <c r="Y296" s="23">
        <f>mwac*hours*cf_p50*Energy!Y$7*x_scale</f>
        <v/>
      </c>
      <c r="Z296" s="23">
        <f>mwac*hours*cf_p50*Energy!Z$7*x_scale</f>
        <v/>
      </c>
      <c r="AA296" s="23">
        <f>mwac*hours*cf_p50*Energy!AA$7*x_scale</f>
        <v/>
      </c>
      <c r="AB296" s="23">
        <f>mwac*hours*cf_p50*Energy!AB$7*x_scale</f>
        <v/>
      </c>
      <c r="AC296" s="23">
        <f>mwac*hours*cf_p50*Energy!AC$7*x_scale</f>
        <v/>
      </c>
      <c r="AD296" s="23">
        <f>mwac*hours*cf_p50*Energy!AD$7*x_scale</f>
        <v/>
      </c>
      <c r="AE296" s="23">
        <f>mwac*hours*cf_p50*Energy!AE$7*x_scale</f>
        <v/>
      </c>
      <c r="AF296" s="23">
        <f>mwac*hours*cf_p50*Energy!AF$7*x_scale</f>
        <v/>
      </c>
      <c r="AG296" s="23">
        <f>mwac*hours*cf_p50*Energy!AG$7*x_scale</f>
        <v/>
      </c>
      <c r="AH296" s="23">
        <f>mwac*hours*cf_p50*Energy!AH$7*x_scale</f>
        <v/>
      </c>
      <c r="AI296" s="23">
        <f>mwac*hours*cf_p50*Energy!AI$7*x_scale</f>
        <v/>
      </c>
      <c r="AJ296" s="23">
        <f>mwac*hours*cf_p50*Energy!AJ$7*x_scale</f>
        <v/>
      </c>
      <c r="AK296" s="23">
        <f>mwac*hours*cf_p50*Energy!AK$7*x_scale</f>
        <v/>
      </c>
      <c r="AL296" s="23">
        <f>mwac*hours*cf_p50*Energy!AL$7*x_scale</f>
        <v/>
      </c>
    </row>
    <row r="297">
      <c r="B297" s="7" t="inlineStr">
        <is>
          <t>Node price, hub switch applied ($/MWh)</t>
        </is>
      </c>
      <c r="D297" s="32">
        <f>Market!D$7*(1+sw_hub)*Market!D$8+Market!D$10</f>
        <v/>
      </c>
      <c r="E297" s="32">
        <f>Market!E$7*(1+sw_hub)*Market!E$8+Market!E$10</f>
        <v/>
      </c>
      <c r="F297" s="32">
        <f>Market!F$7*(1+sw_hub)*Market!F$8+Market!F$10</f>
        <v/>
      </c>
      <c r="G297" s="32">
        <f>Market!G$7*(1+sw_hub)*Market!G$8+Market!G$10</f>
        <v/>
      </c>
      <c r="H297" s="32">
        <f>Market!H$7*(1+sw_hub)*Market!H$8+Market!H$10</f>
        <v/>
      </c>
      <c r="I297" s="32">
        <f>Market!I$7*(1+sw_hub)*Market!I$8+Market!I$10</f>
        <v/>
      </c>
      <c r="J297" s="32">
        <f>Market!J$7*(1+sw_hub)*Market!J$8+Market!J$10</f>
        <v/>
      </c>
      <c r="K297" s="32">
        <f>Market!K$7*(1+sw_hub)*Market!K$8+Market!K$10</f>
        <v/>
      </c>
      <c r="L297" s="32">
        <f>Market!L$7*(1+sw_hub)*Market!L$8+Market!L$10</f>
        <v/>
      </c>
      <c r="M297" s="32">
        <f>Market!M$7*(1+sw_hub)*Market!M$8+Market!M$10</f>
        <v/>
      </c>
      <c r="N297" s="32">
        <f>Market!N$7*(1+sw_hub)*Market!N$8+Market!N$10</f>
        <v/>
      </c>
      <c r="O297" s="32">
        <f>Market!O$7*(1+sw_hub)*Market!O$8+Market!O$10</f>
        <v/>
      </c>
      <c r="P297" s="32">
        <f>Market!P$7*(1+sw_hub)*Market!P$8+Market!P$10</f>
        <v/>
      </c>
      <c r="Q297" s="32">
        <f>Market!Q$7*(1+sw_hub)*Market!Q$8+Market!Q$10</f>
        <v/>
      </c>
      <c r="R297" s="32">
        <f>Market!R$7*(1+sw_hub)*Market!R$8+Market!R$10</f>
        <v/>
      </c>
      <c r="S297" s="32">
        <f>Market!S$7*(1+sw_hub)*Market!S$8+Market!S$10</f>
        <v/>
      </c>
      <c r="T297" s="32">
        <f>Market!T$7*(1+sw_hub)*Market!T$8+Market!T$10</f>
        <v/>
      </c>
      <c r="U297" s="32">
        <f>Market!U$7*(1+sw_hub)*Market!U$8+Market!U$10</f>
        <v/>
      </c>
      <c r="V297" s="32">
        <f>Market!V$7*(1+sw_hub)*Market!V$8+Market!V$10</f>
        <v/>
      </c>
      <c r="W297" s="32">
        <f>Market!W$7*(1+sw_hub)*Market!W$8+Market!W$10</f>
        <v/>
      </c>
      <c r="X297" s="32">
        <f>Market!X$7*(1+sw_hub)*Market!X$8+Market!X$10</f>
        <v/>
      </c>
      <c r="Y297" s="32">
        <f>Market!Y$7*(1+sw_hub)*Market!Y$8+Market!Y$10</f>
        <v/>
      </c>
      <c r="Z297" s="32">
        <f>Market!Z$7*(1+sw_hub)*Market!Z$8+Market!Z$10</f>
        <v/>
      </c>
      <c r="AA297" s="32">
        <f>Market!AA$7*(1+sw_hub)*Market!AA$8+Market!AA$10</f>
        <v/>
      </c>
      <c r="AB297" s="32">
        <f>Market!AB$7*(1+sw_hub)*Market!AB$8+Market!AB$10</f>
        <v/>
      </c>
      <c r="AC297" s="32">
        <f>Market!AC$7*(1+sw_hub)*Market!AC$8+Market!AC$10</f>
        <v/>
      </c>
      <c r="AD297" s="32">
        <f>Market!AD$7*(1+sw_hub)*Market!AD$8+Market!AD$10</f>
        <v/>
      </c>
      <c r="AE297" s="32">
        <f>Market!AE$7*(1+sw_hub)*Market!AE$8+Market!AE$10</f>
        <v/>
      </c>
      <c r="AF297" s="32">
        <f>Market!AF$7*(1+sw_hub)*Market!AF$8+Market!AF$10</f>
        <v/>
      </c>
      <c r="AG297" s="32">
        <f>Market!AG$7*(1+sw_hub)*Market!AG$8+Market!AG$10</f>
        <v/>
      </c>
      <c r="AH297" s="32">
        <f>Market!AH$7*(1+sw_hub)*Market!AH$8+Market!AH$10</f>
        <v/>
      </c>
      <c r="AI297" s="32">
        <f>Market!AI$7*(1+sw_hub)*Market!AI$8+Market!AI$10</f>
        <v/>
      </c>
      <c r="AJ297" s="32">
        <f>Market!AJ$7*(1+sw_hub)*Market!AJ$8+Market!AJ$10</f>
        <v/>
      </c>
      <c r="AK297" s="32">
        <f>Market!AK$7*(1+sw_hub)*Market!AK$8+Market!AK$10</f>
        <v/>
      </c>
      <c r="AL297" s="32">
        <f>Market!AL$7*(1+sw_hub)*Market!AL$8+Market!AL$10</f>
        <v/>
      </c>
    </row>
    <row r="298">
      <c r="B298" s="7" t="inlineStr">
        <is>
          <t>Contracted revenue ($)</t>
        </is>
      </c>
      <c r="D298" s="25">
        <f>IF(D$5&lt;u_years,D296*u_price*(1+u_esc)^D$5,0)</f>
        <v/>
      </c>
      <c r="E298" s="25">
        <f>IF(E$5&lt;u_years,E296*u_price*(1+u_esc)^E$5,0)</f>
        <v/>
      </c>
      <c r="F298" s="25">
        <f>IF(F$5&lt;u_years,F296*u_price*(1+u_esc)^F$5,0)</f>
        <v/>
      </c>
      <c r="G298" s="25">
        <f>IF(G$5&lt;u_years,G296*u_price*(1+u_esc)^G$5,0)</f>
        <v/>
      </c>
      <c r="H298" s="25">
        <f>IF(H$5&lt;u_years,H296*u_price*(1+u_esc)^H$5,0)</f>
        <v/>
      </c>
      <c r="I298" s="25">
        <f>IF(I$5&lt;u_years,I296*u_price*(1+u_esc)^I$5,0)</f>
        <v/>
      </c>
      <c r="J298" s="25">
        <f>IF(J$5&lt;u_years,J296*u_price*(1+u_esc)^J$5,0)</f>
        <v/>
      </c>
      <c r="K298" s="25">
        <f>IF(K$5&lt;u_years,K296*u_price*(1+u_esc)^K$5,0)</f>
        <v/>
      </c>
      <c r="L298" s="25">
        <f>IF(L$5&lt;u_years,L296*u_price*(1+u_esc)^L$5,0)</f>
        <v/>
      </c>
      <c r="M298" s="25">
        <f>IF(M$5&lt;u_years,M296*u_price*(1+u_esc)^M$5,0)</f>
        <v/>
      </c>
      <c r="N298" s="25">
        <f>IF(N$5&lt;u_years,N296*u_price*(1+u_esc)^N$5,0)</f>
        <v/>
      </c>
      <c r="O298" s="25">
        <f>IF(O$5&lt;u_years,O296*u_price*(1+u_esc)^O$5,0)</f>
        <v/>
      </c>
      <c r="P298" s="25">
        <f>IF(P$5&lt;u_years,P296*u_price*(1+u_esc)^P$5,0)</f>
        <v/>
      </c>
      <c r="Q298" s="25">
        <f>IF(Q$5&lt;u_years,Q296*u_price*(1+u_esc)^Q$5,0)</f>
        <v/>
      </c>
      <c r="R298" s="25">
        <f>IF(R$5&lt;u_years,R296*u_price*(1+u_esc)^R$5,0)</f>
        <v/>
      </c>
      <c r="S298" s="25">
        <f>IF(S$5&lt;u_years,S296*u_price*(1+u_esc)^S$5,0)</f>
        <v/>
      </c>
      <c r="T298" s="25">
        <f>IF(T$5&lt;u_years,T296*u_price*(1+u_esc)^T$5,0)</f>
        <v/>
      </c>
      <c r="U298" s="25">
        <f>IF(U$5&lt;u_years,U296*u_price*(1+u_esc)^U$5,0)</f>
        <v/>
      </c>
      <c r="V298" s="25">
        <f>IF(V$5&lt;u_years,V296*u_price*(1+u_esc)^V$5,0)</f>
        <v/>
      </c>
      <c r="W298" s="25">
        <f>IF(W$5&lt;u_years,W296*u_price*(1+u_esc)^W$5,0)</f>
        <v/>
      </c>
      <c r="X298" s="25">
        <f>IF(X$5&lt;u_years,X296*u_price*(1+u_esc)^X$5,0)</f>
        <v/>
      </c>
      <c r="Y298" s="25">
        <f>IF(Y$5&lt;u_years,Y296*u_price*(1+u_esc)^Y$5,0)</f>
        <v/>
      </c>
      <c r="Z298" s="25">
        <f>IF(Z$5&lt;u_years,Z296*u_price*(1+u_esc)^Z$5,0)</f>
        <v/>
      </c>
      <c r="AA298" s="25">
        <f>IF(AA$5&lt;u_years,AA296*u_price*(1+u_esc)^AA$5,0)</f>
        <v/>
      </c>
      <c r="AB298" s="25">
        <f>IF(AB$5&lt;u_years,AB296*u_price*(1+u_esc)^AB$5,0)</f>
        <v/>
      </c>
      <c r="AC298" s="25">
        <f>IF(AC$5&lt;u_years,AC296*u_price*(1+u_esc)^AC$5,0)</f>
        <v/>
      </c>
      <c r="AD298" s="25">
        <f>IF(AD$5&lt;u_years,AD296*u_price*(1+u_esc)^AD$5,0)</f>
        <v/>
      </c>
      <c r="AE298" s="25">
        <f>IF(AE$5&lt;u_years,AE296*u_price*(1+u_esc)^AE$5,0)</f>
        <v/>
      </c>
      <c r="AF298" s="25">
        <f>IF(AF$5&lt;u_years,AF296*u_price*(1+u_esc)^AF$5,0)</f>
        <v/>
      </c>
      <c r="AG298" s="25">
        <f>IF(AG$5&lt;u_years,AG296*u_price*(1+u_esc)^AG$5,0)</f>
        <v/>
      </c>
      <c r="AH298" s="25">
        <f>IF(AH$5&lt;u_years,AH296*u_price*(1+u_esc)^AH$5,0)</f>
        <v/>
      </c>
      <c r="AI298" s="25">
        <f>IF(AI$5&lt;u_years,AI296*u_price*(1+u_esc)^AI$5,0)</f>
        <v/>
      </c>
      <c r="AJ298" s="25">
        <f>IF(AJ$5&lt;u_years,AJ296*u_price*(1+u_esc)^AJ$5,0)</f>
        <v/>
      </c>
      <c r="AK298" s="25">
        <f>IF(AK$5&lt;u_years,AK296*u_price*(1+u_esc)^AK$5,0)</f>
        <v/>
      </c>
      <c r="AL298" s="25">
        <f>IF(AL$5&lt;u_years,AL296*u_price*(1+u_esc)^AL$5,0)</f>
        <v/>
      </c>
    </row>
    <row r="299">
      <c r="B299" s="7" t="inlineStr">
        <is>
          <t>Merchant revenue ($)</t>
        </is>
      </c>
      <c r="D299" s="25">
        <f>IF(D$5&lt;u_years,0,D296*(D297+rec_price)+Market!D$13)</f>
        <v/>
      </c>
      <c r="E299" s="25">
        <f>IF(E$5&lt;u_years,0,E296*(E297+rec_price)+Market!E$13)</f>
        <v/>
      </c>
      <c r="F299" s="25">
        <f>IF(F$5&lt;u_years,0,F296*(F297+rec_price)+Market!F$13)</f>
        <v/>
      </c>
      <c r="G299" s="25">
        <f>IF(G$5&lt;u_years,0,G296*(G297+rec_price)+Market!G$13)</f>
        <v/>
      </c>
      <c r="H299" s="25">
        <f>IF(H$5&lt;u_years,0,H296*(H297+rec_price)+Market!H$13)</f>
        <v/>
      </c>
      <c r="I299" s="25">
        <f>IF(I$5&lt;u_years,0,I296*(I297+rec_price)+Market!I$13)</f>
        <v/>
      </c>
      <c r="J299" s="25">
        <f>IF(J$5&lt;u_years,0,J296*(J297+rec_price)+Market!J$13)</f>
        <v/>
      </c>
      <c r="K299" s="25">
        <f>IF(K$5&lt;u_years,0,K296*(K297+rec_price)+Market!K$13)</f>
        <v/>
      </c>
      <c r="L299" s="25">
        <f>IF(L$5&lt;u_years,0,L296*(L297+rec_price)+Market!L$13)</f>
        <v/>
      </c>
      <c r="M299" s="25">
        <f>IF(M$5&lt;u_years,0,M296*(M297+rec_price)+Market!M$13)</f>
        <v/>
      </c>
      <c r="N299" s="25">
        <f>IF(N$5&lt;u_years,0,N296*(N297+rec_price)+Market!N$13)</f>
        <v/>
      </c>
      <c r="O299" s="25">
        <f>IF(O$5&lt;u_years,0,O296*(O297+rec_price)+Market!O$13)</f>
        <v/>
      </c>
      <c r="P299" s="25">
        <f>IF(P$5&lt;u_years,0,P296*(P297+rec_price)+Market!P$13)</f>
        <v/>
      </c>
      <c r="Q299" s="25">
        <f>IF(Q$5&lt;u_years,0,Q296*(Q297+rec_price)+Market!Q$13)</f>
        <v/>
      </c>
      <c r="R299" s="25">
        <f>IF(R$5&lt;u_years,0,R296*(R297+rec_price)+Market!R$13)</f>
        <v/>
      </c>
      <c r="S299" s="25">
        <f>IF(S$5&lt;u_years,0,S296*(S297+rec_price)+Market!S$13)</f>
        <v/>
      </c>
      <c r="T299" s="25">
        <f>IF(T$5&lt;u_years,0,T296*(T297+rec_price)+Market!T$13)</f>
        <v/>
      </c>
      <c r="U299" s="25">
        <f>IF(U$5&lt;u_years,0,U296*(U297+rec_price)+Market!U$13)</f>
        <v/>
      </c>
      <c r="V299" s="25">
        <f>IF(V$5&lt;u_years,0,V296*(V297+rec_price)+Market!V$13)</f>
        <v/>
      </c>
      <c r="W299" s="25">
        <f>IF(W$5&lt;u_years,0,W296*(W297+rec_price)+Market!W$13)</f>
        <v/>
      </c>
      <c r="X299" s="25">
        <f>IF(X$5&lt;u_years,0,X296*(X297+rec_price)+Market!X$13)</f>
        <v/>
      </c>
      <c r="Y299" s="25">
        <f>IF(Y$5&lt;u_years,0,Y296*(Y297+rec_price)+Market!Y$13)</f>
        <v/>
      </c>
      <c r="Z299" s="25">
        <f>IF(Z$5&lt;u_years,0,Z296*(Z297+rec_price)+Market!Z$13)</f>
        <v/>
      </c>
      <c r="AA299" s="25">
        <f>IF(AA$5&lt;u_years,0,AA296*(AA297+rec_price)+Market!AA$13)</f>
        <v/>
      </c>
      <c r="AB299" s="25">
        <f>IF(AB$5&lt;u_years,0,AB296*(AB297+rec_price)+Market!AB$13)</f>
        <v/>
      </c>
      <c r="AC299" s="25">
        <f>IF(AC$5&lt;u_years,0,AC296*(AC297+rec_price)+Market!AC$13)</f>
        <v/>
      </c>
      <c r="AD299" s="25">
        <f>IF(AD$5&lt;u_years,0,AD296*(AD297+rec_price)+Market!AD$13)</f>
        <v/>
      </c>
      <c r="AE299" s="25">
        <f>IF(AE$5&lt;u_years,0,AE296*(AE297+rec_price)+Market!AE$13)</f>
        <v/>
      </c>
      <c r="AF299" s="25">
        <f>IF(AF$5&lt;u_years,0,AF296*(AF297+rec_price)+Market!AF$13)</f>
        <v/>
      </c>
      <c r="AG299" s="25">
        <f>IF(AG$5&lt;u_years,0,AG296*(AG297+rec_price)+Market!AG$13)</f>
        <v/>
      </c>
      <c r="AH299" s="25">
        <f>IF(AH$5&lt;u_years,0,AH296*(AH297+rec_price)+Market!AH$13)</f>
        <v/>
      </c>
      <c r="AI299" s="25">
        <f>IF(AI$5&lt;u_years,0,AI296*(AI297+rec_price)+Market!AI$13)</f>
        <v/>
      </c>
      <c r="AJ299" s="25">
        <f>IF(AJ$5&lt;u_years,0,AJ296*(AJ297+rec_price)+Market!AJ$13)</f>
        <v/>
      </c>
      <c r="AK299" s="25">
        <f>IF(AK$5&lt;u_years,0,AK296*(AK297+rec_price)+Market!AK$13)</f>
        <v/>
      </c>
      <c r="AL299" s="25">
        <f>IF(AL$5&lt;u_years,0,AL296*(AL297+rec_price)+Market!AL$13)</f>
        <v/>
      </c>
    </row>
    <row r="300">
      <c r="B300" s="7" t="inlineStr">
        <is>
          <t>Basis cost kept by the project ($)</t>
        </is>
      </c>
      <c r="D300" s="25" t="n">
        <v>0</v>
      </c>
      <c r="E300" s="25" t="n">
        <v>0</v>
      </c>
      <c r="F300" s="25" t="n">
        <v>0</v>
      </c>
      <c r="G300" s="25" t="n">
        <v>0</v>
      </c>
      <c r="H300" s="25" t="n">
        <v>0</v>
      </c>
      <c r="I300" s="25" t="n">
        <v>0</v>
      </c>
      <c r="J300" s="25" t="n">
        <v>0</v>
      </c>
      <c r="K300" s="25" t="n">
        <v>0</v>
      </c>
      <c r="L300" s="25" t="n">
        <v>0</v>
      </c>
      <c r="M300" s="25" t="n">
        <v>0</v>
      </c>
      <c r="N300" s="25" t="n">
        <v>0</v>
      </c>
      <c r="O300" s="25" t="n">
        <v>0</v>
      </c>
      <c r="P300" s="25" t="n">
        <v>0</v>
      </c>
      <c r="Q300" s="25" t="n">
        <v>0</v>
      </c>
      <c r="R300" s="25" t="n">
        <v>0</v>
      </c>
      <c r="S300" s="25" t="n">
        <v>0</v>
      </c>
      <c r="T300" s="25" t="n">
        <v>0</v>
      </c>
      <c r="U300" s="25" t="n">
        <v>0</v>
      </c>
      <c r="V300" s="25" t="n">
        <v>0</v>
      </c>
      <c r="W300" s="25" t="n">
        <v>0</v>
      </c>
      <c r="X300" s="25" t="n">
        <v>0</v>
      </c>
      <c r="Y300" s="25" t="n">
        <v>0</v>
      </c>
      <c r="Z300" s="25" t="n">
        <v>0</v>
      </c>
      <c r="AA300" s="25" t="n">
        <v>0</v>
      </c>
      <c r="AB300" s="25" t="n">
        <v>0</v>
      </c>
      <c r="AC300" s="25" t="n">
        <v>0</v>
      </c>
      <c r="AD300" s="25" t="n">
        <v>0</v>
      </c>
      <c r="AE300" s="25" t="n">
        <v>0</v>
      </c>
      <c r="AF300" s="25" t="n">
        <v>0</v>
      </c>
      <c r="AG300" s="25" t="n">
        <v>0</v>
      </c>
      <c r="AH300" s="25" t="n">
        <v>0</v>
      </c>
      <c r="AI300" s="25" t="n">
        <v>0</v>
      </c>
      <c r="AJ300" s="25" t="n">
        <v>0</v>
      </c>
      <c r="AK300" s="25" t="n">
        <v>0</v>
      </c>
      <c r="AL300" s="25" t="n">
        <v>0</v>
      </c>
    </row>
    <row r="301">
      <c r="B301" s="7" t="inlineStr">
        <is>
          <t>Operating cost ($)</t>
        </is>
      </c>
      <c r="D301" s="25">
        <f>(om_kw*mwac*1000+ins_rate*$C$293+am_cost+prop_tax+misc_cost)*Opex!D$7+rent_acre*acres_lease*Opex!D$8</f>
        <v/>
      </c>
      <c r="E301" s="25">
        <f>(om_kw*mwac*1000+ins_rate*$C$293+am_cost+prop_tax+misc_cost)*Opex!E$7+rent_acre*acres_lease*Opex!E$8</f>
        <v/>
      </c>
      <c r="F301" s="25">
        <f>(om_kw*mwac*1000+ins_rate*$C$293+am_cost+prop_tax+misc_cost)*Opex!F$7+rent_acre*acres_lease*Opex!F$8</f>
        <v/>
      </c>
      <c r="G301" s="25">
        <f>(om_kw*mwac*1000+ins_rate*$C$293+am_cost+prop_tax+misc_cost)*Opex!G$7+rent_acre*acres_lease*Opex!G$8</f>
        <v/>
      </c>
      <c r="H301" s="25">
        <f>(om_kw*mwac*1000+ins_rate*$C$293+am_cost+prop_tax+misc_cost)*Opex!H$7+rent_acre*acres_lease*Opex!H$8</f>
        <v/>
      </c>
      <c r="I301" s="25">
        <f>(om_kw*mwac*1000+ins_rate*$C$293+am_cost+prop_tax+misc_cost)*Opex!I$7+rent_acre*acres_lease*Opex!I$8</f>
        <v/>
      </c>
      <c r="J301" s="25">
        <f>(om_kw*mwac*1000+ins_rate*$C$293+am_cost+prop_tax+misc_cost)*Opex!J$7+rent_acre*acres_lease*Opex!J$8</f>
        <v/>
      </c>
      <c r="K301" s="25">
        <f>(om_kw*mwac*1000+ins_rate*$C$293+am_cost+prop_tax+misc_cost)*Opex!K$7+rent_acre*acres_lease*Opex!K$8</f>
        <v/>
      </c>
      <c r="L301" s="25">
        <f>(om_kw*mwac*1000+ins_rate*$C$293+am_cost+prop_tax+misc_cost)*Opex!L$7+rent_acre*acres_lease*Opex!L$8</f>
        <v/>
      </c>
      <c r="M301" s="25">
        <f>(om_kw*mwac*1000+ins_rate*$C$293+am_cost+prop_tax+misc_cost)*Opex!M$7+rent_acre*acres_lease*Opex!M$8</f>
        <v/>
      </c>
      <c r="N301" s="25">
        <f>(om_kw*mwac*1000+ins_rate*$C$293+am_cost+prop_tax+misc_cost)*Opex!N$7+rent_acre*acres_lease*Opex!N$8</f>
        <v/>
      </c>
      <c r="O301" s="25">
        <f>(om_kw*mwac*1000+ins_rate*$C$293+am_cost+prop_tax+misc_cost)*Opex!O$7+rent_acre*acres_lease*Opex!O$8</f>
        <v/>
      </c>
      <c r="P301" s="25">
        <f>(om_kw*mwac*1000+ins_rate*$C$293+am_cost+prop_tax+misc_cost)*Opex!P$7+rent_acre*acres_lease*Opex!P$8</f>
        <v/>
      </c>
      <c r="Q301" s="25">
        <f>(om_kw*mwac*1000+ins_rate*$C$293+am_cost+prop_tax+misc_cost)*Opex!Q$7+rent_acre*acres_lease*Opex!Q$8</f>
        <v/>
      </c>
      <c r="R301" s="25">
        <f>(om_kw*mwac*1000+ins_rate*$C$293+am_cost+prop_tax+misc_cost)*Opex!R$7+rent_acre*acres_lease*Opex!R$8</f>
        <v/>
      </c>
      <c r="S301" s="25">
        <f>(om_kw*mwac*1000+ins_rate*$C$293+am_cost+prop_tax+misc_cost)*Opex!S$7+rent_acre*acres_lease*Opex!S$8</f>
        <v/>
      </c>
      <c r="T301" s="25">
        <f>(om_kw*mwac*1000+ins_rate*$C$293+am_cost+prop_tax+misc_cost)*Opex!T$7+rent_acre*acres_lease*Opex!T$8</f>
        <v/>
      </c>
      <c r="U301" s="25">
        <f>(om_kw*mwac*1000+ins_rate*$C$293+am_cost+prop_tax+misc_cost)*Opex!U$7+rent_acre*acres_lease*Opex!U$8</f>
        <v/>
      </c>
      <c r="V301" s="25">
        <f>(om_kw*mwac*1000+ins_rate*$C$293+am_cost+prop_tax+misc_cost)*Opex!V$7+rent_acre*acres_lease*Opex!V$8</f>
        <v/>
      </c>
      <c r="W301" s="25">
        <f>(om_kw*mwac*1000+ins_rate*$C$293+am_cost+prop_tax+misc_cost)*Opex!W$7+rent_acre*acres_lease*Opex!W$8</f>
        <v/>
      </c>
      <c r="X301" s="25">
        <f>(om_kw*mwac*1000+ins_rate*$C$293+am_cost+prop_tax+misc_cost)*Opex!X$7+rent_acre*acres_lease*Opex!X$8</f>
        <v/>
      </c>
      <c r="Y301" s="25">
        <f>(om_kw*mwac*1000+ins_rate*$C$293+am_cost+prop_tax+misc_cost)*Opex!Y$7+rent_acre*acres_lease*Opex!Y$8</f>
        <v/>
      </c>
      <c r="Z301" s="25">
        <f>(om_kw*mwac*1000+ins_rate*$C$293+am_cost+prop_tax+misc_cost)*Opex!Z$7+rent_acre*acres_lease*Opex!Z$8</f>
        <v/>
      </c>
      <c r="AA301" s="25">
        <f>(om_kw*mwac*1000+ins_rate*$C$293+am_cost+prop_tax+misc_cost)*Opex!AA$7+rent_acre*acres_lease*Opex!AA$8</f>
        <v/>
      </c>
      <c r="AB301" s="25">
        <f>(om_kw*mwac*1000+ins_rate*$C$293+am_cost+prop_tax+misc_cost)*Opex!AB$7+rent_acre*acres_lease*Opex!AB$8</f>
        <v/>
      </c>
      <c r="AC301" s="25">
        <f>(om_kw*mwac*1000+ins_rate*$C$293+am_cost+prop_tax+misc_cost)*Opex!AC$7+rent_acre*acres_lease*Opex!AC$8</f>
        <v/>
      </c>
      <c r="AD301" s="25">
        <f>(om_kw*mwac*1000+ins_rate*$C$293+am_cost+prop_tax+misc_cost)*Opex!AD$7+rent_acre*acres_lease*Opex!AD$8</f>
        <v/>
      </c>
      <c r="AE301" s="25">
        <f>(om_kw*mwac*1000+ins_rate*$C$293+am_cost+prop_tax+misc_cost)*Opex!AE$7+rent_acre*acres_lease*Opex!AE$8</f>
        <v/>
      </c>
      <c r="AF301" s="25">
        <f>(om_kw*mwac*1000+ins_rate*$C$293+am_cost+prop_tax+misc_cost)*Opex!AF$7+rent_acre*acres_lease*Opex!AF$8</f>
        <v/>
      </c>
      <c r="AG301" s="25">
        <f>(om_kw*mwac*1000+ins_rate*$C$293+am_cost+prop_tax+misc_cost)*Opex!AG$7+rent_acre*acres_lease*Opex!AG$8</f>
        <v/>
      </c>
      <c r="AH301" s="25">
        <f>(om_kw*mwac*1000+ins_rate*$C$293+am_cost+prop_tax+misc_cost)*Opex!AH$7+rent_acre*acres_lease*Opex!AH$8</f>
        <v/>
      </c>
      <c r="AI301" s="25">
        <f>(om_kw*mwac*1000+ins_rate*$C$293+am_cost+prop_tax+misc_cost)*Opex!AI$7+rent_acre*acres_lease*Opex!AI$8</f>
        <v/>
      </c>
      <c r="AJ301" s="25">
        <f>(om_kw*mwac*1000+ins_rate*$C$293+am_cost+prop_tax+misc_cost)*Opex!AJ$7+rent_acre*acres_lease*Opex!AJ$8</f>
        <v/>
      </c>
      <c r="AK301" s="25">
        <f>(om_kw*mwac*1000+ins_rate*$C$293+am_cost+prop_tax+misc_cost)*Opex!AK$7+rent_acre*acres_lease*Opex!AK$8</f>
        <v/>
      </c>
      <c r="AL301" s="25">
        <f>(om_kw*mwac*1000+ins_rate*$C$293+am_cost+prop_tax+misc_cost)*Opex!AL$7+rent_acre*acres_lease*Opex!AL$8</f>
        <v/>
      </c>
    </row>
    <row r="302">
      <c r="B302" s="7" t="inlineStr">
        <is>
          <t>Credit cash ($)</t>
        </is>
      </c>
      <c r="D302" s="25">
        <f>IF(sw_credit="PTC",IF(D$5&lt;ptc_years,D296*Credits!D$8*(1+ec_bonus)*transfer_ptc,0),0)+IF(D$5=0,$C$295,0)</f>
        <v/>
      </c>
      <c r="E302" s="25">
        <f>IF(sw_credit="PTC",IF(E$5&lt;ptc_years,E296*Credits!E$8*(1+ec_bonus)*transfer_ptc,0),0)+IF(E$5=0,$C$295,0)</f>
        <v/>
      </c>
      <c r="F302" s="25">
        <f>IF(sw_credit="PTC",IF(F$5&lt;ptc_years,F296*Credits!F$8*(1+ec_bonus)*transfer_ptc,0),0)+IF(F$5=0,$C$295,0)</f>
        <v/>
      </c>
      <c r="G302" s="25">
        <f>IF(sw_credit="PTC",IF(G$5&lt;ptc_years,G296*Credits!G$8*(1+ec_bonus)*transfer_ptc,0),0)+IF(G$5=0,$C$295,0)</f>
        <v/>
      </c>
      <c r="H302" s="25">
        <f>IF(sw_credit="PTC",IF(H$5&lt;ptc_years,H296*Credits!H$8*(1+ec_bonus)*transfer_ptc,0),0)+IF(H$5=0,$C$295,0)</f>
        <v/>
      </c>
      <c r="I302" s="25">
        <f>IF(sw_credit="PTC",IF(I$5&lt;ptc_years,I296*Credits!I$8*(1+ec_bonus)*transfer_ptc,0),0)+IF(I$5=0,$C$295,0)</f>
        <v/>
      </c>
      <c r="J302" s="25">
        <f>IF(sw_credit="PTC",IF(J$5&lt;ptc_years,J296*Credits!J$8*(1+ec_bonus)*transfer_ptc,0),0)+IF(J$5=0,$C$295,0)</f>
        <v/>
      </c>
      <c r="K302" s="25">
        <f>IF(sw_credit="PTC",IF(K$5&lt;ptc_years,K296*Credits!K$8*(1+ec_bonus)*transfer_ptc,0),0)+IF(K$5=0,$C$295,0)</f>
        <v/>
      </c>
      <c r="L302" s="25">
        <f>IF(sw_credit="PTC",IF(L$5&lt;ptc_years,L296*Credits!L$8*(1+ec_bonus)*transfer_ptc,0),0)+IF(L$5=0,$C$295,0)</f>
        <v/>
      </c>
      <c r="M302" s="25">
        <f>IF(sw_credit="PTC",IF(M$5&lt;ptc_years,M296*Credits!M$8*(1+ec_bonus)*transfer_ptc,0),0)+IF(M$5=0,$C$295,0)</f>
        <v/>
      </c>
      <c r="N302" s="25">
        <f>IF(sw_credit="PTC",IF(N$5&lt;ptc_years,N296*Credits!N$8*(1+ec_bonus)*transfer_ptc,0),0)+IF(N$5=0,$C$295,0)</f>
        <v/>
      </c>
      <c r="O302" s="25">
        <f>IF(sw_credit="PTC",IF(O$5&lt;ptc_years,O296*Credits!O$8*(1+ec_bonus)*transfer_ptc,0),0)+IF(O$5=0,$C$295,0)</f>
        <v/>
      </c>
      <c r="P302" s="25">
        <f>IF(sw_credit="PTC",IF(P$5&lt;ptc_years,P296*Credits!P$8*(1+ec_bonus)*transfer_ptc,0),0)+IF(P$5=0,$C$295,0)</f>
        <v/>
      </c>
      <c r="Q302" s="25">
        <f>IF(sw_credit="PTC",IF(Q$5&lt;ptc_years,Q296*Credits!Q$8*(1+ec_bonus)*transfer_ptc,0),0)+IF(Q$5=0,$C$295,0)</f>
        <v/>
      </c>
      <c r="R302" s="25">
        <f>IF(sw_credit="PTC",IF(R$5&lt;ptc_years,R296*Credits!R$8*(1+ec_bonus)*transfer_ptc,0),0)+IF(R$5=0,$C$295,0)</f>
        <v/>
      </c>
      <c r="S302" s="25">
        <f>IF(sw_credit="PTC",IF(S$5&lt;ptc_years,S296*Credits!S$8*(1+ec_bonus)*transfer_ptc,0),0)+IF(S$5=0,$C$295,0)</f>
        <v/>
      </c>
      <c r="T302" s="25">
        <f>IF(sw_credit="PTC",IF(T$5&lt;ptc_years,T296*Credits!T$8*(1+ec_bonus)*transfer_ptc,0),0)+IF(T$5=0,$C$295,0)</f>
        <v/>
      </c>
      <c r="U302" s="25">
        <f>IF(sw_credit="PTC",IF(U$5&lt;ptc_years,U296*Credits!U$8*(1+ec_bonus)*transfer_ptc,0),0)+IF(U$5=0,$C$295,0)</f>
        <v/>
      </c>
      <c r="V302" s="25">
        <f>IF(sw_credit="PTC",IF(V$5&lt;ptc_years,V296*Credits!V$8*(1+ec_bonus)*transfer_ptc,0),0)+IF(V$5=0,$C$295,0)</f>
        <v/>
      </c>
      <c r="W302" s="25">
        <f>IF(sw_credit="PTC",IF(W$5&lt;ptc_years,W296*Credits!W$8*(1+ec_bonus)*transfer_ptc,0),0)+IF(W$5=0,$C$295,0)</f>
        <v/>
      </c>
      <c r="X302" s="25">
        <f>IF(sw_credit="PTC",IF(X$5&lt;ptc_years,X296*Credits!X$8*(1+ec_bonus)*transfer_ptc,0),0)+IF(X$5=0,$C$295,0)</f>
        <v/>
      </c>
      <c r="Y302" s="25">
        <f>IF(sw_credit="PTC",IF(Y$5&lt;ptc_years,Y296*Credits!Y$8*(1+ec_bonus)*transfer_ptc,0),0)+IF(Y$5=0,$C$295,0)</f>
        <v/>
      </c>
      <c r="Z302" s="25">
        <f>IF(sw_credit="PTC",IF(Z$5&lt;ptc_years,Z296*Credits!Z$8*(1+ec_bonus)*transfer_ptc,0),0)+IF(Z$5=0,$C$295,0)</f>
        <v/>
      </c>
      <c r="AA302" s="25">
        <f>IF(sw_credit="PTC",IF(AA$5&lt;ptc_years,AA296*Credits!AA$8*(1+ec_bonus)*transfer_ptc,0),0)+IF(AA$5=0,$C$295,0)</f>
        <v/>
      </c>
      <c r="AB302" s="25">
        <f>IF(sw_credit="PTC",IF(AB$5&lt;ptc_years,AB296*Credits!AB$8*(1+ec_bonus)*transfer_ptc,0),0)+IF(AB$5=0,$C$295,0)</f>
        <v/>
      </c>
      <c r="AC302" s="25">
        <f>IF(sw_credit="PTC",IF(AC$5&lt;ptc_years,AC296*Credits!AC$8*(1+ec_bonus)*transfer_ptc,0),0)+IF(AC$5=0,$C$295,0)</f>
        <v/>
      </c>
      <c r="AD302" s="25">
        <f>IF(sw_credit="PTC",IF(AD$5&lt;ptc_years,AD296*Credits!AD$8*(1+ec_bonus)*transfer_ptc,0),0)+IF(AD$5=0,$C$295,0)</f>
        <v/>
      </c>
      <c r="AE302" s="25">
        <f>IF(sw_credit="PTC",IF(AE$5&lt;ptc_years,AE296*Credits!AE$8*(1+ec_bonus)*transfer_ptc,0),0)+IF(AE$5=0,$C$295,0)</f>
        <v/>
      </c>
      <c r="AF302" s="25">
        <f>IF(sw_credit="PTC",IF(AF$5&lt;ptc_years,AF296*Credits!AF$8*(1+ec_bonus)*transfer_ptc,0),0)+IF(AF$5=0,$C$295,0)</f>
        <v/>
      </c>
      <c r="AG302" s="25">
        <f>IF(sw_credit="PTC",IF(AG$5&lt;ptc_years,AG296*Credits!AG$8*(1+ec_bonus)*transfer_ptc,0),0)+IF(AG$5=0,$C$295,0)</f>
        <v/>
      </c>
      <c r="AH302" s="25">
        <f>IF(sw_credit="PTC",IF(AH$5&lt;ptc_years,AH296*Credits!AH$8*(1+ec_bonus)*transfer_ptc,0),0)+IF(AH$5=0,$C$295,0)</f>
        <v/>
      </c>
      <c r="AI302" s="25">
        <f>IF(sw_credit="PTC",IF(AI$5&lt;ptc_years,AI296*Credits!AI$8*(1+ec_bonus)*transfer_ptc,0),0)+IF(AI$5=0,$C$295,0)</f>
        <v/>
      </c>
      <c r="AJ302" s="25">
        <f>IF(sw_credit="PTC",IF(AJ$5&lt;ptc_years,AJ296*Credits!AJ$8*(1+ec_bonus)*transfer_ptc,0),0)+IF(AJ$5=0,$C$295,0)</f>
        <v/>
      </c>
      <c r="AK302" s="25">
        <f>IF(sw_credit="PTC",IF(AK$5&lt;ptc_years,AK296*Credits!AK$8*(1+ec_bonus)*transfer_ptc,0),0)+IF(AK$5=0,$C$295,0)</f>
        <v/>
      </c>
      <c r="AL302" s="25">
        <f>IF(sw_credit="PTC",IF(AL$5&lt;ptc_years,AL296*Credits!AL$8*(1+ec_bonus)*transfer_ptc,0),0)+IF(AL$5=0,$C$295,0)</f>
        <v/>
      </c>
    </row>
    <row r="303">
      <c r="B303" s="14" t="inlineStr">
        <is>
          <t>EBITDA ($)</t>
        </is>
      </c>
      <c r="D303" s="26">
        <f>D298+D299-D300-D301</f>
        <v/>
      </c>
      <c r="E303" s="26">
        <f>E298+E299-E300-E301</f>
        <v/>
      </c>
      <c r="F303" s="26">
        <f>F298+F299-F300-F301</f>
        <v/>
      </c>
      <c r="G303" s="26">
        <f>G298+G299-G300-G301</f>
        <v/>
      </c>
      <c r="H303" s="26">
        <f>H298+H299-H300-H301</f>
        <v/>
      </c>
      <c r="I303" s="26">
        <f>I298+I299-I300-I301</f>
        <v/>
      </c>
      <c r="J303" s="26">
        <f>J298+J299-J300-J301</f>
        <v/>
      </c>
      <c r="K303" s="26">
        <f>K298+K299-K300-K301</f>
        <v/>
      </c>
      <c r="L303" s="26">
        <f>L298+L299-L300-L301</f>
        <v/>
      </c>
      <c r="M303" s="26">
        <f>M298+M299-M300-M301</f>
        <v/>
      </c>
      <c r="N303" s="26">
        <f>N298+N299-N300-N301</f>
        <v/>
      </c>
      <c r="O303" s="26">
        <f>O298+O299-O300-O301</f>
        <v/>
      </c>
      <c r="P303" s="26">
        <f>P298+P299-P300-P301</f>
        <v/>
      </c>
      <c r="Q303" s="26">
        <f>Q298+Q299-Q300-Q301</f>
        <v/>
      </c>
      <c r="R303" s="26">
        <f>R298+R299-R300-R301</f>
        <v/>
      </c>
      <c r="S303" s="26">
        <f>S298+S299-S300-S301</f>
        <v/>
      </c>
      <c r="T303" s="26">
        <f>T298+T299-T300-T301</f>
        <v/>
      </c>
      <c r="U303" s="26">
        <f>U298+U299-U300-U301</f>
        <v/>
      </c>
      <c r="V303" s="26">
        <f>V298+V299-V300-V301</f>
        <v/>
      </c>
      <c r="W303" s="26">
        <f>W298+W299-W300-W301</f>
        <v/>
      </c>
      <c r="X303" s="26">
        <f>X298+X299-X300-X301</f>
        <v/>
      </c>
      <c r="Y303" s="26">
        <f>Y298+Y299-Y300-Y301</f>
        <v/>
      </c>
      <c r="Z303" s="26">
        <f>Z298+Z299-Z300-Z301</f>
        <v/>
      </c>
      <c r="AA303" s="26">
        <f>AA298+AA299-AA300-AA301</f>
        <v/>
      </c>
      <c r="AB303" s="26">
        <f>AB298+AB299-AB300-AB301</f>
        <v/>
      </c>
      <c r="AC303" s="26">
        <f>AC298+AC299-AC300-AC301</f>
        <v/>
      </c>
      <c r="AD303" s="26">
        <f>AD298+AD299-AD300-AD301</f>
        <v/>
      </c>
      <c r="AE303" s="26">
        <f>AE298+AE299-AE300-AE301</f>
        <v/>
      </c>
      <c r="AF303" s="26">
        <f>AF298+AF299-AF300-AF301</f>
        <v/>
      </c>
      <c r="AG303" s="26">
        <f>AG298+AG299-AG300-AG301</f>
        <v/>
      </c>
      <c r="AH303" s="26">
        <f>AH298+AH299-AH300-AH301</f>
        <v/>
      </c>
      <c r="AI303" s="26">
        <f>AI298+AI299-AI300-AI301</f>
        <v/>
      </c>
      <c r="AJ303" s="26">
        <f>AJ298+AJ299-AJ300-AJ301</f>
        <v/>
      </c>
      <c r="AK303" s="26">
        <f>AK298+AK299-AK300-AK301</f>
        <v/>
      </c>
      <c r="AL303" s="26">
        <f>AL298+AL299-AL300-AL301</f>
        <v/>
      </c>
    </row>
    <row r="304">
      <c r="B304" s="7" t="inlineStr">
        <is>
          <t>Discount factor to 1 January 2027, contracted rate</t>
        </is>
      </c>
      <c r="D304" s="22">
        <f>1/(1+x_rc)^(D$5+2)</f>
        <v/>
      </c>
      <c r="E304" s="22">
        <f>1/(1+x_rc)^(E$5+2)</f>
        <v/>
      </c>
      <c r="F304" s="22">
        <f>1/(1+x_rc)^(F$5+2)</f>
        <v/>
      </c>
      <c r="G304" s="22">
        <f>1/(1+x_rc)^(G$5+2)</f>
        <v/>
      </c>
      <c r="H304" s="22">
        <f>1/(1+x_rc)^(H$5+2)</f>
        <v/>
      </c>
      <c r="I304" s="22">
        <f>1/(1+x_rc)^(I$5+2)</f>
        <v/>
      </c>
      <c r="J304" s="22">
        <f>1/(1+x_rc)^(J$5+2)</f>
        <v/>
      </c>
      <c r="K304" s="22">
        <f>1/(1+x_rc)^(K$5+2)</f>
        <v/>
      </c>
      <c r="L304" s="22">
        <f>1/(1+x_rc)^(L$5+2)</f>
        <v/>
      </c>
      <c r="M304" s="22">
        <f>1/(1+x_rc)^(M$5+2)</f>
        <v/>
      </c>
      <c r="N304" s="22">
        <f>1/(1+x_rc)^(N$5+2)</f>
        <v/>
      </c>
      <c r="O304" s="22">
        <f>1/(1+x_rc)^(O$5+2)</f>
        <v/>
      </c>
      <c r="P304" s="22">
        <f>1/(1+x_rc)^(P$5+2)</f>
        <v/>
      </c>
      <c r="Q304" s="22">
        <f>1/(1+x_rc)^(Q$5+2)</f>
        <v/>
      </c>
      <c r="R304" s="22">
        <f>1/(1+x_rc)^(R$5+2)</f>
        <v/>
      </c>
      <c r="S304" s="22">
        <f>1/(1+x_rc)^(S$5+2)</f>
        <v/>
      </c>
      <c r="T304" s="22">
        <f>1/(1+x_rc)^(T$5+2)</f>
        <v/>
      </c>
      <c r="U304" s="22">
        <f>1/(1+x_rc)^(U$5+2)</f>
        <v/>
      </c>
      <c r="V304" s="22">
        <f>1/(1+x_rc)^(V$5+2)</f>
        <v/>
      </c>
      <c r="W304" s="22">
        <f>1/(1+x_rc)^(W$5+2)</f>
        <v/>
      </c>
      <c r="X304" s="22">
        <f>1/(1+x_rc)^(X$5+2)</f>
        <v/>
      </c>
      <c r="Y304" s="22">
        <f>1/(1+x_rc)^(Y$5+2)</f>
        <v/>
      </c>
      <c r="Z304" s="22">
        <f>1/(1+x_rc)^(Z$5+2)</f>
        <v/>
      </c>
      <c r="AA304" s="22">
        <f>1/(1+x_rc)^(AA$5+2)</f>
        <v/>
      </c>
      <c r="AB304" s="22">
        <f>1/(1+x_rc)^(AB$5+2)</f>
        <v/>
      </c>
      <c r="AC304" s="22">
        <f>1/(1+x_rc)^(AC$5+2)</f>
        <v/>
      </c>
      <c r="AD304" s="22">
        <f>1/(1+x_rc)^(AD$5+2)</f>
        <v/>
      </c>
      <c r="AE304" s="22">
        <f>1/(1+x_rc)^(AE$5+2)</f>
        <v/>
      </c>
      <c r="AF304" s="22">
        <f>1/(1+x_rc)^(AF$5+2)</f>
        <v/>
      </c>
      <c r="AG304" s="22">
        <f>1/(1+x_rc)^(AG$5+2)</f>
        <v/>
      </c>
      <c r="AH304" s="22">
        <f>1/(1+x_rc)^(AH$5+2)</f>
        <v/>
      </c>
      <c r="AI304" s="22">
        <f>1/(1+x_rc)^(AI$5+2)</f>
        <v/>
      </c>
      <c r="AJ304" s="22">
        <f>1/(1+x_rc)^(AJ$5+2)</f>
        <v/>
      </c>
      <c r="AK304" s="22">
        <f>1/(1+x_rc)^(AK$5+2)</f>
        <v/>
      </c>
      <c r="AL304" s="22">
        <f>1/(1+x_rc)^(AL$5+2)</f>
        <v/>
      </c>
    </row>
    <row r="305">
      <c r="B305" s="7" t="inlineStr">
        <is>
          <t>Discount factor to 1 January 2027, merchant rate</t>
        </is>
      </c>
      <c r="D305" s="22">
        <f>1/(1+x_rm)^(D$5+2)</f>
        <v/>
      </c>
      <c r="E305" s="22">
        <f>1/(1+x_rm)^(E$5+2)</f>
        <v/>
      </c>
      <c r="F305" s="22">
        <f>1/(1+x_rm)^(F$5+2)</f>
        <v/>
      </c>
      <c r="G305" s="22">
        <f>1/(1+x_rm)^(G$5+2)</f>
        <v/>
      </c>
      <c r="H305" s="22">
        <f>1/(1+x_rm)^(H$5+2)</f>
        <v/>
      </c>
      <c r="I305" s="22">
        <f>1/(1+x_rm)^(I$5+2)</f>
        <v/>
      </c>
      <c r="J305" s="22">
        <f>1/(1+x_rm)^(J$5+2)</f>
        <v/>
      </c>
      <c r="K305" s="22">
        <f>1/(1+x_rm)^(K$5+2)</f>
        <v/>
      </c>
      <c r="L305" s="22">
        <f>1/(1+x_rm)^(L$5+2)</f>
        <v/>
      </c>
      <c r="M305" s="22">
        <f>1/(1+x_rm)^(M$5+2)</f>
        <v/>
      </c>
      <c r="N305" s="22">
        <f>1/(1+x_rm)^(N$5+2)</f>
        <v/>
      </c>
      <c r="O305" s="22">
        <f>1/(1+x_rm)^(O$5+2)</f>
        <v/>
      </c>
      <c r="P305" s="22">
        <f>1/(1+x_rm)^(P$5+2)</f>
        <v/>
      </c>
      <c r="Q305" s="22">
        <f>1/(1+x_rm)^(Q$5+2)</f>
        <v/>
      </c>
      <c r="R305" s="22">
        <f>1/(1+x_rm)^(R$5+2)</f>
        <v/>
      </c>
      <c r="S305" s="22">
        <f>1/(1+x_rm)^(S$5+2)</f>
        <v/>
      </c>
      <c r="T305" s="22">
        <f>1/(1+x_rm)^(T$5+2)</f>
        <v/>
      </c>
      <c r="U305" s="22">
        <f>1/(1+x_rm)^(U$5+2)</f>
        <v/>
      </c>
      <c r="V305" s="22">
        <f>1/(1+x_rm)^(V$5+2)</f>
        <v/>
      </c>
      <c r="W305" s="22">
        <f>1/(1+x_rm)^(W$5+2)</f>
        <v/>
      </c>
      <c r="X305" s="22">
        <f>1/(1+x_rm)^(X$5+2)</f>
        <v/>
      </c>
      <c r="Y305" s="22">
        <f>1/(1+x_rm)^(Y$5+2)</f>
        <v/>
      </c>
      <c r="Z305" s="22">
        <f>1/(1+x_rm)^(Z$5+2)</f>
        <v/>
      </c>
      <c r="AA305" s="22">
        <f>1/(1+x_rm)^(AA$5+2)</f>
        <v/>
      </c>
      <c r="AB305" s="22">
        <f>1/(1+x_rm)^(AB$5+2)</f>
        <v/>
      </c>
      <c r="AC305" s="22">
        <f>1/(1+x_rm)^(AC$5+2)</f>
        <v/>
      </c>
      <c r="AD305" s="22">
        <f>1/(1+x_rm)^(AD$5+2)</f>
        <v/>
      </c>
      <c r="AE305" s="22">
        <f>1/(1+x_rm)^(AE$5+2)</f>
        <v/>
      </c>
      <c r="AF305" s="22">
        <f>1/(1+x_rm)^(AF$5+2)</f>
        <v/>
      </c>
      <c r="AG305" s="22">
        <f>1/(1+x_rm)^(AG$5+2)</f>
        <v/>
      </c>
      <c r="AH305" s="22">
        <f>1/(1+x_rm)^(AH$5+2)</f>
        <v/>
      </c>
      <c r="AI305" s="22">
        <f>1/(1+x_rm)^(AI$5+2)</f>
        <v/>
      </c>
      <c r="AJ305" s="22">
        <f>1/(1+x_rm)^(AJ$5+2)</f>
        <v/>
      </c>
      <c r="AK305" s="22">
        <f>1/(1+x_rm)^(AK$5+2)</f>
        <v/>
      </c>
      <c r="AL305" s="22">
        <f>1/(1+x_rm)^(AL$5+2)</f>
        <v/>
      </c>
    </row>
    <row r="306">
      <c r="B306" s="7" t="inlineStr">
        <is>
          <t>Value on 1 January 2027 of the flows from 2028 (split rates) ($)</t>
        </is>
      </c>
      <c r="C306" s="25">
        <f>SUMPRODUCT($D$298:$AL$298,$D$304:$AL$304)+SUMPRODUCT($D$302:$AL$302,$D$304:$AL$304)-SUMPRODUCT($D$300:$AL$300,$D$304:$AL$304)-SUMPRODUCT($D$301:$AL$301,$D$304:$AL$304)+SUMPRODUCT($D$299:$AL$299,$D$305:$AL$305)-decom_end/(1+x_rc)^(life_years+1)</f>
        <v/>
      </c>
    </row>
    <row r="307">
      <c r="B307" s="14" t="inlineStr">
        <is>
          <t>Development value on 1 January 2027: value less the capital cost ($)</t>
        </is>
      </c>
      <c r="C307" s="26">
        <f>C306-C293/(1+x_rc)</f>
        <v/>
      </c>
    </row>
    <row r="308">
      <c r="B308" s="7" t="inlineStr">
        <is>
          <t>Highest premium Ashgrove can pay at NTP ($)</t>
        </is>
      </c>
      <c r="C308" s="25">
        <f>C307-reimb+reimb/(1+x_rc)</f>
        <v/>
      </c>
    </row>
    <row r="311">
      <c r="B311" s="6" t="inlineStr">
        <is>
          <t>Energy community bonus, case C</t>
        </is>
      </c>
    </row>
    <row r="312">
      <c r="B312" s="7" t="inlineStr">
        <is>
          <t>Capital cost ($)</t>
        </is>
      </c>
      <c r="C312" s="25">
        <f>((x_module+x_tracker+x_bos)*mwdc*1000000+x_inverter*mwac*1000000+x_sub)*(1+contingency)+x_ic+owner</f>
        <v/>
      </c>
    </row>
    <row r="313">
      <c r="B313" s="7" t="inlineStr">
        <is>
          <t>ITC eligible basis ($)</t>
        </is>
      </c>
      <c r="C313" s="25">
        <f>((x_module+x_tracker+x_bos)*mwdc*1000000+x_inverter*mwac*1000000+x_sub)*(1+contingency)-gentie_share*x_sub</f>
        <v/>
      </c>
    </row>
    <row r="314">
      <c r="B314" s="7" t="inlineStr">
        <is>
          <t>ITC cash at the end of 2028, if elected ($)</t>
        </is>
      </c>
      <c r="C314" s="25">
        <f>IF(sw_credit="ITC",C313*(itc_rate+ec_bonus)*transfer_itc,0)</f>
        <v/>
      </c>
    </row>
    <row r="315">
      <c r="B315" s="7" t="inlineStr">
        <is>
          <t>Energy (MWh)</t>
        </is>
      </c>
      <c r="D315" s="23">
        <f>mwac*hours*cf_p50*Energy!D$7*x_scale</f>
        <v/>
      </c>
      <c r="E315" s="23">
        <f>mwac*hours*cf_p50*Energy!E$7*x_scale</f>
        <v/>
      </c>
      <c r="F315" s="23">
        <f>mwac*hours*cf_p50*Energy!F$7*x_scale</f>
        <v/>
      </c>
      <c r="G315" s="23">
        <f>mwac*hours*cf_p50*Energy!G$7*x_scale</f>
        <v/>
      </c>
      <c r="H315" s="23">
        <f>mwac*hours*cf_p50*Energy!H$7*x_scale</f>
        <v/>
      </c>
      <c r="I315" s="23">
        <f>mwac*hours*cf_p50*Energy!I$7*x_scale</f>
        <v/>
      </c>
      <c r="J315" s="23">
        <f>mwac*hours*cf_p50*Energy!J$7*x_scale</f>
        <v/>
      </c>
      <c r="K315" s="23">
        <f>mwac*hours*cf_p50*Energy!K$7*x_scale</f>
        <v/>
      </c>
      <c r="L315" s="23">
        <f>mwac*hours*cf_p50*Energy!L$7*x_scale</f>
        <v/>
      </c>
      <c r="M315" s="23">
        <f>mwac*hours*cf_p50*Energy!M$7*x_scale</f>
        <v/>
      </c>
      <c r="N315" s="23">
        <f>mwac*hours*cf_p50*Energy!N$7*x_scale</f>
        <v/>
      </c>
      <c r="O315" s="23">
        <f>mwac*hours*cf_p50*Energy!O$7*x_scale</f>
        <v/>
      </c>
      <c r="P315" s="23">
        <f>mwac*hours*cf_p50*Energy!P$7*x_scale</f>
        <v/>
      </c>
      <c r="Q315" s="23">
        <f>mwac*hours*cf_p50*Energy!Q$7*x_scale</f>
        <v/>
      </c>
      <c r="R315" s="23">
        <f>mwac*hours*cf_p50*Energy!R$7*x_scale</f>
        <v/>
      </c>
      <c r="S315" s="23">
        <f>mwac*hours*cf_p50*Energy!S$7*x_scale</f>
        <v/>
      </c>
      <c r="T315" s="23">
        <f>mwac*hours*cf_p50*Energy!T$7*x_scale</f>
        <v/>
      </c>
      <c r="U315" s="23">
        <f>mwac*hours*cf_p50*Energy!U$7*x_scale</f>
        <v/>
      </c>
      <c r="V315" s="23">
        <f>mwac*hours*cf_p50*Energy!V$7*x_scale</f>
        <v/>
      </c>
      <c r="W315" s="23">
        <f>mwac*hours*cf_p50*Energy!W$7*x_scale</f>
        <v/>
      </c>
      <c r="X315" s="23">
        <f>mwac*hours*cf_p50*Energy!X$7*x_scale</f>
        <v/>
      </c>
      <c r="Y315" s="23">
        <f>mwac*hours*cf_p50*Energy!Y$7*x_scale</f>
        <v/>
      </c>
      <c r="Z315" s="23">
        <f>mwac*hours*cf_p50*Energy!Z$7*x_scale</f>
        <v/>
      </c>
      <c r="AA315" s="23">
        <f>mwac*hours*cf_p50*Energy!AA$7*x_scale</f>
        <v/>
      </c>
      <c r="AB315" s="23">
        <f>mwac*hours*cf_p50*Energy!AB$7*x_scale</f>
        <v/>
      </c>
      <c r="AC315" s="23">
        <f>mwac*hours*cf_p50*Energy!AC$7*x_scale</f>
        <v/>
      </c>
      <c r="AD315" s="23">
        <f>mwac*hours*cf_p50*Energy!AD$7*x_scale</f>
        <v/>
      </c>
      <c r="AE315" s="23">
        <f>mwac*hours*cf_p50*Energy!AE$7*x_scale</f>
        <v/>
      </c>
      <c r="AF315" s="23">
        <f>mwac*hours*cf_p50*Energy!AF$7*x_scale</f>
        <v/>
      </c>
      <c r="AG315" s="23">
        <f>mwac*hours*cf_p50*Energy!AG$7*x_scale</f>
        <v/>
      </c>
      <c r="AH315" s="23">
        <f>mwac*hours*cf_p50*Energy!AH$7*x_scale</f>
        <v/>
      </c>
      <c r="AI315" s="23">
        <f>mwac*hours*cf_p50*Energy!AI$7*x_scale</f>
        <v/>
      </c>
      <c r="AJ315" s="23">
        <f>mwac*hours*cf_p50*Energy!AJ$7*x_scale</f>
        <v/>
      </c>
      <c r="AK315" s="23">
        <f>mwac*hours*cf_p50*Energy!AK$7*x_scale</f>
        <v/>
      </c>
      <c r="AL315" s="23">
        <f>mwac*hours*cf_p50*Energy!AL$7*x_scale</f>
        <v/>
      </c>
    </row>
    <row r="316">
      <c r="B316" s="7" t="inlineStr">
        <is>
          <t>Node price, hub switch applied ($/MWh)</t>
        </is>
      </c>
      <c r="D316" s="32">
        <f>Market!D$7*(1+sw_hub)*Market!D$8+Market!D$10</f>
        <v/>
      </c>
      <c r="E316" s="32">
        <f>Market!E$7*(1+sw_hub)*Market!E$8+Market!E$10</f>
        <v/>
      </c>
      <c r="F316" s="32">
        <f>Market!F$7*(1+sw_hub)*Market!F$8+Market!F$10</f>
        <v/>
      </c>
      <c r="G316" s="32">
        <f>Market!G$7*(1+sw_hub)*Market!G$8+Market!G$10</f>
        <v/>
      </c>
      <c r="H316" s="32">
        <f>Market!H$7*(1+sw_hub)*Market!H$8+Market!H$10</f>
        <v/>
      </c>
      <c r="I316" s="32">
        <f>Market!I$7*(1+sw_hub)*Market!I$8+Market!I$10</f>
        <v/>
      </c>
      <c r="J316" s="32">
        <f>Market!J$7*(1+sw_hub)*Market!J$8+Market!J$10</f>
        <v/>
      </c>
      <c r="K316" s="32">
        <f>Market!K$7*(1+sw_hub)*Market!K$8+Market!K$10</f>
        <v/>
      </c>
      <c r="L316" s="32">
        <f>Market!L$7*(1+sw_hub)*Market!L$8+Market!L$10</f>
        <v/>
      </c>
      <c r="M316" s="32">
        <f>Market!M$7*(1+sw_hub)*Market!M$8+Market!M$10</f>
        <v/>
      </c>
      <c r="N316" s="32">
        <f>Market!N$7*(1+sw_hub)*Market!N$8+Market!N$10</f>
        <v/>
      </c>
      <c r="O316" s="32">
        <f>Market!O$7*(1+sw_hub)*Market!O$8+Market!O$10</f>
        <v/>
      </c>
      <c r="P316" s="32">
        <f>Market!P$7*(1+sw_hub)*Market!P$8+Market!P$10</f>
        <v/>
      </c>
      <c r="Q316" s="32">
        <f>Market!Q$7*(1+sw_hub)*Market!Q$8+Market!Q$10</f>
        <v/>
      </c>
      <c r="R316" s="32">
        <f>Market!R$7*(1+sw_hub)*Market!R$8+Market!R$10</f>
        <v/>
      </c>
      <c r="S316" s="32">
        <f>Market!S$7*(1+sw_hub)*Market!S$8+Market!S$10</f>
        <v/>
      </c>
      <c r="T316" s="32">
        <f>Market!T$7*(1+sw_hub)*Market!T$8+Market!T$10</f>
        <v/>
      </c>
      <c r="U316" s="32">
        <f>Market!U$7*(1+sw_hub)*Market!U$8+Market!U$10</f>
        <v/>
      </c>
      <c r="V316" s="32">
        <f>Market!V$7*(1+sw_hub)*Market!V$8+Market!V$10</f>
        <v/>
      </c>
      <c r="W316" s="32">
        <f>Market!W$7*(1+sw_hub)*Market!W$8+Market!W$10</f>
        <v/>
      </c>
      <c r="X316" s="32">
        <f>Market!X$7*(1+sw_hub)*Market!X$8+Market!X$10</f>
        <v/>
      </c>
      <c r="Y316" s="32">
        <f>Market!Y$7*(1+sw_hub)*Market!Y$8+Market!Y$10</f>
        <v/>
      </c>
      <c r="Z316" s="32">
        <f>Market!Z$7*(1+sw_hub)*Market!Z$8+Market!Z$10</f>
        <v/>
      </c>
      <c r="AA316" s="32">
        <f>Market!AA$7*(1+sw_hub)*Market!AA$8+Market!AA$10</f>
        <v/>
      </c>
      <c r="AB316" s="32">
        <f>Market!AB$7*(1+sw_hub)*Market!AB$8+Market!AB$10</f>
        <v/>
      </c>
      <c r="AC316" s="32">
        <f>Market!AC$7*(1+sw_hub)*Market!AC$8+Market!AC$10</f>
        <v/>
      </c>
      <c r="AD316" s="32">
        <f>Market!AD$7*(1+sw_hub)*Market!AD$8+Market!AD$10</f>
        <v/>
      </c>
      <c r="AE316" s="32">
        <f>Market!AE$7*(1+sw_hub)*Market!AE$8+Market!AE$10</f>
        <v/>
      </c>
      <c r="AF316" s="32">
        <f>Market!AF$7*(1+sw_hub)*Market!AF$8+Market!AF$10</f>
        <v/>
      </c>
      <c r="AG316" s="32">
        <f>Market!AG$7*(1+sw_hub)*Market!AG$8+Market!AG$10</f>
        <v/>
      </c>
      <c r="AH316" s="32">
        <f>Market!AH$7*(1+sw_hub)*Market!AH$8+Market!AH$10</f>
        <v/>
      </c>
      <c r="AI316" s="32">
        <f>Market!AI$7*(1+sw_hub)*Market!AI$8+Market!AI$10</f>
        <v/>
      </c>
      <c r="AJ316" s="32">
        <f>Market!AJ$7*(1+sw_hub)*Market!AJ$8+Market!AJ$10</f>
        <v/>
      </c>
      <c r="AK316" s="32">
        <f>Market!AK$7*(1+sw_hub)*Market!AK$8+Market!AK$10</f>
        <v/>
      </c>
      <c r="AL316" s="32">
        <f>Market!AL$7*(1+sw_hub)*Market!AL$8+Market!AL$10</f>
        <v/>
      </c>
    </row>
    <row r="317">
      <c r="B317" s="7" t="inlineStr">
        <is>
          <t>Contracted revenue ($)</t>
        </is>
      </c>
      <c r="D317" s="25">
        <f>IF(D$5&lt;c_years,D315*c_price,0)</f>
        <v/>
      </c>
      <c r="E317" s="25">
        <f>IF(E$5&lt;c_years,E315*c_price,0)</f>
        <v/>
      </c>
      <c r="F317" s="25">
        <f>IF(F$5&lt;c_years,F315*c_price,0)</f>
        <v/>
      </c>
      <c r="G317" s="25">
        <f>IF(G$5&lt;c_years,G315*c_price,0)</f>
        <v/>
      </c>
      <c r="H317" s="25">
        <f>IF(H$5&lt;c_years,H315*c_price,0)</f>
        <v/>
      </c>
      <c r="I317" s="25">
        <f>IF(I$5&lt;c_years,I315*c_price,0)</f>
        <v/>
      </c>
      <c r="J317" s="25">
        <f>IF(J$5&lt;c_years,J315*c_price,0)</f>
        <v/>
      </c>
      <c r="K317" s="25">
        <f>IF(K$5&lt;c_years,K315*c_price,0)</f>
        <v/>
      </c>
      <c r="L317" s="25">
        <f>IF(L$5&lt;c_years,L315*c_price,0)</f>
        <v/>
      </c>
      <c r="M317" s="25">
        <f>IF(M$5&lt;c_years,M315*c_price,0)</f>
        <v/>
      </c>
      <c r="N317" s="25">
        <f>IF(N$5&lt;c_years,N315*c_price,0)</f>
        <v/>
      </c>
      <c r="O317" s="25">
        <f>IF(O$5&lt;c_years,O315*c_price,0)</f>
        <v/>
      </c>
      <c r="P317" s="25">
        <f>IF(P$5&lt;c_years,P315*c_price,0)</f>
        <v/>
      </c>
      <c r="Q317" s="25">
        <f>IF(Q$5&lt;c_years,Q315*c_price,0)</f>
        <v/>
      </c>
      <c r="R317" s="25">
        <f>IF(R$5&lt;c_years,R315*c_price,0)</f>
        <v/>
      </c>
      <c r="S317" s="25">
        <f>IF(S$5&lt;c_years,S315*c_price,0)</f>
        <v/>
      </c>
      <c r="T317" s="25">
        <f>IF(T$5&lt;c_years,T315*c_price,0)</f>
        <v/>
      </c>
      <c r="U317" s="25">
        <f>IF(U$5&lt;c_years,U315*c_price,0)</f>
        <v/>
      </c>
      <c r="V317" s="25">
        <f>IF(V$5&lt;c_years,V315*c_price,0)</f>
        <v/>
      </c>
      <c r="W317" s="25">
        <f>IF(W$5&lt;c_years,W315*c_price,0)</f>
        <v/>
      </c>
      <c r="X317" s="25">
        <f>IF(X$5&lt;c_years,X315*c_price,0)</f>
        <v/>
      </c>
      <c r="Y317" s="25">
        <f>IF(Y$5&lt;c_years,Y315*c_price,0)</f>
        <v/>
      </c>
      <c r="Z317" s="25">
        <f>IF(Z$5&lt;c_years,Z315*c_price,0)</f>
        <v/>
      </c>
      <c r="AA317" s="25">
        <f>IF(AA$5&lt;c_years,AA315*c_price,0)</f>
        <v/>
      </c>
      <c r="AB317" s="25">
        <f>IF(AB$5&lt;c_years,AB315*c_price,0)</f>
        <v/>
      </c>
      <c r="AC317" s="25">
        <f>IF(AC$5&lt;c_years,AC315*c_price,0)</f>
        <v/>
      </c>
      <c r="AD317" s="25">
        <f>IF(AD$5&lt;c_years,AD315*c_price,0)</f>
        <v/>
      </c>
      <c r="AE317" s="25">
        <f>IF(AE$5&lt;c_years,AE315*c_price,0)</f>
        <v/>
      </c>
      <c r="AF317" s="25">
        <f>IF(AF$5&lt;c_years,AF315*c_price,0)</f>
        <v/>
      </c>
      <c r="AG317" s="25">
        <f>IF(AG$5&lt;c_years,AG315*c_price,0)</f>
        <v/>
      </c>
      <c r="AH317" s="25">
        <f>IF(AH$5&lt;c_years,AH315*c_price,0)</f>
        <v/>
      </c>
      <c r="AI317" s="25">
        <f>IF(AI$5&lt;c_years,AI315*c_price,0)</f>
        <v/>
      </c>
      <c r="AJ317" s="25">
        <f>IF(AJ$5&lt;c_years,AJ315*c_price,0)</f>
        <v/>
      </c>
      <c r="AK317" s="25">
        <f>IF(AK$5&lt;c_years,AK315*c_price,0)</f>
        <v/>
      </c>
      <c r="AL317" s="25">
        <f>IF(AL$5&lt;c_years,AL315*c_price,0)</f>
        <v/>
      </c>
    </row>
    <row r="318">
      <c r="B318" s="7" t="inlineStr">
        <is>
          <t>Merchant revenue ($)</t>
        </is>
      </c>
      <c r="D318" s="25">
        <f>IF(D$5&lt;c_years,Market!D$13,D315*(D316+rec_price)+Market!D$13)</f>
        <v/>
      </c>
      <c r="E318" s="25">
        <f>IF(E$5&lt;c_years,Market!E$13,E315*(E316+rec_price)+Market!E$13)</f>
        <v/>
      </c>
      <c r="F318" s="25">
        <f>IF(F$5&lt;c_years,Market!F$13,F315*(F316+rec_price)+Market!F$13)</f>
        <v/>
      </c>
      <c r="G318" s="25">
        <f>IF(G$5&lt;c_years,Market!G$13,G315*(G316+rec_price)+Market!G$13)</f>
        <v/>
      </c>
      <c r="H318" s="25">
        <f>IF(H$5&lt;c_years,Market!H$13,H315*(H316+rec_price)+Market!H$13)</f>
        <v/>
      </c>
      <c r="I318" s="25">
        <f>IF(I$5&lt;c_years,Market!I$13,I315*(I316+rec_price)+Market!I$13)</f>
        <v/>
      </c>
      <c r="J318" s="25">
        <f>IF(J$5&lt;c_years,Market!J$13,J315*(J316+rec_price)+Market!J$13)</f>
        <v/>
      </c>
      <c r="K318" s="25">
        <f>IF(K$5&lt;c_years,Market!K$13,K315*(K316+rec_price)+Market!K$13)</f>
        <v/>
      </c>
      <c r="L318" s="25">
        <f>IF(L$5&lt;c_years,Market!L$13,L315*(L316+rec_price)+Market!L$13)</f>
        <v/>
      </c>
      <c r="M318" s="25">
        <f>IF(M$5&lt;c_years,Market!M$13,M315*(M316+rec_price)+Market!M$13)</f>
        <v/>
      </c>
      <c r="N318" s="25">
        <f>IF(N$5&lt;c_years,Market!N$13,N315*(N316+rec_price)+Market!N$13)</f>
        <v/>
      </c>
      <c r="O318" s="25">
        <f>IF(O$5&lt;c_years,Market!O$13,O315*(O316+rec_price)+Market!O$13)</f>
        <v/>
      </c>
      <c r="P318" s="25">
        <f>IF(P$5&lt;c_years,Market!P$13,P315*(P316+rec_price)+Market!P$13)</f>
        <v/>
      </c>
      <c r="Q318" s="25">
        <f>IF(Q$5&lt;c_years,Market!Q$13,Q315*(Q316+rec_price)+Market!Q$13)</f>
        <v/>
      </c>
      <c r="R318" s="25">
        <f>IF(R$5&lt;c_years,Market!R$13,R315*(R316+rec_price)+Market!R$13)</f>
        <v/>
      </c>
      <c r="S318" s="25">
        <f>IF(S$5&lt;c_years,Market!S$13,S315*(S316+rec_price)+Market!S$13)</f>
        <v/>
      </c>
      <c r="T318" s="25">
        <f>IF(T$5&lt;c_years,Market!T$13,T315*(T316+rec_price)+Market!T$13)</f>
        <v/>
      </c>
      <c r="U318" s="25">
        <f>IF(U$5&lt;c_years,Market!U$13,U315*(U316+rec_price)+Market!U$13)</f>
        <v/>
      </c>
      <c r="V318" s="25">
        <f>IF(V$5&lt;c_years,Market!V$13,V315*(V316+rec_price)+Market!V$13)</f>
        <v/>
      </c>
      <c r="W318" s="25">
        <f>IF(W$5&lt;c_years,Market!W$13,W315*(W316+rec_price)+Market!W$13)</f>
        <v/>
      </c>
      <c r="X318" s="25">
        <f>IF(X$5&lt;c_years,Market!X$13,X315*(X316+rec_price)+Market!X$13)</f>
        <v/>
      </c>
      <c r="Y318" s="25">
        <f>IF(Y$5&lt;c_years,Market!Y$13,Y315*(Y316+rec_price)+Market!Y$13)</f>
        <v/>
      </c>
      <c r="Z318" s="25">
        <f>IF(Z$5&lt;c_years,Market!Z$13,Z315*(Z316+rec_price)+Market!Z$13)</f>
        <v/>
      </c>
      <c r="AA318" s="25">
        <f>IF(AA$5&lt;c_years,Market!AA$13,AA315*(AA316+rec_price)+Market!AA$13)</f>
        <v/>
      </c>
      <c r="AB318" s="25">
        <f>IF(AB$5&lt;c_years,Market!AB$13,AB315*(AB316+rec_price)+Market!AB$13)</f>
        <v/>
      </c>
      <c r="AC318" s="25">
        <f>IF(AC$5&lt;c_years,Market!AC$13,AC315*(AC316+rec_price)+Market!AC$13)</f>
        <v/>
      </c>
      <c r="AD318" s="25">
        <f>IF(AD$5&lt;c_years,Market!AD$13,AD315*(AD316+rec_price)+Market!AD$13)</f>
        <v/>
      </c>
      <c r="AE318" s="25">
        <f>IF(AE$5&lt;c_years,Market!AE$13,AE315*(AE316+rec_price)+Market!AE$13)</f>
        <v/>
      </c>
      <c r="AF318" s="25">
        <f>IF(AF$5&lt;c_years,Market!AF$13,AF315*(AF316+rec_price)+Market!AF$13)</f>
        <v/>
      </c>
      <c r="AG318" s="25">
        <f>IF(AG$5&lt;c_years,Market!AG$13,AG315*(AG316+rec_price)+Market!AG$13)</f>
        <v/>
      </c>
      <c r="AH318" s="25">
        <f>IF(AH$5&lt;c_years,Market!AH$13,AH315*(AH316+rec_price)+Market!AH$13)</f>
        <v/>
      </c>
      <c r="AI318" s="25">
        <f>IF(AI$5&lt;c_years,Market!AI$13,AI315*(AI316+rec_price)+Market!AI$13)</f>
        <v/>
      </c>
      <c r="AJ318" s="25">
        <f>IF(AJ$5&lt;c_years,Market!AJ$13,AJ315*(AJ316+rec_price)+Market!AJ$13)</f>
        <v/>
      </c>
      <c r="AK318" s="25">
        <f>IF(AK$5&lt;c_years,Market!AK$13,AK315*(AK316+rec_price)+Market!AK$13)</f>
        <v/>
      </c>
      <c r="AL318" s="25">
        <f>IF(AL$5&lt;c_years,Market!AL$13,AL315*(AL316+rec_price)+Market!AL$13)</f>
        <v/>
      </c>
    </row>
    <row r="319">
      <c r="B319" s="7" t="inlineStr">
        <is>
          <t>Basis cost kept by the project ($)</t>
        </is>
      </c>
      <c r="D319" s="25">
        <f>IF(D$5&lt;c_years,-D315*Market!D$10,0)</f>
        <v/>
      </c>
      <c r="E319" s="25">
        <f>IF(E$5&lt;c_years,-E315*Market!E$10,0)</f>
        <v/>
      </c>
      <c r="F319" s="25">
        <f>IF(F$5&lt;c_years,-F315*Market!F$10,0)</f>
        <v/>
      </c>
      <c r="G319" s="25">
        <f>IF(G$5&lt;c_years,-G315*Market!G$10,0)</f>
        <v/>
      </c>
      <c r="H319" s="25">
        <f>IF(H$5&lt;c_years,-H315*Market!H$10,0)</f>
        <v/>
      </c>
      <c r="I319" s="25">
        <f>IF(I$5&lt;c_years,-I315*Market!I$10,0)</f>
        <v/>
      </c>
      <c r="J319" s="25">
        <f>IF(J$5&lt;c_years,-J315*Market!J$10,0)</f>
        <v/>
      </c>
      <c r="K319" s="25">
        <f>IF(K$5&lt;c_years,-K315*Market!K$10,0)</f>
        <v/>
      </c>
      <c r="L319" s="25">
        <f>IF(L$5&lt;c_years,-L315*Market!L$10,0)</f>
        <v/>
      </c>
      <c r="M319" s="25">
        <f>IF(M$5&lt;c_years,-M315*Market!M$10,0)</f>
        <v/>
      </c>
      <c r="N319" s="25">
        <f>IF(N$5&lt;c_years,-N315*Market!N$10,0)</f>
        <v/>
      </c>
      <c r="O319" s="25">
        <f>IF(O$5&lt;c_years,-O315*Market!O$10,0)</f>
        <v/>
      </c>
      <c r="P319" s="25">
        <f>IF(P$5&lt;c_years,-P315*Market!P$10,0)</f>
        <v/>
      </c>
      <c r="Q319" s="25">
        <f>IF(Q$5&lt;c_years,-Q315*Market!Q$10,0)</f>
        <v/>
      </c>
      <c r="R319" s="25">
        <f>IF(R$5&lt;c_years,-R315*Market!R$10,0)</f>
        <v/>
      </c>
      <c r="S319" s="25">
        <f>IF(S$5&lt;c_years,-S315*Market!S$10,0)</f>
        <v/>
      </c>
      <c r="T319" s="25">
        <f>IF(T$5&lt;c_years,-T315*Market!T$10,0)</f>
        <v/>
      </c>
      <c r="U319" s="25">
        <f>IF(U$5&lt;c_years,-U315*Market!U$10,0)</f>
        <v/>
      </c>
      <c r="V319" s="25">
        <f>IF(V$5&lt;c_years,-V315*Market!V$10,0)</f>
        <v/>
      </c>
      <c r="W319" s="25">
        <f>IF(W$5&lt;c_years,-W315*Market!W$10,0)</f>
        <v/>
      </c>
      <c r="X319" s="25">
        <f>IF(X$5&lt;c_years,-X315*Market!X$10,0)</f>
        <v/>
      </c>
      <c r="Y319" s="25">
        <f>IF(Y$5&lt;c_years,-Y315*Market!Y$10,0)</f>
        <v/>
      </c>
      <c r="Z319" s="25">
        <f>IF(Z$5&lt;c_years,-Z315*Market!Z$10,0)</f>
        <v/>
      </c>
      <c r="AA319" s="25">
        <f>IF(AA$5&lt;c_years,-AA315*Market!AA$10,0)</f>
        <v/>
      </c>
      <c r="AB319" s="25">
        <f>IF(AB$5&lt;c_years,-AB315*Market!AB$10,0)</f>
        <v/>
      </c>
      <c r="AC319" s="25">
        <f>IF(AC$5&lt;c_years,-AC315*Market!AC$10,0)</f>
        <v/>
      </c>
      <c r="AD319" s="25">
        <f>IF(AD$5&lt;c_years,-AD315*Market!AD$10,0)</f>
        <v/>
      </c>
      <c r="AE319" s="25">
        <f>IF(AE$5&lt;c_years,-AE315*Market!AE$10,0)</f>
        <v/>
      </c>
      <c r="AF319" s="25">
        <f>IF(AF$5&lt;c_years,-AF315*Market!AF$10,0)</f>
        <v/>
      </c>
      <c r="AG319" s="25">
        <f>IF(AG$5&lt;c_years,-AG315*Market!AG$10,0)</f>
        <v/>
      </c>
      <c r="AH319" s="25">
        <f>IF(AH$5&lt;c_years,-AH315*Market!AH$10,0)</f>
        <v/>
      </c>
      <c r="AI319" s="25">
        <f>IF(AI$5&lt;c_years,-AI315*Market!AI$10,0)</f>
        <v/>
      </c>
      <c r="AJ319" s="25">
        <f>IF(AJ$5&lt;c_years,-AJ315*Market!AJ$10,0)</f>
        <v/>
      </c>
      <c r="AK319" s="25">
        <f>IF(AK$5&lt;c_years,-AK315*Market!AK$10,0)</f>
        <v/>
      </c>
      <c r="AL319" s="25">
        <f>IF(AL$5&lt;c_years,-AL315*Market!AL$10,0)</f>
        <v/>
      </c>
    </row>
    <row r="320">
      <c r="B320" s="7" t="inlineStr">
        <is>
          <t>Operating cost ($)</t>
        </is>
      </c>
      <c r="D320" s="25">
        <f>(om_kw*mwac*1000+ins_rate*$C$312+am_cost+prop_tax+misc_cost)*Opex!D$7+rent_acre*acres_lease*Opex!D$8</f>
        <v/>
      </c>
      <c r="E320" s="25">
        <f>(om_kw*mwac*1000+ins_rate*$C$312+am_cost+prop_tax+misc_cost)*Opex!E$7+rent_acre*acres_lease*Opex!E$8</f>
        <v/>
      </c>
      <c r="F320" s="25">
        <f>(om_kw*mwac*1000+ins_rate*$C$312+am_cost+prop_tax+misc_cost)*Opex!F$7+rent_acre*acres_lease*Opex!F$8</f>
        <v/>
      </c>
      <c r="G320" s="25">
        <f>(om_kw*mwac*1000+ins_rate*$C$312+am_cost+prop_tax+misc_cost)*Opex!G$7+rent_acre*acres_lease*Opex!G$8</f>
        <v/>
      </c>
      <c r="H320" s="25">
        <f>(om_kw*mwac*1000+ins_rate*$C$312+am_cost+prop_tax+misc_cost)*Opex!H$7+rent_acre*acres_lease*Opex!H$8</f>
        <v/>
      </c>
      <c r="I320" s="25">
        <f>(om_kw*mwac*1000+ins_rate*$C$312+am_cost+prop_tax+misc_cost)*Opex!I$7+rent_acre*acres_lease*Opex!I$8</f>
        <v/>
      </c>
      <c r="J320" s="25">
        <f>(om_kw*mwac*1000+ins_rate*$C$312+am_cost+prop_tax+misc_cost)*Opex!J$7+rent_acre*acres_lease*Opex!J$8</f>
        <v/>
      </c>
      <c r="K320" s="25">
        <f>(om_kw*mwac*1000+ins_rate*$C$312+am_cost+prop_tax+misc_cost)*Opex!K$7+rent_acre*acres_lease*Opex!K$8</f>
        <v/>
      </c>
      <c r="L320" s="25">
        <f>(om_kw*mwac*1000+ins_rate*$C$312+am_cost+prop_tax+misc_cost)*Opex!L$7+rent_acre*acres_lease*Opex!L$8</f>
        <v/>
      </c>
      <c r="M320" s="25">
        <f>(om_kw*mwac*1000+ins_rate*$C$312+am_cost+prop_tax+misc_cost)*Opex!M$7+rent_acre*acres_lease*Opex!M$8</f>
        <v/>
      </c>
      <c r="N320" s="25">
        <f>(om_kw*mwac*1000+ins_rate*$C$312+am_cost+prop_tax+misc_cost)*Opex!N$7+rent_acre*acres_lease*Opex!N$8</f>
        <v/>
      </c>
      <c r="O320" s="25">
        <f>(om_kw*mwac*1000+ins_rate*$C$312+am_cost+prop_tax+misc_cost)*Opex!O$7+rent_acre*acres_lease*Opex!O$8</f>
        <v/>
      </c>
      <c r="P320" s="25">
        <f>(om_kw*mwac*1000+ins_rate*$C$312+am_cost+prop_tax+misc_cost)*Opex!P$7+rent_acre*acres_lease*Opex!P$8</f>
        <v/>
      </c>
      <c r="Q320" s="25">
        <f>(om_kw*mwac*1000+ins_rate*$C$312+am_cost+prop_tax+misc_cost)*Opex!Q$7+rent_acre*acres_lease*Opex!Q$8</f>
        <v/>
      </c>
      <c r="R320" s="25">
        <f>(om_kw*mwac*1000+ins_rate*$C$312+am_cost+prop_tax+misc_cost)*Opex!R$7+rent_acre*acres_lease*Opex!R$8</f>
        <v/>
      </c>
      <c r="S320" s="25">
        <f>(om_kw*mwac*1000+ins_rate*$C$312+am_cost+prop_tax+misc_cost)*Opex!S$7+rent_acre*acres_lease*Opex!S$8</f>
        <v/>
      </c>
      <c r="T320" s="25">
        <f>(om_kw*mwac*1000+ins_rate*$C$312+am_cost+prop_tax+misc_cost)*Opex!T$7+rent_acre*acres_lease*Opex!T$8</f>
        <v/>
      </c>
      <c r="U320" s="25">
        <f>(om_kw*mwac*1000+ins_rate*$C$312+am_cost+prop_tax+misc_cost)*Opex!U$7+rent_acre*acres_lease*Opex!U$8</f>
        <v/>
      </c>
      <c r="V320" s="25">
        <f>(om_kw*mwac*1000+ins_rate*$C$312+am_cost+prop_tax+misc_cost)*Opex!V$7+rent_acre*acres_lease*Opex!V$8</f>
        <v/>
      </c>
      <c r="W320" s="25">
        <f>(om_kw*mwac*1000+ins_rate*$C$312+am_cost+prop_tax+misc_cost)*Opex!W$7+rent_acre*acres_lease*Opex!W$8</f>
        <v/>
      </c>
      <c r="X320" s="25">
        <f>(om_kw*mwac*1000+ins_rate*$C$312+am_cost+prop_tax+misc_cost)*Opex!X$7+rent_acre*acres_lease*Opex!X$8</f>
        <v/>
      </c>
      <c r="Y320" s="25">
        <f>(om_kw*mwac*1000+ins_rate*$C$312+am_cost+prop_tax+misc_cost)*Opex!Y$7+rent_acre*acres_lease*Opex!Y$8</f>
        <v/>
      </c>
      <c r="Z320" s="25">
        <f>(om_kw*mwac*1000+ins_rate*$C$312+am_cost+prop_tax+misc_cost)*Opex!Z$7+rent_acre*acres_lease*Opex!Z$8</f>
        <v/>
      </c>
      <c r="AA320" s="25">
        <f>(om_kw*mwac*1000+ins_rate*$C$312+am_cost+prop_tax+misc_cost)*Opex!AA$7+rent_acre*acres_lease*Opex!AA$8</f>
        <v/>
      </c>
      <c r="AB320" s="25">
        <f>(om_kw*mwac*1000+ins_rate*$C$312+am_cost+prop_tax+misc_cost)*Opex!AB$7+rent_acre*acres_lease*Opex!AB$8</f>
        <v/>
      </c>
      <c r="AC320" s="25">
        <f>(om_kw*mwac*1000+ins_rate*$C$312+am_cost+prop_tax+misc_cost)*Opex!AC$7+rent_acre*acres_lease*Opex!AC$8</f>
        <v/>
      </c>
      <c r="AD320" s="25">
        <f>(om_kw*mwac*1000+ins_rate*$C$312+am_cost+prop_tax+misc_cost)*Opex!AD$7+rent_acre*acres_lease*Opex!AD$8</f>
        <v/>
      </c>
      <c r="AE320" s="25">
        <f>(om_kw*mwac*1000+ins_rate*$C$312+am_cost+prop_tax+misc_cost)*Opex!AE$7+rent_acre*acres_lease*Opex!AE$8</f>
        <v/>
      </c>
      <c r="AF320" s="25">
        <f>(om_kw*mwac*1000+ins_rate*$C$312+am_cost+prop_tax+misc_cost)*Opex!AF$7+rent_acre*acres_lease*Opex!AF$8</f>
        <v/>
      </c>
      <c r="AG320" s="25">
        <f>(om_kw*mwac*1000+ins_rate*$C$312+am_cost+prop_tax+misc_cost)*Opex!AG$7+rent_acre*acres_lease*Opex!AG$8</f>
        <v/>
      </c>
      <c r="AH320" s="25">
        <f>(om_kw*mwac*1000+ins_rate*$C$312+am_cost+prop_tax+misc_cost)*Opex!AH$7+rent_acre*acres_lease*Opex!AH$8</f>
        <v/>
      </c>
      <c r="AI320" s="25">
        <f>(om_kw*mwac*1000+ins_rate*$C$312+am_cost+prop_tax+misc_cost)*Opex!AI$7+rent_acre*acres_lease*Opex!AI$8</f>
        <v/>
      </c>
      <c r="AJ320" s="25">
        <f>(om_kw*mwac*1000+ins_rate*$C$312+am_cost+prop_tax+misc_cost)*Opex!AJ$7+rent_acre*acres_lease*Opex!AJ$8</f>
        <v/>
      </c>
      <c r="AK320" s="25">
        <f>(om_kw*mwac*1000+ins_rate*$C$312+am_cost+prop_tax+misc_cost)*Opex!AK$7+rent_acre*acres_lease*Opex!AK$8</f>
        <v/>
      </c>
      <c r="AL320" s="25">
        <f>(om_kw*mwac*1000+ins_rate*$C$312+am_cost+prop_tax+misc_cost)*Opex!AL$7+rent_acre*acres_lease*Opex!AL$8</f>
        <v/>
      </c>
    </row>
    <row r="321">
      <c r="B321" s="7" t="inlineStr">
        <is>
          <t>Credit cash ($)</t>
        </is>
      </c>
      <c r="D321" s="25">
        <f>IF(sw_credit="PTC",IF(D$5&lt;ptc_years,D315*Credits!D$8*(1+ec_bonus)*transfer_ptc,0),0)+IF(D$5=0,$C$314,0)</f>
        <v/>
      </c>
      <c r="E321" s="25">
        <f>IF(sw_credit="PTC",IF(E$5&lt;ptc_years,E315*Credits!E$8*(1+ec_bonus)*transfer_ptc,0),0)+IF(E$5=0,$C$314,0)</f>
        <v/>
      </c>
      <c r="F321" s="25">
        <f>IF(sw_credit="PTC",IF(F$5&lt;ptc_years,F315*Credits!F$8*(1+ec_bonus)*transfer_ptc,0),0)+IF(F$5=0,$C$314,0)</f>
        <v/>
      </c>
      <c r="G321" s="25">
        <f>IF(sw_credit="PTC",IF(G$5&lt;ptc_years,G315*Credits!G$8*(1+ec_bonus)*transfer_ptc,0),0)+IF(G$5=0,$C$314,0)</f>
        <v/>
      </c>
      <c r="H321" s="25">
        <f>IF(sw_credit="PTC",IF(H$5&lt;ptc_years,H315*Credits!H$8*(1+ec_bonus)*transfer_ptc,0),0)+IF(H$5=0,$C$314,0)</f>
        <v/>
      </c>
      <c r="I321" s="25">
        <f>IF(sw_credit="PTC",IF(I$5&lt;ptc_years,I315*Credits!I$8*(1+ec_bonus)*transfer_ptc,0),0)+IF(I$5=0,$C$314,0)</f>
        <v/>
      </c>
      <c r="J321" s="25">
        <f>IF(sw_credit="PTC",IF(J$5&lt;ptc_years,J315*Credits!J$8*(1+ec_bonus)*transfer_ptc,0),0)+IF(J$5=0,$C$314,0)</f>
        <v/>
      </c>
      <c r="K321" s="25">
        <f>IF(sw_credit="PTC",IF(K$5&lt;ptc_years,K315*Credits!K$8*(1+ec_bonus)*transfer_ptc,0),0)+IF(K$5=0,$C$314,0)</f>
        <v/>
      </c>
      <c r="L321" s="25">
        <f>IF(sw_credit="PTC",IF(L$5&lt;ptc_years,L315*Credits!L$8*(1+ec_bonus)*transfer_ptc,0),0)+IF(L$5=0,$C$314,0)</f>
        <v/>
      </c>
      <c r="M321" s="25">
        <f>IF(sw_credit="PTC",IF(M$5&lt;ptc_years,M315*Credits!M$8*(1+ec_bonus)*transfer_ptc,0),0)+IF(M$5=0,$C$314,0)</f>
        <v/>
      </c>
      <c r="N321" s="25">
        <f>IF(sw_credit="PTC",IF(N$5&lt;ptc_years,N315*Credits!N$8*(1+ec_bonus)*transfer_ptc,0),0)+IF(N$5=0,$C$314,0)</f>
        <v/>
      </c>
      <c r="O321" s="25">
        <f>IF(sw_credit="PTC",IF(O$5&lt;ptc_years,O315*Credits!O$8*(1+ec_bonus)*transfer_ptc,0),0)+IF(O$5=0,$C$314,0)</f>
        <v/>
      </c>
      <c r="P321" s="25">
        <f>IF(sw_credit="PTC",IF(P$5&lt;ptc_years,P315*Credits!P$8*(1+ec_bonus)*transfer_ptc,0),0)+IF(P$5=0,$C$314,0)</f>
        <v/>
      </c>
      <c r="Q321" s="25">
        <f>IF(sw_credit="PTC",IF(Q$5&lt;ptc_years,Q315*Credits!Q$8*(1+ec_bonus)*transfer_ptc,0),0)+IF(Q$5=0,$C$314,0)</f>
        <v/>
      </c>
      <c r="R321" s="25">
        <f>IF(sw_credit="PTC",IF(R$5&lt;ptc_years,R315*Credits!R$8*(1+ec_bonus)*transfer_ptc,0),0)+IF(R$5=0,$C$314,0)</f>
        <v/>
      </c>
      <c r="S321" s="25">
        <f>IF(sw_credit="PTC",IF(S$5&lt;ptc_years,S315*Credits!S$8*(1+ec_bonus)*transfer_ptc,0),0)+IF(S$5=0,$C$314,0)</f>
        <v/>
      </c>
      <c r="T321" s="25">
        <f>IF(sw_credit="PTC",IF(T$5&lt;ptc_years,T315*Credits!T$8*(1+ec_bonus)*transfer_ptc,0),0)+IF(T$5=0,$C$314,0)</f>
        <v/>
      </c>
      <c r="U321" s="25">
        <f>IF(sw_credit="PTC",IF(U$5&lt;ptc_years,U315*Credits!U$8*(1+ec_bonus)*transfer_ptc,0),0)+IF(U$5=0,$C$314,0)</f>
        <v/>
      </c>
      <c r="V321" s="25">
        <f>IF(sw_credit="PTC",IF(V$5&lt;ptc_years,V315*Credits!V$8*(1+ec_bonus)*transfer_ptc,0),0)+IF(V$5=0,$C$314,0)</f>
        <v/>
      </c>
      <c r="W321" s="25">
        <f>IF(sw_credit="PTC",IF(W$5&lt;ptc_years,W315*Credits!W$8*(1+ec_bonus)*transfer_ptc,0),0)+IF(W$5=0,$C$314,0)</f>
        <v/>
      </c>
      <c r="X321" s="25">
        <f>IF(sw_credit="PTC",IF(X$5&lt;ptc_years,X315*Credits!X$8*(1+ec_bonus)*transfer_ptc,0),0)+IF(X$5=0,$C$314,0)</f>
        <v/>
      </c>
      <c r="Y321" s="25">
        <f>IF(sw_credit="PTC",IF(Y$5&lt;ptc_years,Y315*Credits!Y$8*(1+ec_bonus)*transfer_ptc,0),0)+IF(Y$5=0,$C$314,0)</f>
        <v/>
      </c>
      <c r="Z321" s="25">
        <f>IF(sw_credit="PTC",IF(Z$5&lt;ptc_years,Z315*Credits!Z$8*(1+ec_bonus)*transfer_ptc,0),0)+IF(Z$5=0,$C$314,0)</f>
        <v/>
      </c>
      <c r="AA321" s="25">
        <f>IF(sw_credit="PTC",IF(AA$5&lt;ptc_years,AA315*Credits!AA$8*(1+ec_bonus)*transfer_ptc,0),0)+IF(AA$5=0,$C$314,0)</f>
        <v/>
      </c>
      <c r="AB321" s="25">
        <f>IF(sw_credit="PTC",IF(AB$5&lt;ptc_years,AB315*Credits!AB$8*(1+ec_bonus)*transfer_ptc,0),0)+IF(AB$5=0,$C$314,0)</f>
        <v/>
      </c>
      <c r="AC321" s="25">
        <f>IF(sw_credit="PTC",IF(AC$5&lt;ptc_years,AC315*Credits!AC$8*(1+ec_bonus)*transfer_ptc,0),0)+IF(AC$5=0,$C$314,0)</f>
        <v/>
      </c>
      <c r="AD321" s="25">
        <f>IF(sw_credit="PTC",IF(AD$5&lt;ptc_years,AD315*Credits!AD$8*(1+ec_bonus)*transfer_ptc,0),0)+IF(AD$5=0,$C$314,0)</f>
        <v/>
      </c>
      <c r="AE321" s="25">
        <f>IF(sw_credit="PTC",IF(AE$5&lt;ptc_years,AE315*Credits!AE$8*(1+ec_bonus)*transfer_ptc,0),0)+IF(AE$5=0,$C$314,0)</f>
        <v/>
      </c>
      <c r="AF321" s="25">
        <f>IF(sw_credit="PTC",IF(AF$5&lt;ptc_years,AF315*Credits!AF$8*(1+ec_bonus)*transfer_ptc,0),0)+IF(AF$5=0,$C$314,0)</f>
        <v/>
      </c>
      <c r="AG321" s="25">
        <f>IF(sw_credit="PTC",IF(AG$5&lt;ptc_years,AG315*Credits!AG$8*(1+ec_bonus)*transfer_ptc,0),0)+IF(AG$5=0,$C$314,0)</f>
        <v/>
      </c>
      <c r="AH321" s="25">
        <f>IF(sw_credit="PTC",IF(AH$5&lt;ptc_years,AH315*Credits!AH$8*(1+ec_bonus)*transfer_ptc,0),0)+IF(AH$5=0,$C$314,0)</f>
        <v/>
      </c>
      <c r="AI321" s="25">
        <f>IF(sw_credit="PTC",IF(AI$5&lt;ptc_years,AI315*Credits!AI$8*(1+ec_bonus)*transfer_ptc,0),0)+IF(AI$5=0,$C$314,0)</f>
        <v/>
      </c>
      <c r="AJ321" s="25">
        <f>IF(sw_credit="PTC",IF(AJ$5&lt;ptc_years,AJ315*Credits!AJ$8*(1+ec_bonus)*transfer_ptc,0),0)+IF(AJ$5=0,$C$314,0)</f>
        <v/>
      </c>
      <c r="AK321" s="25">
        <f>IF(sw_credit="PTC",IF(AK$5&lt;ptc_years,AK315*Credits!AK$8*(1+ec_bonus)*transfer_ptc,0),0)+IF(AK$5=0,$C$314,0)</f>
        <v/>
      </c>
      <c r="AL321" s="25">
        <f>IF(sw_credit="PTC",IF(AL$5&lt;ptc_years,AL315*Credits!AL$8*(1+ec_bonus)*transfer_ptc,0),0)+IF(AL$5=0,$C$314,0)</f>
        <v/>
      </c>
    </row>
    <row r="322">
      <c r="B322" s="14" t="inlineStr">
        <is>
          <t>EBITDA ($)</t>
        </is>
      </c>
      <c r="D322" s="26">
        <f>D317+D318-D319-D320</f>
        <v/>
      </c>
      <c r="E322" s="26">
        <f>E317+E318-E319-E320</f>
        <v/>
      </c>
      <c r="F322" s="26">
        <f>F317+F318-F319-F320</f>
        <v/>
      </c>
      <c r="G322" s="26">
        <f>G317+G318-G319-G320</f>
        <v/>
      </c>
      <c r="H322" s="26">
        <f>H317+H318-H319-H320</f>
        <v/>
      </c>
      <c r="I322" s="26">
        <f>I317+I318-I319-I320</f>
        <v/>
      </c>
      <c r="J322" s="26">
        <f>J317+J318-J319-J320</f>
        <v/>
      </c>
      <c r="K322" s="26">
        <f>K317+K318-K319-K320</f>
        <v/>
      </c>
      <c r="L322" s="26">
        <f>L317+L318-L319-L320</f>
        <v/>
      </c>
      <c r="M322" s="26">
        <f>M317+M318-M319-M320</f>
        <v/>
      </c>
      <c r="N322" s="26">
        <f>N317+N318-N319-N320</f>
        <v/>
      </c>
      <c r="O322" s="26">
        <f>O317+O318-O319-O320</f>
        <v/>
      </c>
      <c r="P322" s="26">
        <f>P317+P318-P319-P320</f>
        <v/>
      </c>
      <c r="Q322" s="26">
        <f>Q317+Q318-Q319-Q320</f>
        <v/>
      </c>
      <c r="R322" s="26">
        <f>R317+R318-R319-R320</f>
        <v/>
      </c>
      <c r="S322" s="26">
        <f>S317+S318-S319-S320</f>
        <v/>
      </c>
      <c r="T322" s="26">
        <f>T317+T318-T319-T320</f>
        <v/>
      </c>
      <c r="U322" s="26">
        <f>U317+U318-U319-U320</f>
        <v/>
      </c>
      <c r="V322" s="26">
        <f>V317+V318-V319-V320</f>
        <v/>
      </c>
      <c r="W322" s="26">
        <f>W317+W318-W319-W320</f>
        <v/>
      </c>
      <c r="X322" s="26">
        <f>X317+X318-X319-X320</f>
        <v/>
      </c>
      <c r="Y322" s="26">
        <f>Y317+Y318-Y319-Y320</f>
        <v/>
      </c>
      <c r="Z322" s="26">
        <f>Z317+Z318-Z319-Z320</f>
        <v/>
      </c>
      <c r="AA322" s="26">
        <f>AA317+AA318-AA319-AA320</f>
        <v/>
      </c>
      <c r="AB322" s="26">
        <f>AB317+AB318-AB319-AB320</f>
        <v/>
      </c>
      <c r="AC322" s="26">
        <f>AC317+AC318-AC319-AC320</f>
        <v/>
      </c>
      <c r="AD322" s="26">
        <f>AD317+AD318-AD319-AD320</f>
        <v/>
      </c>
      <c r="AE322" s="26">
        <f>AE317+AE318-AE319-AE320</f>
        <v/>
      </c>
      <c r="AF322" s="26">
        <f>AF317+AF318-AF319-AF320</f>
        <v/>
      </c>
      <c r="AG322" s="26">
        <f>AG317+AG318-AG319-AG320</f>
        <v/>
      </c>
      <c r="AH322" s="26">
        <f>AH317+AH318-AH319-AH320</f>
        <v/>
      </c>
      <c r="AI322" s="26">
        <f>AI317+AI318-AI319-AI320</f>
        <v/>
      </c>
      <c r="AJ322" s="26">
        <f>AJ317+AJ318-AJ319-AJ320</f>
        <v/>
      </c>
      <c r="AK322" s="26">
        <f>AK317+AK318-AK319-AK320</f>
        <v/>
      </c>
      <c r="AL322" s="26">
        <f>AL317+AL318-AL319-AL320</f>
        <v/>
      </c>
    </row>
    <row r="323">
      <c r="B323" s="7" t="inlineStr">
        <is>
          <t>Discount factor to 1 January 2027, contracted rate</t>
        </is>
      </c>
      <c r="D323" s="22">
        <f>1/(1+x_rc)^(D$5+2)</f>
        <v/>
      </c>
      <c r="E323" s="22">
        <f>1/(1+x_rc)^(E$5+2)</f>
        <v/>
      </c>
      <c r="F323" s="22">
        <f>1/(1+x_rc)^(F$5+2)</f>
        <v/>
      </c>
      <c r="G323" s="22">
        <f>1/(1+x_rc)^(G$5+2)</f>
        <v/>
      </c>
      <c r="H323" s="22">
        <f>1/(1+x_rc)^(H$5+2)</f>
        <v/>
      </c>
      <c r="I323" s="22">
        <f>1/(1+x_rc)^(I$5+2)</f>
        <v/>
      </c>
      <c r="J323" s="22">
        <f>1/(1+x_rc)^(J$5+2)</f>
        <v/>
      </c>
      <c r="K323" s="22">
        <f>1/(1+x_rc)^(K$5+2)</f>
        <v/>
      </c>
      <c r="L323" s="22">
        <f>1/(1+x_rc)^(L$5+2)</f>
        <v/>
      </c>
      <c r="M323" s="22">
        <f>1/(1+x_rc)^(M$5+2)</f>
        <v/>
      </c>
      <c r="N323" s="22">
        <f>1/(1+x_rc)^(N$5+2)</f>
        <v/>
      </c>
      <c r="O323" s="22">
        <f>1/(1+x_rc)^(O$5+2)</f>
        <v/>
      </c>
      <c r="P323" s="22">
        <f>1/(1+x_rc)^(P$5+2)</f>
        <v/>
      </c>
      <c r="Q323" s="22">
        <f>1/(1+x_rc)^(Q$5+2)</f>
        <v/>
      </c>
      <c r="R323" s="22">
        <f>1/(1+x_rc)^(R$5+2)</f>
        <v/>
      </c>
      <c r="S323" s="22">
        <f>1/(1+x_rc)^(S$5+2)</f>
        <v/>
      </c>
      <c r="T323" s="22">
        <f>1/(1+x_rc)^(T$5+2)</f>
        <v/>
      </c>
      <c r="U323" s="22">
        <f>1/(1+x_rc)^(U$5+2)</f>
        <v/>
      </c>
      <c r="V323" s="22">
        <f>1/(1+x_rc)^(V$5+2)</f>
        <v/>
      </c>
      <c r="W323" s="22">
        <f>1/(1+x_rc)^(W$5+2)</f>
        <v/>
      </c>
      <c r="X323" s="22">
        <f>1/(1+x_rc)^(X$5+2)</f>
        <v/>
      </c>
      <c r="Y323" s="22">
        <f>1/(1+x_rc)^(Y$5+2)</f>
        <v/>
      </c>
      <c r="Z323" s="22">
        <f>1/(1+x_rc)^(Z$5+2)</f>
        <v/>
      </c>
      <c r="AA323" s="22">
        <f>1/(1+x_rc)^(AA$5+2)</f>
        <v/>
      </c>
      <c r="AB323" s="22">
        <f>1/(1+x_rc)^(AB$5+2)</f>
        <v/>
      </c>
      <c r="AC323" s="22">
        <f>1/(1+x_rc)^(AC$5+2)</f>
        <v/>
      </c>
      <c r="AD323" s="22">
        <f>1/(1+x_rc)^(AD$5+2)</f>
        <v/>
      </c>
      <c r="AE323" s="22">
        <f>1/(1+x_rc)^(AE$5+2)</f>
        <v/>
      </c>
      <c r="AF323" s="22">
        <f>1/(1+x_rc)^(AF$5+2)</f>
        <v/>
      </c>
      <c r="AG323" s="22">
        <f>1/(1+x_rc)^(AG$5+2)</f>
        <v/>
      </c>
      <c r="AH323" s="22">
        <f>1/(1+x_rc)^(AH$5+2)</f>
        <v/>
      </c>
      <c r="AI323" s="22">
        <f>1/(1+x_rc)^(AI$5+2)</f>
        <v/>
      </c>
      <c r="AJ323" s="22">
        <f>1/(1+x_rc)^(AJ$5+2)</f>
        <v/>
      </c>
      <c r="AK323" s="22">
        <f>1/(1+x_rc)^(AK$5+2)</f>
        <v/>
      </c>
      <c r="AL323" s="22">
        <f>1/(1+x_rc)^(AL$5+2)</f>
        <v/>
      </c>
    </row>
    <row r="324">
      <c r="B324" s="7" t="inlineStr">
        <is>
          <t>Discount factor to 1 January 2027, merchant rate</t>
        </is>
      </c>
      <c r="D324" s="22">
        <f>1/(1+x_rm)^(D$5+2)</f>
        <v/>
      </c>
      <c r="E324" s="22">
        <f>1/(1+x_rm)^(E$5+2)</f>
        <v/>
      </c>
      <c r="F324" s="22">
        <f>1/(1+x_rm)^(F$5+2)</f>
        <v/>
      </c>
      <c r="G324" s="22">
        <f>1/(1+x_rm)^(G$5+2)</f>
        <v/>
      </c>
      <c r="H324" s="22">
        <f>1/(1+x_rm)^(H$5+2)</f>
        <v/>
      </c>
      <c r="I324" s="22">
        <f>1/(1+x_rm)^(I$5+2)</f>
        <v/>
      </c>
      <c r="J324" s="22">
        <f>1/(1+x_rm)^(J$5+2)</f>
        <v/>
      </c>
      <c r="K324" s="22">
        <f>1/(1+x_rm)^(K$5+2)</f>
        <v/>
      </c>
      <c r="L324" s="22">
        <f>1/(1+x_rm)^(L$5+2)</f>
        <v/>
      </c>
      <c r="M324" s="22">
        <f>1/(1+x_rm)^(M$5+2)</f>
        <v/>
      </c>
      <c r="N324" s="22">
        <f>1/(1+x_rm)^(N$5+2)</f>
        <v/>
      </c>
      <c r="O324" s="22">
        <f>1/(1+x_rm)^(O$5+2)</f>
        <v/>
      </c>
      <c r="P324" s="22">
        <f>1/(1+x_rm)^(P$5+2)</f>
        <v/>
      </c>
      <c r="Q324" s="22">
        <f>1/(1+x_rm)^(Q$5+2)</f>
        <v/>
      </c>
      <c r="R324" s="22">
        <f>1/(1+x_rm)^(R$5+2)</f>
        <v/>
      </c>
      <c r="S324" s="22">
        <f>1/(1+x_rm)^(S$5+2)</f>
        <v/>
      </c>
      <c r="T324" s="22">
        <f>1/(1+x_rm)^(T$5+2)</f>
        <v/>
      </c>
      <c r="U324" s="22">
        <f>1/(1+x_rm)^(U$5+2)</f>
        <v/>
      </c>
      <c r="V324" s="22">
        <f>1/(1+x_rm)^(V$5+2)</f>
        <v/>
      </c>
      <c r="W324" s="22">
        <f>1/(1+x_rm)^(W$5+2)</f>
        <v/>
      </c>
      <c r="X324" s="22">
        <f>1/(1+x_rm)^(X$5+2)</f>
        <v/>
      </c>
      <c r="Y324" s="22">
        <f>1/(1+x_rm)^(Y$5+2)</f>
        <v/>
      </c>
      <c r="Z324" s="22">
        <f>1/(1+x_rm)^(Z$5+2)</f>
        <v/>
      </c>
      <c r="AA324" s="22">
        <f>1/(1+x_rm)^(AA$5+2)</f>
        <v/>
      </c>
      <c r="AB324" s="22">
        <f>1/(1+x_rm)^(AB$5+2)</f>
        <v/>
      </c>
      <c r="AC324" s="22">
        <f>1/(1+x_rm)^(AC$5+2)</f>
        <v/>
      </c>
      <c r="AD324" s="22">
        <f>1/(1+x_rm)^(AD$5+2)</f>
        <v/>
      </c>
      <c r="AE324" s="22">
        <f>1/(1+x_rm)^(AE$5+2)</f>
        <v/>
      </c>
      <c r="AF324" s="22">
        <f>1/(1+x_rm)^(AF$5+2)</f>
        <v/>
      </c>
      <c r="AG324" s="22">
        <f>1/(1+x_rm)^(AG$5+2)</f>
        <v/>
      </c>
      <c r="AH324" s="22">
        <f>1/(1+x_rm)^(AH$5+2)</f>
        <v/>
      </c>
      <c r="AI324" s="22">
        <f>1/(1+x_rm)^(AI$5+2)</f>
        <v/>
      </c>
      <c r="AJ324" s="22">
        <f>1/(1+x_rm)^(AJ$5+2)</f>
        <v/>
      </c>
      <c r="AK324" s="22">
        <f>1/(1+x_rm)^(AK$5+2)</f>
        <v/>
      </c>
      <c r="AL324" s="22">
        <f>1/(1+x_rm)^(AL$5+2)</f>
        <v/>
      </c>
    </row>
    <row r="325">
      <c r="B325" s="7" t="inlineStr">
        <is>
          <t>Value on 1 January 2027 of the flows from 2028 (split rates) ($)</t>
        </is>
      </c>
      <c r="C325" s="25">
        <f>SUMPRODUCT($D$317:$AL$317,$D$323:$AL$323)+SUMPRODUCT($D$321:$AL$321,$D$323:$AL$323)-SUMPRODUCT($D$319:$AL$319,$D$323:$AL$323)-SUMPRODUCT($D$320:$AL$320,$D$323:$AL$323)+SUMPRODUCT($D$318:$AL$318,$D$324:$AL$324)-decom_end/(1+x_rc)^(life_years+1)</f>
        <v/>
      </c>
    </row>
    <row r="326">
      <c r="B326" s="14" t="inlineStr">
        <is>
          <t>Development value on 1 January 2027: value less the capital cost ($)</t>
        </is>
      </c>
      <c r="C326" s="26">
        <f>C325-C312/(1+x_rc)</f>
        <v/>
      </c>
    </row>
    <row r="327">
      <c r="B327" s="7" t="inlineStr">
        <is>
          <t>Highest premium Ashgrove can pay at NTP ($)</t>
        </is>
      </c>
      <c r="C327" s="25">
        <f>C326-reimb+reimb/(1+x_rc)</f>
        <v/>
      </c>
    </row>
    <row r="330">
      <c r="B330" s="6" t="inlineStr">
        <is>
          <t>Discount rates +1 point, case U</t>
        </is>
      </c>
    </row>
    <row r="331">
      <c r="B331" s="7" t="inlineStr">
        <is>
          <t>Capital cost ($)</t>
        </is>
      </c>
      <c r="C331" s="25">
        <f>((x_module+x_tracker+x_bos)*mwdc*1000000+x_inverter*mwac*1000000+x_sub)*(1+contingency)+x_ic+owner</f>
        <v/>
      </c>
    </row>
    <row r="332">
      <c r="B332" s="7" t="inlineStr">
        <is>
          <t>ITC eligible basis ($)</t>
        </is>
      </c>
      <c r="C332" s="25">
        <f>((x_module+x_tracker+x_bos)*mwdc*1000000+x_inverter*mwac*1000000+x_sub)*(1+contingency)-gentie_share*x_sub</f>
        <v/>
      </c>
    </row>
    <row r="333">
      <c r="B333" s="7" t="inlineStr">
        <is>
          <t>ITC cash at the end of 2028, if elected ($)</t>
        </is>
      </c>
      <c r="C333" s="25">
        <f>IF(sw_credit="ITC",C332*(itc_rate+sw_bonus)*transfer_itc,0)</f>
        <v/>
      </c>
    </row>
    <row r="334">
      <c r="B334" s="7" t="inlineStr">
        <is>
          <t>Energy (MWh)</t>
        </is>
      </c>
      <c r="D334" s="23">
        <f>mwac*hours*cf_p50*Energy!D$7*x_scale</f>
        <v/>
      </c>
      <c r="E334" s="23">
        <f>mwac*hours*cf_p50*Energy!E$7*x_scale</f>
        <v/>
      </c>
      <c r="F334" s="23">
        <f>mwac*hours*cf_p50*Energy!F$7*x_scale</f>
        <v/>
      </c>
      <c r="G334" s="23">
        <f>mwac*hours*cf_p50*Energy!G$7*x_scale</f>
        <v/>
      </c>
      <c r="H334" s="23">
        <f>mwac*hours*cf_p50*Energy!H$7*x_scale</f>
        <v/>
      </c>
      <c r="I334" s="23">
        <f>mwac*hours*cf_p50*Energy!I$7*x_scale</f>
        <v/>
      </c>
      <c r="J334" s="23">
        <f>mwac*hours*cf_p50*Energy!J$7*x_scale</f>
        <v/>
      </c>
      <c r="K334" s="23">
        <f>mwac*hours*cf_p50*Energy!K$7*x_scale</f>
        <v/>
      </c>
      <c r="L334" s="23">
        <f>mwac*hours*cf_p50*Energy!L$7*x_scale</f>
        <v/>
      </c>
      <c r="M334" s="23">
        <f>mwac*hours*cf_p50*Energy!M$7*x_scale</f>
        <v/>
      </c>
      <c r="N334" s="23">
        <f>mwac*hours*cf_p50*Energy!N$7*x_scale</f>
        <v/>
      </c>
      <c r="O334" s="23">
        <f>mwac*hours*cf_p50*Energy!O$7*x_scale</f>
        <v/>
      </c>
      <c r="P334" s="23">
        <f>mwac*hours*cf_p50*Energy!P$7*x_scale</f>
        <v/>
      </c>
      <c r="Q334" s="23">
        <f>mwac*hours*cf_p50*Energy!Q$7*x_scale</f>
        <v/>
      </c>
      <c r="R334" s="23">
        <f>mwac*hours*cf_p50*Energy!R$7*x_scale</f>
        <v/>
      </c>
      <c r="S334" s="23">
        <f>mwac*hours*cf_p50*Energy!S$7*x_scale</f>
        <v/>
      </c>
      <c r="T334" s="23">
        <f>mwac*hours*cf_p50*Energy!T$7*x_scale</f>
        <v/>
      </c>
      <c r="U334" s="23">
        <f>mwac*hours*cf_p50*Energy!U$7*x_scale</f>
        <v/>
      </c>
      <c r="V334" s="23">
        <f>mwac*hours*cf_p50*Energy!V$7*x_scale</f>
        <v/>
      </c>
      <c r="W334" s="23">
        <f>mwac*hours*cf_p50*Energy!W$7*x_scale</f>
        <v/>
      </c>
      <c r="X334" s="23">
        <f>mwac*hours*cf_p50*Energy!X$7*x_scale</f>
        <v/>
      </c>
      <c r="Y334" s="23">
        <f>mwac*hours*cf_p50*Energy!Y$7*x_scale</f>
        <v/>
      </c>
      <c r="Z334" s="23">
        <f>mwac*hours*cf_p50*Energy!Z$7*x_scale</f>
        <v/>
      </c>
      <c r="AA334" s="23">
        <f>mwac*hours*cf_p50*Energy!AA$7*x_scale</f>
        <v/>
      </c>
      <c r="AB334" s="23">
        <f>mwac*hours*cf_p50*Energy!AB$7*x_scale</f>
        <v/>
      </c>
      <c r="AC334" s="23">
        <f>mwac*hours*cf_p50*Energy!AC$7*x_scale</f>
        <v/>
      </c>
      <c r="AD334" s="23">
        <f>mwac*hours*cf_p50*Energy!AD$7*x_scale</f>
        <v/>
      </c>
      <c r="AE334" s="23">
        <f>mwac*hours*cf_p50*Energy!AE$7*x_scale</f>
        <v/>
      </c>
      <c r="AF334" s="23">
        <f>mwac*hours*cf_p50*Energy!AF$7*x_scale</f>
        <v/>
      </c>
      <c r="AG334" s="23">
        <f>mwac*hours*cf_p50*Energy!AG$7*x_scale</f>
        <v/>
      </c>
      <c r="AH334" s="23">
        <f>mwac*hours*cf_p50*Energy!AH$7*x_scale</f>
        <v/>
      </c>
      <c r="AI334" s="23">
        <f>mwac*hours*cf_p50*Energy!AI$7*x_scale</f>
        <v/>
      </c>
      <c r="AJ334" s="23">
        <f>mwac*hours*cf_p50*Energy!AJ$7*x_scale</f>
        <v/>
      </c>
      <c r="AK334" s="23">
        <f>mwac*hours*cf_p50*Energy!AK$7*x_scale</f>
        <v/>
      </c>
      <c r="AL334" s="23">
        <f>mwac*hours*cf_p50*Energy!AL$7*x_scale</f>
        <v/>
      </c>
    </row>
    <row r="335">
      <c r="B335" s="7" t="inlineStr">
        <is>
          <t>Node price, hub switch applied ($/MWh)</t>
        </is>
      </c>
      <c r="D335" s="32">
        <f>Market!D$7*(1+sw_hub)*Market!D$8+Market!D$10</f>
        <v/>
      </c>
      <c r="E335" s="32">
        <f>Market!E$7*(1+sw_hub)*Market!E$8+Market!E$10</f>
        <v/>
      </c>
      <c r="F335" s="32">
        <f>Market!F$7*(1+sw_hub)*Market!F$8+Market!F$10</f>
        <v/>
      </c>
      <c r="G335" s="32">
        <f>Market!G$7*(1+sw_hub)*Market!G$8+Market!G$10</f>
        <v/>
      </c>
      <c r="H335" s="32">
        <f>Market!H$7*(1+sw_hub)*Market!H$8+Market!H$10</f>
        <v/>
      </c>
      <c r="I335" s="32">
        <f>Market!I$7*(1+sw_hub)*Market!I$8+Market!I$10</f>
        <v/>
      </c>
      <c r="J335" s="32">
        <f>Market!J$7*(1+sw_hub)*Market!J$8+Market!J$10</f>
        <v/>
      </c>
      <c r="K335" s="32">
        <f>Market!K$7*(1+sw_hub)*Market!K$8+Market!K$10</f>
        <v/>
      </c>
      <c r="L335" s="32">
        <f>Market!L$7*(1+sw_hub)*Market!L$8+Market!L$10</f>
        <v/>
      </c>
      <c r="M335" s="32">
        <f>Market!M$7*(1+sw_hub)*Market!M$8+Market!M$10</f>
        <v/>
      </c>
      <c r="N335" s="32">
        <f>Market!N$7*(1+sw_hub)*Market!N$8+Market!N$10</f>
        <v/>
      </c>
      <c r="O335" s="32">
        <f>Market!O$7*(1+sw_hub)*Market!O$8+Market!O$10</f>
        <v/>
      </c>
      <c r="P335" s="32">
        <f>Market!P$7*(1+sw_hub)*Market!P$8+Market!P$10</f>
        <v/>
      </c>
      <c r="Q335" s="32">
        <f>Market!Q$7*(1+sw_hub)*Market!Q$8+Market!Q$10</f>
        <v/>
      </c>
      <c r="R335" s="32">
        <f>Market!R$7*(1+sw_hub)*Market!R$8+Market!R$10</f>
        <v/>
      </c>
      <c r="S335" s="32">
        <f>Market!S$7*(1+sw_hub)*Market!S$8+Market!S$10</f>
        <v/>
      </c>
      <c r="T335" s="32">
        <f>Market!T$7*(1+sw_hub)*Market!T$8+Market!T$10</f>
        <v/>
      </c>
      <c r="U335" s="32">
        <f>Market!U$7*(1+sw_hub)*Market!U$8+Market!U$10</f>
        <v/>
      </c>
      <c r="V335" s="32">
        <f>Market!V$7*(1+sw_hub)*Market!V$8+Market!V$10</f>
        <v/>
      </c>
      <c r="W335" s="32">
        <f>Market!W$7*(1+sw_hub)*Market!W$8+Market!W$10</f>
        <v/>
      </c>
      <c r="X335" s="32">
        <f>Market!X$7*(1+sw_hub)*Market!X$8+Market!X$10</f>
        <v/>
      </c>
      <c r="Y335" s="32">
        <f>Market!Y$7*(1+sw_hub)*Market!Y$8+Market!Y$10</f>
        <v/>
      </c>
      <c r="Z335" s="32">
        <f>Market!Z$7*(1+sw_hub)*Market!Z$8+Market!Z$10</f>
        <v/>
      </c>
      <c r="AA335" s="32">
        <f>Market!AA$7*(1+sw_hub)*Market!AA$8+Market!AA$10</f>
        <v/>
      </c>
      <c r="AB335" s="32">
        <f>Market!AB$7*(1+sw_hub)*Market!AB$8+Market!AB$10</f>
        <v/>
      </c>
      <c r="AC335" s="32">
        <f>Market!AC$7*(1+sw_hub)*Market!AC$8+Market!AC$10</f>
        <v/>
      </c>
      <c r="AD335" s="32">
        <f>Market!AD$7*(1+sw_hub)*Market!AD$8+Market!AD$10</f>
        <v/>
      </c>
      <c r="AE335" s="32">
        <f>Market!AE$7*(1+sw_hub)*Market!AE$8+Market!AE$10</f>
        <v/>
      </c>
      <c r="AF335" s="32">
        <f>Market!AF$7*(1+sw_hub)*Market!AF$8+Market!AF$10</f>
        <v/>
      </c>
      <c r="AG335" s="32">
        <f>Market!AG$7*(1+sw_hub)*Market!AG$8+Market!AG$10</f>
        <v/>
      </c>
      <c r="AH335" s="32">
        <f>Market!AH$7*(1+sw_hub)*Market!AH$8+Market!AH$10</f>
        <v/>
      </c>
      <c r="AI335" s="32">
        <f>Market!AI$7*(1+sw_hub)*Market!AI$8+Market!AI$10</f>
        <v/>
      </c>
      <c r="AJ335" s="32">
        <f>Market!AJ$7*(1+sw_hub)*Market!AJ$8+Market!AJ$10</f>
        <v/>
      </c>
      <c r="AK335" s="32">
        <f>Market!AK$7*(1+sw_hub)*Market!AK$8+Market!AK$10</f>
        <v/>
      </c>
      <c r="AL335" s="32">
        <f>Market!AL$7*(1+sw_hub)*Market!AL$8+Market!AL$10</f>
        <v/>
      </c>
    </row>
    <row r="336">
      <c r="B336" s="7" t="inlineStr">
        <is>
          <t>Contracted revenue ($)</t>
        </is>
      </c>
      <c r="D336" s="25">
        <f>IF(D$5&lt;u_years,D334*u_price*(1+u_esc)^D$5,0)</f>
        <v/>
      </c>
      <c r="E336" s="25">
        <f>IF(E$5&lt;u_years,E334*u_price*(1+u_esc)^E$5,0)</f>
        <v/>
      </c>
      <c r="F336" s="25">
        <f>IF(F$5&lt;u_years,F334*u_price*(1+u_esc)^F$5,0)</f>
        <v/>
      </c>
      <c r="G336" s="25">
        <f>IF(G$5&lt;u_years,G334*u_price*(1+u_esc)^G$5,0)</f>
        <v/>
      </c>
      <c r="H336" s="25">
        <f>IF(H$5&lt;u_years,H334*u_price*(1+u_esc)^H$5,0)</f>
        <v/>
      </c>
      <c r="I336" s="25">
        <f>IF(I$5&lt;u_years,I334*u_price*(1+u_esc)^I$5,0)</f>
        <v/>
      </c>
      <c r="J336" s="25">
        <f>IF(J$5&lt;u_years,J334*u_price*(1+u_esc)^J$5,0)</f>
        <v/>
      </c>
      <c r="K336" s="25">
        <f>IF(K$5&lt;u_years,K334*u_price*(1+u_esc)^K$5,0)</f>
        <v/>
      </c>
      <c r="L336" s="25">
        <f>IF(L$5&lt;u_years,L334*u_price*(1+u_esc)^L$5,0)</f>
        <v/>
      </c>
      <c r="M336" s="25">
        <f>IF(M$5&lt;u_years,M334*u_price*(1+u_esc)^M$5,0)</f>
        <v/>
      </c>
      <c r="N336" s="25">
        <f>IF(N$5&lt;u_years,N334*u_price*(1+u_esc)^N$5,0)</f>
        <v/>
      </c>
      <c r="O336" s="25">
        <f>IF(O$5&lt;u_years,O334*u_price*(1+u_esc)^O$5,0)</f>
        <v/>
      </c>
      <c r="P336" s="25">
        <f>IF(P$5&lt;u_years,P334*u_price*(1+u_esc)^P$5,0)</f>
        <v/>
      </c>
      <c r="Q336" s="25">
        <f>IF(Q$5&lt;u_years,Q334*u_price*(1+u_esc)^Q$5,0)</f>
        <v/>
      </c>
      <c r="R336" s="25">
        <f>IF(R$5&lt;u_years,R334*u_price*(1+u_esc)^R$5,0)</f>
        <v/>
      </c>
      <c r="S336" s="25">
        <f>IF(S$5&lt;u_years,S334*u_price*(1+u_esc)^S$5,0)</f>
        <v/>
      </c>
      <c r="T336" s="25">
        <f>IF(T$5&lt;u_years,T334*u_price*(1+u_esc)^T$5,0)</f>
        <v/>
      </c>
      <c r="U336" s="25">
        <f>IF(U$5&lt;u_years,U334*u_price*(1+u_esc)^U$5,0)</f>
        <v/>
      </c>
      <c r="V336" s="25">
        <f>IF(V$5&lt;u_years,V334*u_price*(1+u_esc)^V$5,0)</f>
        <v/>
      </c>
      <c r="W336" s="25">
        <f>IF(W$5&lt;u_years,W334*u_price*(1+u_esc)^W$5,0)</f>
        <v/>
      </c>
      <c r="X336" s="25">
        <f>IF(X$5&lt;u_years,X334*u_price*(1+u_esc)^X$5,0)</f>
        <v/>
      </c>
      <c r="Y336" s="25">
        <f>IF(Y$5&lt;u_years,Y334*u_price*(1+u_esc)^Y$5,0)</f>
        <v/>
      </c>
      <c r="Z336" s="25">
        <f>IF(Z$5&lt;u_years,Z334*u_price*(1+u_esc)^Z$5,0)</f>
        <v/>
      </c>
      <c r="AA336" s="25">
        <f>IF(AA$5&lt;u_years,AA334*u_price*(1+u_esc)^AA$5,0)</f>
        <v/>
      </c>
      <c r="AB336" s="25">
        <f>IF(AB$5&lt;u_years,AB334*u_price*(1+u_esc)^AB$5,0)</f>
        <v/>
      </c>
      <c r="AC336" s="25">
        <f>IF(AC$5&lt;u_years,AC334*u_price*(1+u_esc)^AC$5,0)</f>
        <v/>
      </c>
      <c r="AD336" s="25">
        <f>IF(AD$5&lt;u_years,AD334*u_price*(1+u_esc)^AD$5,0)</f>
        <v/>
      </c>
      <c r="AE336" s="25">
        <f>IF(AE$5&lt;u_years,AE334*u_price*(1+u_esc)^AE$5,0)</f>
        <v/>
      </c>
      <c r="AF336" s="25">
        <f>IF(AF$5&lt;u_years,AF334*u_price*(1+u_esc)^AF$5,0)</f>
        <v/>
      </c>
      <c r="AG336" s="25">
        <f>IF(AG$5&lt;u_years,AG334*u_price*(1+u_esc)^AG$5,0)</f>
        <v/>
      </c>
      <c r="AH336" s="25">
        <f>IF(AH$5&lt;u_years,AH334*u_price*(1+u_esc)^AH$5,0)</f>
        <v/>
      </c>
      <c r="AI336" s="25">
        <f>IF(AI$5&lt;u_years,AI334*u_price*(1+u_esc)^AI$5,0)</f>
        <v/>
      </c>
      <c r="AJ336" s="25">
        <f>IF(AJ$5&lt;u_years,AJ334*u_price*(1+u_esc)^AJ$5,0)</f>
        <v/>
      </c>
      <c r="AK336" s="25">
        <f>IF(AK$5&lt;u_years,AK334*u_price*(1+u_esc)^AK$5,0)</f>
        <v/>
      </c>
      <c r="AL336" s="25">
        <f>IF(AL$5&lt;u_years,AL334*u_price*(1+u_esc)^AL$5,0)</f>
        <v/>
      </c>
    </row>
    <row r="337">
      <c r="B337" s="7" t="inlineStr">
        <is>
          <t>Merchant revenue ($)</t>
        </is>
      </c>
      <c r="D337" s="25">
        <f>IF(D$5&lt;u_years,0,D334*(D335+rec_price)+Market!D$13)</f>
        <v/>
      </c>
      <c r="E337" s="25">
        <f>IF(E$5&lt;u_years,0,E334*(E335+rec_price)+Market!E$13)</f>
        <v/>
      </c>
      <c r="F337" s="25">
        <f>IF(F$5&lt;u_years,0,F334*(F335+rec_price)+Market!F$13)</f>
        <v/>
      </c>
      <c r="G337" s="25">
        <f>IF(G$5&lt;u_years,0,G334*(G335+rec_price)+Market!G$13)</f>
        <v/>
      </c>
      <c r="H337" s="25">
        <f>IF(H$5&lt;u_years,0,H334*(H335+rec_price)+Market!H$13)</f>
        <v/>
      </c>
      <c r="I337" s="25">
        <f>IF(I$5&lt;u_years,0,I334*(I335+rec_price)+Market!I$13)</f>
        <v/>
      </c>
      <c r="J337" s="25">
        <f>IF(J$5&lt;u_years,0,J334*(J335+rec_price)+Market!J$13)</f>
        <v/>
      </c>
      <c r="K337" s="25">
        <f>IF(K$5&lt;u_years,0,K334*(K335+rec_price)+Market!K$13)</f>
        <v/>
      </c>
      <c r="L337" s="25">
        <f>IF(L$5&lt;u_years,0,L334*(L335+rec_price)+Market!L$13)</f>
        <v/>
      </c>
      <c r="M337" s="25">
        <f>IF(M$5&lt;u_years,0,M334*(M335+rec_price)+Market!M$13)</f>
        <v/>
      </c>
      <c r="N337" s="25">
        <f>IF(N$5&lt;u_years,0,N334*(N335+rec_price)+Market!N$13)</f>
        <v/>
      </c>
      <c r="O337" s="25">
        <f>IF(O$5&lt;u_years,0,O334*(O335+rec_price)+Market!O$13)</f>
        <v/>
      </c>
      <c r="P337" s="25">
        <f>IF(P$5&lt;u_years,0,P334*(P335+rec_price)+Market!P$13)</f>
        <v/>
      </c>
      <c r="Q337" s="25">
        <f>IF(Q$5&lt;u_years,0,Q334*(Q335+rec_price)+Market!Q$13)</f>
        <v/>
      </c>
      <c r="R337" s="25">
        <f>IF(R$5&lt;u_years,0,R334*(R335+rec_price)+Market!R$13)</f>
        <v/>
      </c>
      <c r="S337" s="25">
        <f>IF(S$5&lt;u_years,0,S334*(S335+rec_price)+Market!S$13)</f>
        <v/>
      </c>
      <c r="T337" s="25">
        <f>IF(T$5&lt;u_years,0,T334*(T335+rec_price)+Market!T$13)</f>
        <v/>
      </c>
      <c r="U337" s="25">
        <f>IF(U$5&lt;u_years,0,U334*(U335+rec_price)+Market!U$13)</f>
        <v/>
      </c>
      <c r="V337" s="25">
        <f>IF(V$5&lt;u_years,0,V334*(V335+rec_price)+Market!V$13)</f>
        <v/>
      </c>
      <c r="W337" s="25">
        <f>IF(W$5&lt;u_years,0,W334*(W335+rec_price)+Market!W$13)</f>
        <v/>
      </c>
      <c r="X337" s="25">
        <f>IF(X$5&lt;u_years,0,X334*(X335+rec_price)+Market!X$13)</f>
        <v/>
      </c>
      <c r="Y337" s="25">
        <f>IF(Y$5&lt;u_years,0,Y334*(Y335+rec_price)+Market!Y$13)</f>
        <v/>
      </c>
      <c r="Z337" s="25">
        <f>IF(Z$5&lt;u_years,0,Z334*(Z335+rec_price)+Market!Z$13)</f>
        <v/>
      </c>
      <c r="AA337" s="25">
        <f>IF(AA$5&lt;u_years,0,AA334*(AA335+rec_price)+Market!AA$13)</f>
        <v/>
      </c>
      <c r="AB337" s="25">
        <f>IF(AB$5&lt;u_years,0,AB334*(AB335+rec_price)+Market!AB$13)</f>
        <v/>
      </c>
      <c r="AC337" s="25">
        <f>IF(AC$5&lt;u_years,0,AC334*(AC335+rec_price)+Market!AC$13)</f>
        <v/>
      </c>
      <c r="AD337" s="25">
        <f>IF(AD$5&lt;u_years,0,AD334*(AD335+rec_price)+Market!AD$13)</f>
        <v/>
      </c>
      <c r="AE337" s="25">
        <f>IF(AE$5&lt;u_years,0,AE334*(AE335+rec_price)+Market!AE$13)</f>
        <v/>
      </c>
      <c r="AF337" s="25">
        <f>IF(AF$5&lt;u_years,0,AF334*(AF335+rec_price)+Market!AF$13)</f>
        <v/>
      </c>
      <c r="AG337" s="25">
        <f>IF(AG$5&lt;u_years,0,AG334*(AG335+rec_price)+Market!AG$13)</f>
        <v/>
      </c>
      <c r="AH337" s="25">
        <f>IF(AH$5&lt;u_years,0,AH334*(AH335+rec_price)+Market!AH$13)</f>
        <v/>
      </c>
      <c r="AI337" s="25">
        <f>IF(AI$5&lt;u_years,0,AI334*(AI335+rec_price)+Market!AI$13)</f>
        <v/>
      </c>
      <c r="AJ337" s="25">
        <f>IF(AJ$5&lt;u_years,0,AJ334*(AJ335+rec_price)+Market!AJ$13)</f>
        <v/>
      </c>
      <c r="AK337" s="25">
        <f>IF(AK$5&lt;u_years,0,AK334*(AK335+rec_price)+Market!AK$13)</f>
        <v/>
      </c>
      <c r="AL337" s="25">
        <f>IF(AL$5&lt;u_years,0,AL334*(AL335+rec_price)+Market!AL$13)</f>
        <v/>
      </c>
    </row>
    <row r="338">
      <c r="B338" s="7" t="inlineStr">
        <is>
          <t>Basis cost kept by the project ($)</t>
        </is>
      </c>
      <c r="D338" s="25" t="n">
        <v>0</v>
      </c>
      <c r="E338" s="25" t="n">
        <v>0</v>
      </c>
      <c r="F338" s="25" t="n">
        <v>0</v>
      </c>
      <c r="G338" s="25" t="n">
        <v>0</v>
      </c>
      <c r="H338" s="25" t="n">
        <v>0</v>
      </c>
      <c r="I338" s="25" t="n">
        <v>0</v>
      </c>
      <c r="J338" s="25" t="n">
        <v>0</v>
      </c>
      <c r="K338" s="25" t="n">
        <v>0</v>
      </c>
      <c r="L338" s="25" t="n">
        <v>0</v>
      </c>
      <c r="M338" s="25" t="n">
        <v>0</v>
      </c>
      <c r="N338" s="25" t="n">
        <v>0</v>
      </c>
      <c r="O338" s="25" t="n">
        <v>0</v>
      </c>
      <c r="P338" s="25" t="n">
        <v>0</v>
      </c>
      <c r="Q338" s="25" t="n">
        <v>0</v>
      </c>
      <c r="R338" s="25" t="n">
        <v>0</v>
      </c>
      <c r="S338" s="25" t="n">
        <v>0</v>
      </c>
      <c r="T338" s="25" t="n">
        <v>0</v>
      </c>
      <c r="U338" s="25" t="n">
        <v>0</v>
      </c>
      <c r="V338" s="25" t="n">
        <v>0</v>
      </c>
      <c r="W338" s="25" t="n">
        <v>0</v>
      </c>
      <c r="X338" s="25" t="n">
        <v>0</v>
      </c>
      <c r="Y338" s="25" t="n">
        <v>0</v>
      </c>
      <c r="Z338" s="25" t="n">
        <v>0</v>
      </c>
      <c r="AA338" s="25" t="n">
        <v>0</v>
      </c>
      <c r="AB338" s="25" t="n">
        <v>0</v>
      </c>
      <c r="AC338" s="25" t="n">
        <v>0</v>
      </c>
      <c r="AD338" s="25" t="n">
        <v>0</v>
      </c>
      <c r="AE338" s="25" t="n">
        <v>0</v>
      </c>
      <c r="AF338" s="25" t="n">
        <v>0</v>
      </c>
      <c r="AG338" s="25" t="n">
        <v>0</v>
      </c>
      <c r="AH338" s="25" t="n">
        <v>0</v>
      </c>
      <c r="AI338" s="25" t="n">
        <v>0</v>
      </c>
      <c r="AJ338" s="25" t="n">
        <v>0</v>
      </c>
      <c r="AK338" s="25" t="n">
        <v>0</v>
      </c>
      <c r="AL338" s="25" t="n">
        <v>0</v>
      </c>
    </row>
    <row r="339">
      <c r="B339" s="7" t="inlineStr">
        <is>
          <t>Operating cost ($)</t>
        </is>
      </c>
      <c r="D339" s="25">
        <f>(om_kw*mwac*1000+ins_rate*$C$331+am_cost+prop_tax+misc_cost)*Opex!D$7+rent_acre*acres_lease*Opex!D$8</f>
        <v/>
      </c>
      <c r="E339" s="25">
        <f>(om_kw*mwac*1000+ins_rate*$C$331+am_cost+prop_tax+misc_cost)*Opex!E$7+rent_acre*acres_lease*Opex!E$8</f>
        <v/>
      </c>
      <c r="F339" s="25">
        <f>(om_kw*mwac*1000+ins_rate*$C$331+am_cost+prop_tax+misc_cost)*Opex!F$7+rent_acre*acres_lease*Opex!F$8</f>
        <v/>
      </c>
      <c r="G339" s="25">
        <f>(om_kw*mwac*1000+ins_rate*$C$331+am_cost+prop_tax+misc_cost)*Opex!G$7+rent_acre*acres_lease*Opex!G$8</f>
        <v/>
      </c>
      <c r="H339" s="25">
        <f>(om_kw*mwac*1000+ins_rate*$C$331+am_cost+prop_tax+misc_cost)*Opex!H$7+rent_acre*acres_lease*Opex!H$8</f>
        <v/>
      </c>
      <c r="I339" s="25">
        <f>(om_kw*mwac*1000+ins_rate*$C$331+am_cost+prop_tax+misc_cost)*Opex!I$7+rent_acre*acres_lease*Opex!I$8</f>
        <v/>
      </c>
      <c r="J339" s="25">
        <f>(om_kw*mwac*1000+ins_rate*$C$331+am_cost+prop_tax+misc_cost)*Opex!J$7+rent_acre*acres_lease*Opex!J$8</f>
        <v/>
      </c>
      <c r="K339" s="25">
        <f>(om_kw*mwac*1000+ins_rate*$C$331+am_cost+prop_tax+misc_cost)*Opex!K$7+rent_acre*acres_lease*Opex!K$8</f>
        <v/>
      </c>
      <c r="L339" s="25">
        <f>(om_kw*mwac*1000+ins_rate*$C$331+am_cost+prop_tax+misc_cost)*Opex!L$7+rent_acre*acres_lease*Opex!L$8</f>
        <v/>
      </c>
      <c r="M339" s="25">
        <f>(om_kw*mwac*1000+ins_rate*$C$331+am_cost+prop_tax+misc_cost)*Opex!M$7+rent_acre*acres_lease*Opex!M$8</f>
        <v/>
      </c>
      <c r="N339" s="25">
        <f>(om_kw*mwac*1000+ins_rate*$C$331+am_cost+prop_tax+misc_cost)*Opex!N$7+rent_acre*acres_lease*Opex!N$8</f>
        <v/>
      </c>
      <c r="O339" s="25">
        <f>(om_kw*mwac*1000+ins_rate*$C$331+am_cost+prop_tax+misc_cost)*Opex!O$7+rent_acre*acres_lease*Opex!O$8</f>
        <v/>
      </c>
      <c r="P339" s="25">
        <f>(om_kw*mwac*1000+ins_rate*$C$331+am_cost+prop_tax+misc_cost)*Opex!P$7+rent_acre*acres_lease*Opex!P$8</f>
        <v/>
      </c>
      <c r="Q339" s="25">
        <f>(om_kw*mwac*1000+ins_rate*$C$331+am_cost+prop_tax+misc_cost)*Opex!Q$7+rent_acre*acres_lease*Opex!Q$8</f>
        <v/>
      </c>
      <c r="R339" s="25">
        <f>(om_kw*mwac*1000+ins_rate*$C$331+am_cost+prop_tax+misc_cost)*Opex!R$7+rent_acre*acres_lease*Opex!R$8</f>
        <v/>
      </c>
      <c r="S339" s="25">
        <f>(om_kw*mwac*1000+ins_rate*$C$331+am_cost+prop_tax+misc_cost)*Opex!S$7+rent_acre*acres_lease*Opex!S$8</f>
        <v/>
      </c>
      <c r="T339" s="25">
        <f>(om_kw*mwac*1000+ins_rate*$C$331+am_cost+prop_tax+misc_cost)*Opex!T$7+rent_acre*acres_lease*Opex!T$8</f>
        <v/>
      </c>
      <c r="U339" s="25">
        <f>(om_kw*mwac*1000+ins_rate*$C$331+am_cost+prop_tax+misc_cost)*Opex!U$7+rent_acre*acres_lease*Opex!U$8</f>
        <v/>
      </c>
      <c r="V339" s="25">
        <f>(om_kw*mwac*1000+ins_rate*$C$331+am_cost+prop_tax+misc_cost)*Opex!V$7+rent_acre*acres_lease*Opex!V$8</f>
        <v/>
      </c>
      <c r="W339" s="25">
        <f>(om_kw*mwac*1000+ins_rate*$C$331+am_cost+prop_tax+misc_cost)*Opex!W$7+rent_acre*acres_lease*Opex!W$8</f>
        <v/>
      </c>
      <c r="X339" s="25">
        <f>(om_kw*mwac*1000+ins_rate*$C$331+am_cost+prop_tax+misc_cost)*Opex!X$7+rent_acre*acres_lease*Opex!X$8</f>
        <v/>
      </c>
      <c r="Y339" s="25">
        <f>(om_kw*mwac*1000+ins_rate*$C$331+am_cost+prop_tax+misc_cost)*Opex!Y$7+rent_acre*acres_lease*Opex!Y$8</f>
        <v/>
      </c>
      <c r="Z339" s="25">
        <f>(om_kw*mwac*1000+ins_rate*$C$331+am_cost+prop_tax+misc_cost)*Opex!Z$7+rent_acre*acres_lease*Opex!Z$8</f>
        <v/>
      </c>
      <c r="AA339" s="25">
        <f>(om_kw*mwac*1000+ins_rate*$C$331+am_cost+prop_tax+misc_cost)*Opex!AA$7+rent_acre*acres_lease*Opex!AA$8</f>
        <v/>
      </c>
      <c r="AB339" s="25">
        <f>(om_kw*mwac*1000+ins_rate*$C$331+am_cost+prop_tax+misc_cost)*Opex!AB$7+rent_acre*acres_lease*Opex!AB$8</f>
        <v/>
      </c>
      <c r="AC339" s="25">
        <f>(om_kw*mwac*1000+ins_rate*$C$331+am_cost+prop_tax+misc_cost)*Opex!AC$7+rent_acre*acres_lease*Opex!AC$8</f>
        <v/>
      </c>
      <c r="AD339" s="25">
        <f>(om_kw*mwac*1000+ins_rate*$C$331+am_cost+prop_tax+misc_cost)*Opex!AD$7+rent_acre*acres_lease*Opex!AD$8</f>
        <v/>
      </c>
      <c r="AE339" s="25">
        <f>(om_kw*mwac*1000+ins_rate*$C$331+am_cost+prop_tax+misc_cost)*Opex!AE$7+rent_acre*acres_lease*Opex!AE$8</f>
        <v/>
      </c>
      <c r="AF339" s="25">
        <f>(om_kw*mwac*1000+ins_rate*$C$331+am_cost+prop_tax+misc_cost)*Opex!AF$7+rent_acre*acres_lease*Opex!AF$8</f>
        <v/>
      </c>
      <c r="AG339" s="25">
        <f>(om_kw*mwac*1000+ins_rate*$C$331+am_cost+prop_tax+misc_cost)*Opex!AG$7+rent_acre*acres_lease*Opex!AG$8</f>
        <v/>
      </c>
      <c r="AH339" s="25">
        <f>(om_kw*mwac*1000+ins_rate*$C$331+am_cost+prop_tax+misc_cost)*Opex!AH$7+rent_acre*acres_lease*Opex!AH$8</f>
        <v/>
      </c>
      <c r="AI339" s="25">
        <f>(om_kw*mwac*1000+ins_rate*$C$331+am_cost+prop_tax+misc_cost)*Opex!AI$7+rent_acre*acres_lease*Opex!AI$8</f>
        <v/>
      </c>
      <c r="AJ339" s="25">
        <f>(om_kw*mwac*1000+ins_rate*$C$331+am_cost+prop_tax+misc_cost)*Opex!AJ$7+rent_acre*acres_lease*Opex!AJ$8</f>
        <v/>
      </c>
      <c r="AK339" s="25">
        <f>(om_kw*mwac*1000+ins_rate*$C$331+am_cost+prop_tax+misc_cost)*Opex!AK$7+rent_acre*acres_lease*Opex!AK$8</f>
        <v/>
      </c>
      <c r="AL339" s="25">
        <f>(om_kw*mwac*1000+ins_rate*$C$331+am_cost+prop_tax+misc_cost)*Opex!AL$7+rent_acre*acres_lease*Opex!AL$8</f>
        <v/>
      </c>
    </row>
    <row r="340">
      <c r="B340" s="7" t="inlineStr">
        <is>
          <t>Credit cash ($)</t>
        </is>
      </c>
      <c r="D340" s="25">
        <f>IF(sw_credit="PTC",IF(D$5&lt;ptc_years,D334*Credits!D$8*(1+sw_bonus)*transfer_ptc,0),0)+IF(D$5=0,$C$333,0)</f>
        <v/>
      </c>
      <c r="E340" s="25">
        <f>IF(sw_credit="PTC",IF(E$5&lt;ptc_years,E334*Credits!E$8*(1+sw_bonus)*transfer_ptc,0),0)+IF(E$5=0,$C$333,0)</f>
        <v/>
      </c>
      <c r="F340" s="25">
        <f>IF(sw_credit="PTC",IF(F$5&lt;ptc_years,F334*Credits!F$8*(1+sw_bonus)*transfer_ptc,0),0)+IF(F$5=0,$C$333,0)</f>
        <v/>
      </c>
      <c r="G340" s="25">
        <f>IF(sw_credit="PTC",IF(G$5&lt;ptc_years,G334*Credits!G$8*(1+sw_bonus)*transfer_ptc,0),0)+IF(G$5=0,$C$333,0)</f>
        <v/>
      </c>
      <c r="H340" s="25">
        <f>IF(sw_credit="PTC",IF(H$5&lt;ptc_years,H334*Credits!H$8*(1+sw_bonus)*transfer_ptc,0),0)+IF(H$5=0,$C$333,0)</f>
        <v/>
      </c>
      <c r="I340" s="25">
        <f>IF(sw_credit="PTC",IF(I$5&lt;ptc_years,I334*Credits!I$8*(1+sw_bonus)*transfer_ptc,0),0)+IF(I$5=0,$C$333,0)</f>
        <v/>
      </c>
      <c r="J340" s="25">
        <f>IF(sw_credit="PTC",IF(J$5&lt;ptc_years,J334*Credits!J$8*(1+sw_bonus)*transfer_ptc,0),0)+IF(J$5=0,$C$333,0)</f>
        <v/>
      </c>
      <c r="K340" s="25">
        <f>IF(sw_credit="PTC",IF(K$5&lt;ptc_years,K334*Credits!K$8*(1+sw_bonus)*transfer_ptc,0),0)+IF(K$5=0,$C$333,0)</f>
        <v/>
      </c>
      <c r="L340" s="25">
        <f>IF(sw_credit="PTC",IF(L$5&lt;ptc_years,L334*Credits!L$8*(1+sw_bonus)*transfer_ptc,0),0)+IF(L$5=0,$C$333,0)</f>
        <v/>
      </c>
      <c r="M340" s="25">
        <f>IF(sw_credit="PTC",IF(M$5&lt;ptc_years,M334*Credits!M$8*(1+sw_bonus)*transfer_ptc,0),0)+IF(M$5=0,$C$333,0)</f>
        <v/>
      </c>
      <c r="N340" s="25">
        <f>IF(sw_credit="PTC",IF(N$5&lt;ptc_years,N334*Credits!N$8*(1+sw_bonus)*transfer_ptc,0),0)+IF(N$5=0,$C$333,0)</f>
        <v/>
      </c>
      <c r="O340" s="25">
        <f>IF(sw_credit="PTC",IF(O$5&lt;ptc_years,O334*Credits!O$8*(1+sw_bonus)*transfer_ptc,0),0)+IF(O$5=0,$C$333,0)</f>
        <v/>
      </c>
      <c r="P340" s="25">
        <f>IF(sw_credit="PTC",IF(P$5&lt;ptc_years,P334*Credits!P$8*(1+sw_bonus)*transfer_ptc,0),0)+IF(P$5=0,$C$333,0)</f>
        <v/>
      </c>
      <c r="Q340" s="25">
        <f>IF(sw_credit="PTC",IF(Q$5&lt;ptc_years,Q334*Credits!Q$8*(1+sw_bonus)*transfer_ptc,0),0)+IF(Q$5=0,$C$333,0)</f>
        <v/>
      </c>
      <c r="R340" s="25">
        <f>IF(sw_credit="PTC",IF(R$5&lt;ptc_years,R334*Credits!R$8*(1+sw_bonus)*transfer_ptc,0),0)+IF(R$5=0,$C$333,0)</f>
        <v/>
      </c>
      <c r="S340" s="25">
        <f>IF(sw_credit="PTC",IF(S$5&lt;ptc_years,S334*Credits!S$8*(1+sw_bonus)*transfer_ptc,0),0)+IF(S$5=0,$C$333,0)</f>
        <v/>
      </c>
      <c r="T340" s="25">
        <f>IF(sw_credit="PTC",IF(T$5&lt;ptc_years,T334*Credits!T$8*(1+sw_bonus)*transfer_ptc,0),0)+IF(T$5=0,$C$333,0)</f>
        <v/>
      </c>
      <c r="U340" s="25">
        <f>IF(sw_credit="PTC",IF(U$5&lt;ptc_years,U334*Credits!U$8*(1+sw_bonus)*transfer_ptc,0),0)+IF(U$5=0,$C$333,0)</f>
        <v/>
      </c>
      <c r="V340" s="25">
        <f>IF(sw_credit="PTC",IF(V$5&lt;ptc_years,V334*Credits!V$8*(1+sw_bonus)*transfer_ptc,0),0)+IF(V$5=0,$C$333,0)</f>
        <v/>
      </c>
      <c r="W340" s="25">
        <f>IF(sw_credit="PTC",IF(W$5&lt;ptc_years,W334*Credits!W$8*(1+sw_bonus)*transfer_ptc,0),0)+IF(W$5=0,$C$333,0)</f>
        <v/>
      </c>
      <c r="X340" s="25">
        <f>IF(sw_credit="PTC",IF(X$5&lt;ptc_years,X334*Credits!X$8*(1+sw_bonus)*transfer_ptc,0),0)+IF(X$5=0,$C$333,0)</f>
        <v/>
      </c>
      <c r="Y340" s="25">
        <f>IF(sw_credit="PTC",IF(Y$5&lt;ptc_years,Y334*Credits!Y$8*(1+sw_bonus)*transfer_ptc,0),0)+IF(Y$5=0,$C$333,0)</f>
        <v/>
      </c>
      <c r="Z340" s="25">
        <f>IF(sw_credit="PTC",IF(Z$5&lt;ptc_years,Z334*Credits!Z$8*(1+sw_bonus)*transfer_ptc,0),0)+IF(Z$5=0,$C$333,0)</f>
        <v/>
      </c>
      <c r="AA340" s="25">
        <f>IF(sw_credit="PTC",IF(AA$5&lt;ptc_years,AA334*Credits!AA$8*(1+sw_bonus)*transfer_ptc,0),0)+IF(AA$5=0,$C$333,0)</f>
        <v/>
      </c>
      <c r="AB340" s="25">
        <f>IF(sw_credit="PTC",IF(AB$5&lt;ptc_years,AB334*Credits!AB$8*(1+sw_bonus)*transfer_ptc,0),0)+IF(AB$5=0,$C$333,0)</f>
        <v/>
      </c>
      <c r="AC340" s="25">
        <f>IF(sw_credit="PTC",IF(AC$5&lt;ptc_years,AC334*Credits!AC$8*(1+sw_bonus)*transfer_ptc,0),0)+IF(AC$5=0,$C$333,0)</f>
        <v/>
      </c>
      <c r="AD340" s="25">
        <f>IF(sw_credit="PTC",IF(AD$5&lt;ptc_years,AD334*Credits!AD$8*(1+sw_bonus)*transfer_ptc,0),0)+IF(AD$5=0,$C$333,0)</f>
        <v/>
      </c>
      <c r="AE340" s="25">
        <f>IF(sw_credit="PTC",IF(AE$5&lt;ptc_years,AE334*Credits!AE$8*(1+sw_bonus)*transfer_ptc,0),0)+IF(AE$5=0,$C$333,0)</f>
        <v/>
      </c>
      <c r="AF340" s="25">
        <f>IF(sw_credit="PTC",IF(AF$5&lt;ptc_years,AF334*Credits!AF$8*(1+sw_bonus)*transfer_ptc,0),0)+IF(AF$5=0,$C$333,0)</f>
        <v/>
      </c>
      <c r="AG340" s="25">
        <f>IF(sw_credit="PTC",IF(AG$5&lt;ptc_years,AG334*Credits!AG$8*(1+sw_bonus)*transfer_ptc,0),0)+IF(AG$5=0,$C$333,0)</f>
        <v/>
      </c>
      <c r="AH340" s="25">
        <f>IF(sw_credit="PTC",IF(AH$5&lt;ptc_years,AH334*Credits!AH$8*(1+sw_bonus)*transfer_ptc,0),0)+IF(AH$5=0,$C$333,0)</f>
        <v/>
      </c>
      <c r="AI340" s="25">
        <f>IF(sw_credit="PTC",IF(AI$5&lt;ptc_years,AI334*Credits!AI$8*(1+sw_bonus)*transfer_ptc,0),0)+IF(AI$5=0,$C$333,0)</f>
        <v/>
      </c>
      <c r="AJ340" s="25">
        <f>IF(sw_credit="PTC",IF(AJ$5&lt;ptc_years,AJ334*Credits!AJ$8*(1+sw_bonus)*transfer_ptc,0),0)+IF(AJ$5=0,$C$333,0)</f>
        <v/>
      </c>
      <c r="AK340" s="25">
        <f>IF(sw_credit="PTC",IF(AK$5&lt;ptc_years,AK334*Credits!AK$8*(1+sw_bonus)*transfer_ptc,0),0)+IF(AK$5=0,$C$333,0)</f>
        <v/>
      </c>
      <c r="AL340" s="25">
        <f>IF(sw_credit="PTC",IF(AL$5&lt;ptc_years,AL334*Credits!AL$8*(1+sw_bonus)*transfer_ptc,0),0)+IF(AL$5=0,$C$333,0)</f>
        <v/>
      </c>
    </row>
    <row r="341">
      <c r="B341" s="14" t="inlineStr">
        <is>
          <t>EBITDA ($)</t>
        </is>
      </c>
      <c r="D341" s="26">
        <f>D336+D337-D338-D339</f>
        <v/>
      </c>
      <c r="E341" s="26">
        <f>E336+E337-E338-E339</f>
        <v/>
      </c>
      <c r="F341" s="26">
        <f>F336+F337-F338-F339</f>
        <v/>
      </c>
      <c r="G341" s="26">
        <f>G336+G337-G338-G339</f>
        <v/>
      </c>
      <c r="H341" s="26">
        <f>H336+H337-H338-H339</f>
        <v/>
      </c>
      <c r="I341" s="26">
        <f>I336+I337-I338-I339</f>
        <v/>
      </c>
      <c r="J341" s="26">
        <f>J336+J337-J338-J339</f>
        <v/>
      </c>
      <c r="K341" s="26">
        <f>K336+K337-K338-K339</f>
        <v/>
      </c>
      <c r="L341" s="26">
        <f>L336+L337-L338-L339</f>
        <v/>
      </c>
      <c r="M341" s="26">
        <f>M336+M337-M338-M339</f>
        <v/>
      </c>
      <c r="N341" s="26">
        <f>N336+N337-N338-N339</f>
        <v/>
      </c>
      <c r="O341" s="26">
        <f>O336+O337-O338-O339</f>
        <v/>
      </c>
      <c r="P341" s="26">
        <f>P336+P337-P338-P339</f>
        <v/>
      </c>
      <c r="Q341" s="26">
        <f>Q336+Q337-Q338-Q339</f>
        <v/>
      </c>
      <c r="R341" s="26">
        <f>R336+R337-R338-R339</f>
        <v/>
      </c>
      <c r="S341" s="26">
        <f>S336+S337-S338-S339</f>
        <v/>
      </c>
      <c r="T341" s="26">
        <f>T336+T337-T338-T339</f>
        <v/>
      </c>
      <c r="U341" s="26">
        <f>U336+U337-U338-U339</f>
        <v/>
      </c>
      <c r="V341" s="26">
        <f>V336+V337-V338-V339</f>
        <v/>
      </c>
      <c r="W341" s="26">
        <f>W336+W337-W338-W339</f>
        <v/>
      </c>
      <c r="X341" s="26">
        <f>X336+X337-X338-X339</f>
        <v/>
      </c>
      <c r="Y341" s="26">
        <f>Y336+Y337-Y338-Y339</f>
        <v/>
      </c>
      <c r="Z341" s="26">
        <f>Z336+Z337-Z338-Z339</f>
        <v/>
      </c>
      <c r="AA341" s="26">
        <f>AA336+AA337-AA338-AA339</f>
        <v/>
      </c>
      <c r="AB341" s="26">
        <f>AB336+AB337-AB338-AB339</f>
        <v/>
      </c>
      <c r="AC341" s="26">
        <f>AC336+AC337-AC338-AC339</f>
        <v/>
      </c>
      <c r="AD341" s="26">
        <f>AD336+AD337-AD338-AD339</f>
        <v/>
      </c>
      <c r="AE341" s="26">
        <f>AE336+AE337-AE338-AE339</f>
        <v/>
      </c>
      <c r="AF341" s="26">
        <f>AF336+AF337-AF338-AF339</f>
        <v/>
      </c>
      <c r="AG341" s="26">
        <f>AG336+AG337-AG338-AG339</f>
        <v/>
      </c>
      <c r="AH341" s="26">
        <f>AH336+AH337-AH338-AH339</f>
        <v/>
      </c>
      <c r="AI341" s="26">
        <f>AI336+AI337-AI338-AI339</f>
        <v/>
      </c>
      <c r="AJ341" s="26">
        <f>AJ336+AJ337-AJ338-AJ339</f>
        <v/>
      </c>
      <c r="AK341" s="26">
        <f>AK336+AK337-AK338-AK339</f>
        <v/>
      </c>
      <c r="AL341" s="26">
        <f>AL336+AL337-AL338-AL339</f>
        <v/>
      </c>
    </row>
    <row r="342">
      <c r="B342" s="7" t="inlineStr">
        <is>
          <t>Discount factor to 1 January 2027, contracted rate</t>
        </is>
      </c>
      <c r="D342" s="22">
        <f>1/(1+(x_rc+sens_rate))^(D$5+2)</f>
        <v/>
      </c>
      <c r="E342" s="22">
        <f>1/(1+(x_rc+sens_rate))^(E$5+2)</f>
        <v/>
      </c>
      <c r="F342" s="22">
        <f>1/(1+(x_rc+sens_rate))^(F$5+2)</f>
        <v/>
      </c>
      <c r="G342" s="22">
        <f>1/(1+(x_rc+sens_rate))^(G$5+2)</f>
        <v/>
      </c>
      <c r="H342" s="22">
        <f>1/(1+(x_rc+sens_rate))^(H$5+2)</f>
        <v/>
      </c>
      <c r="I342" s="22">
        <f>1/(1+(x_rc+sens_rate))^(I$5+2)</f>
        <v/>
      </c>
      <c r="J342" s="22">
        <f>1/(1+(x_rc+sens_rate))^(J$5+2)</f>
        <v/>
      </c>
      <c r="K342" s="22">
        <f>1/(1+(x_rc+sens_rate))^(K$5+2)</f>
        <v/>
      </c>
      <c r="L342" s="22">
        <f>1/(1+(x_rc+sens_rate))^(L$5+2)</f>
        <v/>
      </c>
      <c r="M342" s="22">
        <f>1/(1+(x_rc+sens_rate))^(M$5+2)</f>
        <v/>
      </c>
      <c r="N342" s="22">
        <f>1/(1+(x_rc+sens_rate))^(N$5+2)</f>
        <v/>
      </c>
      <c r="O342" s="22">
        <f>1/(1+(x_rc+sens_rate))^(O$5+2)</f>
        <v/>
      </c>
      <c r="P342" s="22">
        <f>1/(1+(x_rc+sens_rate))^(P$5+2)</f>
        <v/>
      </c>
      <c r="Q342" s="22">
        <f>1/(1+(x_rc+sens_rate))^(Q$5+2)</f>
        <v/>
      </c>
      <c r="R342" s="22">
        <f>1/(1+(x_rc+sens_rate))^(R$5+2)</f>
        <v/>
      </c>
      <c r="S342" s="22">
        <f>1/(1+(x_rc+sens_rate))^(S$5+2)</f>
        <v/>
      </c>
      <c r="T342" s="22">
        <f>1/(1+(x_rc+sens_rate))^(T$5+2)</f>
        <v/>
      </c>
      <c r="U342" s="22">
        <f>1/(1+(x_rc+sens_rate))^(U$5+2)</f>
        <v/>
      </c>
      <c r="V342" s="22">
        <f>1/(1+(x_rc+sens_rate))^(V$5+2)</f>
        <v/>
      </c>
      <c r="W342" s="22">
        <f>1/(1+(x_rc+sens_rate))^(W$5+2)</f>
        <v/>
      </c>
      <c r="X342" s="22">
        <f>1/(1+(x_rc+sens_rate))^(X$5+2)</f>
        <v/>
      </c>
      <c r="Y342" s="22">
        <f>1/(1+(x_rc+sens_rate))^(Y$5+2)</f>
        <v/>
      </c>
      <c r="Z342" s="22">
        <f>1/(1+(x_rc+sens_rate))^(Z$5+2)</f>
        <v/>
      </c>
      <c r="AA342" s="22">
        <f>1/(1+(x_rc+sens_rate))^(AA$5+2)</f>
        <v/>
      </c>
      <c r="AB342" s="22">
        <f>1/(1+(x_rc+sens_rate))^(AB$5+2)</f>
        <v/>
      </c>
      <c r="AC342" s="22">
        <f>1/(1+(x_rc+sens_rate))^(AC$5+2)</f>
        <v/>
      </c>
      <c r="AD342" s="22">
        <f>1/(1+(x_rc+sens_rate))^(AD$5+2)</f>
        <v/>
      </c>
      <c r="AE342" s="22">
        <f>1/(1+(x_rc+sens_rate))^(AE$5+2)</f>
        <v/>
      </c>
      <c r="AF342" s="22">
        <f>1/(1+(x_rc+sens_rate))^(AF$5+2)</f>
        <v/>
      </c>
      <c r="AG342" s="22">
        <f>1/(1+(x_rc+sens_rate))^(AG$5+2)</f>
        <v/>
      </c>
      <c r="AH342" s="22">
        <f>1/(1+(x_rc+sens_rate))^(AH$5+2)</f>
        <v/>
      </c>
      <c r="AI342" s="22">
        <f>1/(1+(x_rc+sens_rate))^(AI$5+2)</f>
        <v/>
      </c>
      <c r="AJ342" s="22">
        <f>1/(1+(x_rc+sens_rate))^(AJ$5+2)</f>
        <v/>
      </c>
      <c r="AK342" s="22">
        <f>1/(1+(x_rc+sens_rate))^(AK$5+2)</f>
        <v/>
      </c>
      <c r="AL342" s="22">
        <f>1/(1+(x_rc+sens_rate))^(AL$5+2)</f>
        <v/>
      </c>
    </row>
    <row r="343">
      <c r="B343" s="7" t="inlineStr">
        <is>
          <t>Discount factor to 1 January 2027, merchant rate</t>
        </is>
      </c>
      <c r="D343" s="22">
        <f>1/(1+(x_rm+sens_rate))^(D$5+2)</f>
        <v/>
      </c>
      <c r="E343" s="22">
        <f>1/(1+(x_rm+sens_rate))^(E$5+2)</f>
        <v/>
      </c>
      <c r="F343" s="22">
        <f>1/(1+(x_rm+sens_rate))^(F$5+2)</f>
        <v/>
      </c>
      <c r="G343" s="22">
        <f>1/(1+(x_rm+sens_rate))^(G$5+2)</f>
        <v/>
      </c>
      <c r="H343" s="22">
        <f>1/(1+(x_rm+sens_rate))^(H$5+2)</f>
        <v/>
      </c>
      <c r="I343" s="22">
        <f>1/(1+(x_rm+sens_rate))^(I$5+2)</f>
        <v/>
      </c>
      <c r="J343" s="22">
        <f>1/(1+(x_rm+sens_rate))^(J$5+2)</f>
        <v/>
      </c>
      <c r="K343" s="22">
        <f>1/(1+(x_rm+sens_rate))^(K$5+2)</f>
        <v/>
      </c>
      <c r="L343" s="22">
        <f>1/(1+(x_rm+sens_rate))^(L$5+2)</f>
        <v/>
      </c>
      <c r="M343" s="22">
        <f>1/(1+(x_rm+sens_rate))^(M$5+2)</f>
        <v/>
      </c>
      <c r="N343" s="22">
        <f>1/(1+(x_rm+sens_rate))^(N$5+2)</f>
        <v/>
      </c>
      <c r="O343" s="22">
        <f>1/(1+(x_rm+sens_rate))^(O$5+2)</f>
        <v/>
      </c>
      <c r="P343" s="22">
        <f>1/(1+(x_rm+sens_rate))^(P$5+2)</f>
        <v/>
      </c>
      <c r="Q343" s="22">
        <f>1/(1+(x_rm+sens_rate))^(Q$5+2)</f>
        <v/>
      </c>
      <c r="R343" s="22">
        <f>1/(1+(x_rm+sens_rate))^(R$5+2)</f>
        <v/>
      </c>
      <c r="S343" s="22">
        <f>1/(1+(x_rm+sens_rate))^(S$5+2)</f>
        <v/>
      </c>
      <c r="T343" s="22">
        <f>1/(1+(x_rm+sens_rate))^(T$5+2)</f>
        <v/>
      </c>
      <c r="U343" s="22">
        <f>1/(1+(x_rm+sens_rate))^(U$5+2)</f>
        <v/>
      </c>
      <c r="V343" s="22">
        <f>1/(1+(x_rm+sens_rate))^(V$5+2)</f>
        <v/>
      </c>
      <c r="W343" s="22">
        <f>1/(1+(x_rm+sens_rate))^(W$5+2)</f>
        <v/>
      </c>
      <c r="X343" s="22">
        <f>1/(1+(x_rm+sens_rate))^(X$5+2)</f>
        <v/>
      </c>
      <c r="Y343" s="22">
        <f>1/(1+(x_rm+sens_rate))^(Y$5+2)</f>
        <v/>
      </c>
      <c r="Z343" s="22">
        <f>1/(1+(x_rm+sens_rate))^(Z$5+2)</f>
        <v/>
      </c>
      <c r="AA343" s="22">
        <f>1/(1+(x_rm+sens_rate))^(AA$5+2)</f>
        <v/>
      </c>
      <c r="AB343" s="22">
        <f>1/(1+(x_rm+sens_rate))^(AB$5+2)</f>
        <v/>
      </c>
      <c r="AC343" s="22">
        <f>1/(1+(x_rm+sens_rate))^(AC$5+2)</f>
        <v/>
      </c>
      <c r="AD343" s="22">
        <f>1/(1+(x_rm+sens_rate))^(AD$5+2)</f>
        <v/>
      </c>
      <c r="AE343" s="22">
        <f>1/(1+(x_rm+sens_rate))^(AE$5+2)</f>
        <v/>
      </c>
      <c r="AF343" s="22">
        <f>1/(1+(x_rm+sens_rate))^(AF$5+2)</f>
        <v/>
      </c>
      <c r="AG343" s="22">
        <f>1/(1+(x_rm+sens_rate))^(AG$5+2)</f>
        <v/>
      </c>
      <c r="AH343" s="22">
        <f>1/(1+(x_rm+sens_rate))^(AH$5+2)</f>
        <v/>
      </c>
      <c r="AI343" s="22">
        <f>1/(1+(x_rm+sens_rate))^(AI$5+2)</f>
        <v/>
      </c>
      <c r="AJ343" s="22">
        <f>1/(1+(x_rm+sens_rate))^(AJ$5+2)</f>
        <v/>
      </c>
      <c r="AK343" s="22">
        <f>1/(1+(x_rm+sens_rate))^(AK$5+2)</f>
        <v/>
      </c>
      <c r="AL343" s="22">
        <f>1/(1+(x_rm+sens_rate))^(AL$5+2)</f>
        <v/>
      </c>
    </row>
    <row r="344">
      <c r="B344" s="7" t="inlineStr">
        <is>
          <t>Value on 1 January 2027 of the flows from 2028 (split rates) ($)</t>
        </is>
      </c>
      <c r="C344" s="25">
        <f>SUMPRODUCT($D$336:$AL$336,$D$342:$AL$342)+SUMPRODUCT($D$340:$AL$340,$D$342:$AL$342)-SUMPRODUCT($D$338:$AL$338,$D$342:$AL$342)-SUMPRODUCT($D$339:$AL$339,$D$342:$AL$342)+SUMPRODUCT($D$337:$AL$337,$D$343:$AL$343)-decom_end/(1+(x_rc+sens_rate))^(life_years+1)</f>
        <v/>
      </c>
    </row>
    <row r="345">
      <c r="B345" s="14" t="inlineStr">
        <is>
          <t>Development value on 1 January 2027: value less the capital cost ($)</t>
        </is>
      </c>
      <c r="C345" s="26">
        <f>C344-C331/(1+(x_rc+sens_rate))</f>
        <v/>
      </c>
    </row>
    <row r="346">
      <c r="B346" s="7" t="inlineStr">
        <is>
          <t>Highest premium Ashgrove can pay at NTP ($)</t>
        </is>
      </c>
      <c r="C346" s="25">
        <f>C345-reimb+reimb/(1+(x_rc+sens_rate))</f>
        <v/>
      </c>
    </row>
    <row r="349">
      <c r="B349" s="6" t="inlineStr">
        <is>
          <t>Discount rates +1 point, case C</t>
        </is>
      </c>
    </row>
    <row r="350">
      <c r="B350" s="7" t="inlineStr">
        <is>
          <t>Capital cost ($)</t>
        </is>
      </c>
      <c r="C350" s="25">
        <f>((x_module+x_tracker+x_bos)*mwdc*1000000+x_inverter*mwac*1000000+x_sub)*(1+contingency)+x_ic+owner</f>
        <v/>
      </c>
    </row>
    <row r="351">
      <c r="B351" s="7" t="inlineStr">
        <is>
          <t>ITC eligible basis ($)</t>
        </is>
      </c>
      <c r="C351" s="25">
        <f>((x_module+x_tracker+x_bos)*mwdc*1000000+x_inverter*mwac*1000000+x_sub)*(1+contingency)-gentie_share*x_sub</f>
        <v/>
      </c>
    </row>
    <row r="352">
      <c r="B352" s="7" t="inlineStr">
        <is>
          <t>ITC cash at the end of 2028, if elected ($)</t>
        </is>
      </c>
      <c r="C352" s="25">
        <f>IF(sw_credit="ITC",C351*(itc_rate+sw_bonus)*transfer_itc,0)</f>
        <v/>
      </c>
    </row>
    <row r="353">
      <c r="B353" s="7" t="inlineStr">
        <is>
          <t>Energy (MWh)</t>
        </is>
      </c>
      <c r="D353" s="23">
        <f>mwac*hours*cf_p50*Energy!D$7*x_scale</f>
        <v/>
      </c>
      <c r="E353" s="23">
        <f>mwac*hours*cf_p50*Energy!E$7*x_scale</f>
        <v/>
      </c>
      <c r="F353" s="23">
        <f>mwac*hours*cf_p50*Energy!F$7*x_scale</f>
        <v/>
      </c>
      <c r="G353" s="23">
        <f>mwac*hours*cf_p50*Energy!G$7*x_scale</f>
        <v/>
      </c>
      <c r="H353" s="23">
        <f>mwac*hours*cf_p50*Energy!H$7*x_scale</f>
        <v/>
      </c>
      <c r="I353" s="23">
        <f>mwac*hours*cf_p50*Energy!I$7*x_scale</f>
        <v/>
      </c>
      <c r="J353" s="23">
        <f>mwac*hours*cf_p50*Energy!J$7*x_scale</f>
        <v/>
      </c>
      <c r="K353" s="23">
        <f>mwac*hours*cf_p50*Energy!K$7*x_scale</f>
        <v/>
      </c>
      <c r="L353" s="23">
        <f>mwac*hours*cf_p50*Energy!L$7*x_scale</f>
        <v/>
      </c>
      <c r="M353" s="23">
        <f>mwac*hours*cf_p50*Energy!M$7*x_scale</f>
        <v/>
      </c>
      <c r="N353" s="23">
        <f>mwac*hours*cf_p50*Energy!N$7*x_scale</f>
        <v/>
      </c>
      <c r="O353" s="23">
        <f>mwac*hours*cf_p50*Energy!O$7*x_scale</f>
        <v/>
      </c>
      <c r="P353" s="23">
        <f>mwac*hours*cf_p50*Energy!P$7*x_scale</f>
        <v/>
      </c>
      <c r="Q353" s="23">
        <f>mwac*hours*cf_p50*Energy!Q$7*x_scale</f>
        <v/>
      </c>
      <c r="R353" s="23">
        <f>mwac*hours*cf_p50*Energy!R$7*x_scale</f>
        <v/>
      </c>
      <c r="S353" s="23">
        <f>mwac*hours*cf_p50*Energy!S$7*x_scale</f>
        <v/>
      </c>
      <c r="T353" s="23">
        <f>mwac*hours*cf_p50*Energy!T$7*x_scale</f>
        <v/>
      </c>
      <c r="U353" s="23">
        <f>mwac*hours*cf_p50*Energy!U$7*x_scale</f>
        <v/>
      </c>
      <c r="V353" s="23">
        <f>mwac*hours*cf_p50*Energy!V$7*x_scale</f>
        <v/>
      </c>
      <c r="W353" s="23">
        <f>mwac*hours*cf_p50*Energy!W$7*x_scale</f>
        <v/>
      </c>
      <c r="X353" s="23">
        <f>mwac*hours*cf_p50*Energy!X$7*x_scale</f>
        <v/>
      </c>
      <c r="Y353" s="23">
        <f>mwac*hours*cf_p50*Energy!Y$7*x_scale</f>
        <v/>
      </c>
      <c r="Z353" s="23">
        <f>mwac*hours*cf_p50*Energy!Z$7*x_scale</f>
        <v/>
      </c>
      <c r="AA353" s="23">
        <f>mwac*hours*cf_p50*Energy!AA$7*x_scale</f>
        <v/>
      </c>
      <c r="AB353" s="23">
        <f>mwac*hours*cf_p50*Energy!AB$7*x_scale</f>
        <v/>
      </c>
      <c r="AC353" s="23">
        <f>mwac*hours*cf_p50*Energy!AC$7*x_scale</f>
        <v/>
      </c>
      <c r="AD353" s="23">
        <f>mwac*hours*cf_p50*Energy!AD$7*x_scale</f>
        <v/>
      </c>
      <c r="AE353" s="23">
        <f>mwac*hours*cf_p50*Energy!AE$7*x_scale</f>
        <v/>
      </c>
      <c r="AF353" s="23">
        <f>mwac*hours*cf_p50*Energy!AF$7*x_scale</f>
        <v/>
      </c>
      <c r="AG353" s="23">
        <f>mwac*hours*cf_p50*Energy!AG$7*x_scale</f>
        <v/>
      </c>
      <c r="AH353" s="23">
        <f>mwac*hours*cf_p50*Energy!AH$7*x_scale</f>
        <v/>
      </c>
      <c r="AI353" s="23">
        <f>mwac*hours*cf_p50*Energy!AI$7*x_scale</f>
        <v/>
      </c>
      <c r="AJ353" s="23">
        <f>mwac*hours*cf_p50*Energy!AJ$7*x_scale</f>
        <v/>
      </c>
      <c r="AK353" s="23">
        <f>mwac*hours*cf_p50*Energy!AK$7*x_scale</f>
        <v/>
      </c>
      <c r="AL353" s="23">
        <f>mwac*hours*cf_p50*Energy!AL$7*x_scale</f>
        <v/>
      </c>
    </row>
    <row r="354">
      <c r="B354" s="7" t="inlineStr">
        <is>
          <t>Node price, hub switch applied ($/MWh)</t>
        </is>
      </c>
      <c r="D354" s="32">
        <f>Market!D$7*(1+sw_hub)*Market!D$8+Market!D$10</f>
        <v/>
      </c>
      <c r="E354" s="32">
        <f>Market!E$7*(1+sw_hub)*Market!E$8+Market!E$10</f>
        <v/>
      </c>
      <c r="F354" s="32">
        <f>Market!F$7*(1+sw_hub)*Market!F$8+Market!F$10</f>
        <v/>
      </c>
      <c r="G354" s="32">
        <f>Market!G$7*(1+sw_hub)*Market!G$8+Market!G$10</f>
        <v/>
      </c>
      <c r="H354" s="32">
        <f>Market!H$7*(1+sw_hub)*Market!H$8+Market!H$10</f>
        <v/>
      </c>
      <c r="I354" s="32">
        <f>Market!I$7*(1+sw_hub)*Market!I$8+Market!I$10</f>
        <v/>
      </c>
      <c r="J354" s="32">
        <f>Market!J$7*(1+sw_hub)*Market!J$8+Market!J$10</f>
        <v/>
      </c>
      <c r="K354" s="32">
        <f>Market!K$7*(1+sw_hub)*Market!K$8+Market!K$10</f>
        <v/>
      </c>
      <c r="L354" s="32">
        <f>Market!L$7*(1+sw_hub)*Market!L$8+Market!L$10</f>
        <v/>
      </c>
      <c r="M354" s="32">
        <f>Market!M$7*(1+sw_hub)*Market!M$8+Market!M$10</f>
        <v/>
      </c>
      <c r="N354" s="32">
        <f>Market!N$7*(1+sw_hub)*Market!N$8+Market!N$10</f>
        <v/>
      </c>
      <c r="O354" s="32">
        <f>Market!O$7*(1+sw_hub)*Market!O$8+Market!O$10</f>
        <v/>
      </c>
      <c r="P354" s="32">
        <f>Market!P$7*(1+sw_hub)*Market!P$8+Market!P$10</f>
        <v/>
      </c>
      <c r="Q354" s="32">
        <f>Market!Q$7*(1+sw_hub)*Market!Q$8+Market!Q$10</f>
        <v/>
      </c>
      <c r="R354" s="32">
        <f>Market!R$7*(1+sw_hub)*Market!R$8+Market!R$10</f>
        <v/>
      </c>
      <c r="S354" s="32">
        <f>Market!S$7*(1+sw_hub)*Market!S$8+Market!S$10</f>
        <v/>
      </c>
      <c r="T354" s="32">
        <f>Market!T$7*(1+sw_hub)*Market!T$8+Market!T$10</f>
        <v/>
      </c>
      <c r="U354" s="32">
        <f>Market!U$7*(1+sw_hub)*Market!U$8+Market!U$10</f>
        <v/>
      </c>
      <c r="V354" s="32">
        <f>Market!V$7*(1+sw_hub)*Market!V$8+Market!V$10</f>
        <v/>
      </c>
      <c r="W354" s="32">
        <f>Market!W$7*(1+sw_hub)*Market!W$8+Market!W$10</f>
        <v/>
      </c>
      <c r="X354" s="32">
        <f>Market!X$7*(1+sw_hub)*Market!X$8+Market!X$10</f>
        <v/>
      </c>
      <c r="Y354" s="32">
        <f>Market!Y$7*(1+sw_hub)*Market!Y$8+Market!Y$10</f>
        <v/>
      </c>
      <c r="Z354" s="32">
        <f>Market!Z$7*(1+sw_hub)*Market!Z$8+Market!Z$10</f>
        <v/>
      </c>
      <c r="AA354" s="32">
        <f>Market!AA$7*(1+sw_hub)*Market!AA$8+Market!AA$10</f>
        <v/>
      </c>
      <c r="AB354" s="32">
        <f>Market!AB$7*(1+sw_hub)*Market!AB$8+Market!AB$10</f>
        <v/>
      </c>
      <c r="AC354" s="32">
        <f>Market!AC$7*(1+sw_hub)*Market!AC$8+Market!AC$10</f>
        <v/>
      </c>
      <c r="AD354" s="32">
        <f>Market!AD$7*(1+sw_hub)*Market!AD$8+Market!AD$10</f>
        <v/>
      </c>
      <c r="AE354" s="32">
        <f>Market!AE$7*(1+sw_hub)*Market!AE$8+Market!AE$10</f>
        <v/>
      </c>
      <c r="AF354" s="32">
        <f>Market!AF$7*(1+sw_hub)*Market!AF$8+Market!AF$10</f>
        <v/>
      </c>
      <c r="AG354" s="32">
        <f>Market!AG$7*(1+sw_hub)*Market!AG$8+Market!AG$10</f>
        <v/>
      </c>
      <c r="AH354" s="32">
        <f>Market!AH$7*(1+sw_hub)*Market!AH$8+Market!AH$10</f>
        <v/>
      </c>
      <c r="AI354" s="32">
        <f>Market!AI$7*(1+sw_hub)*Market!AI$8+Market!AI$10</f>
        <v/>
      </c>
      <c r="AJ354" s="32">
        <f>Market!AJ$7*(1+sw_hub)*Market!AJ$8+Market!AJ$10</f>
        <v/>
      </c>
      <c r="AK354" s="32">
        <f>Market!AK$7*(1+sw_hub)*Market!AK$8+Market!AK$10</f>
        <v/>
      </c>
      <c r="AL354" s="32">
        <f>Market!AL$7*(1+sw_hub)*Market!AL$8+Market!AL$10</f>
        <v/>
      </c>
    </row>
    <row r="355">
      <c r="B355" s="7" t="inlineStr">
        <is>
          <t>Contracted revenue ($)</t>
        </is>
      </c>
      <c r="D355" s="25">
        <f>IF(D$5&lt;c_years,D353*c_price,0)</f>
        <v/>
      </c>
      <c r="E355" s="25">
        <f>IF(E$5&lt;c_years,E353*c_price,0)</f>
        <v/>
      </c>
      <c r="F355" s="25">
        <f>IF(F$5&lt;c_years,F353*c_price,0)</f>
        <v/>
      </c>
      <c r="G355" s="25">
        <f>IF(G$5&lt;c_years,G353*c_price,0)</f>
        <v/>
      </c>
      <c r="H355" s="25">
        <f>IF(H$5&lt;c_years,H353*c_price,0)</f>
        <v/>
      </c>
      <c r="I355" s="25">
        <f>IF(I$5&lt;c_years,I353*c_price,0)</f>
        <v/>
      </c>
      <c r="J355" s="25">
        <f>IF(J$5&lt;c_years,J353*c_price,0)</f>
        <v/>
      </c>
      <c r="K355" s="25">
        <f>IF(K$5&lt;c_years,K353*c_price,0)</f>
        <v/>
      </c>
      <c r="L355" s="25">
        <f>IF(L$5&lt;c_years,L353*c_price,0)</f>
        <v/>
      </c>
      <c r="M355" s="25">
        <f>IF(M$5&lt;c_years,M353*c_price,0)</f>
        <v/>
      </c>
      <c r="N355" s="25">
        <f>IF(N$5&lt;c_years,N353*c_price,0)</f>
        <v/>
      </c>
      <c r="O355" s="25">
        <f>IF(O$5&lt;c_years,O353*c_price,0)</f>
        <v/>
      </c>
      <c r="P355" s="25">
        <f>IF(P$5&lt;c_years,P353*c_price,0)</f>
        <v/>
      </c>
      <c r="Q355" s="25">
        <f>IF(Q$5&lt;c_years,Q353*c_price,0)</f>
        <v/>
      </c>
      <c r="R355" s="25">
        <f>IF(R$5&lt;c_years,R353*c_price,0)</f>
        <v/>
      </c>
      <c r="S355" s="25">
        <f>IF(S$5&lt;c_years,S353*c_price,0)</f>
        <v/>
      </c>
      <c r="T355" s="25">
        <f>IF(T$5&lt;c_years,T353*c_price,0)</f>
        <v/>
      </c>
      <c r="U355" s="25">
        <f>IF(U$5&lt;c_years,U353*c_price,0)</f>
        <v/>
      </c>
      <c r="V355" s="25">
        <f>IF(V$5&lt;c_years,V353*c_price,0)</f>
        <v/>
      </c>
      <c r="W355" s="25">
        <f>IF(W$5&lt;c_years,W353*c_price,0)</f>
        <v/>
      </c>
      <c r="X355" s="25">
        <f>IF(X$5&lt;c_years,X353*c_price,0)</f>
        <v/>
      </c>
      <c r="Y355" s="25">
        <f>IF(Y$5&lt;c_years,Y353*c_price,0)</f>
        <v/>
      </c>
      <c r="Z355" s="25">
        <f>IF(Z$5&lt;c_years,Z353*c_price,0)</f>
        <v/>
      </c>
      <c r="AA355" s="25">
        <f>IF(AA$5&lt;c_years,AA353*c_price,0)</f>
        <v/>
      </c>
      <c r="AB355" s="25">
        <f>IF(AB$5&lt;c_years,AB353*c_price,0)</f>
        <v/>
      </c>
      <c r="AC355" s="25">
        <f>IF(AC$5&lt;c_years,AC353*c_price,0)</f>
        <v/>
      </c>
      <c r="AD355" s="25">
        <f>IF(AD$5&lt;c_years,AD353*c_price,0)</f>
        <v/>
      </c>
      <c r="AE355" s="25">
        <f>IF(AE$5&lt;c_years,AE353*c_price,0)</f>
        <v/>
      </c>
      <c r="AF355" s="25">
        <f>IF(AF$5&lt;c_years,AF353*c_price,0)</f>
        <v/>
      </c>
      <c r="AG355" s="25">
        <f>IF(AG$5&lt;c_years,AG353*c_price,0)</f>
        <v/>
      </c>
      <c r="AH355" s="25">
        <f>IF(AH$5&lt;c_years,AH353*c_price,0)</f>
        <v/>
      </c>
      <c r="AI355" s="25">
        <f>IF(AI$5&lt;c_years,AI353*c_price,0)</f>
        <v/>
      </c>
      <c r="AJ355" s="25">
        <f>IF(AJ$5&lt;c_years,AJ353*c_price,0)</f>
        <v/>
      </c>
      <c r="AK355" s="25">
        <f>IF(AK$5&lt;c_years,AK353*c_price,0)</f>
        <v/>
      </c>
      <c r="AL355" s="25">
        <f>IF(AL$5&lt;c_years,AL353*c_price,0)</f>
        <v/>
      </c>
    </row>
    <row r="356">
      <c r="B356" s="7" t="inlineStr">
        <is>
          <t>Merchant revenue ($)</t>
        </is>
      </c>
      <c r="D356" s="25">
        <f>IF(D$5&lt;c_years,Market!D$13,D353*(D354+rec_price)+Market!D$13)</f>
        <v/>
      </c>
      <c r="E356" s="25">
        <f>IF(E$5&lt;c_years,Market!E$13,E353*(E354+rec_price)+Market!E$13)</f>
        <v/>
      </c>
      <c r="F356" s="25">
        <f>IF(F$5&lt;c_years,Market!F$13,F353*(F354+rec_price)+Market!F$13)</f>
        <v/>
      </c>
      <c r="G356" s="25">
        <f>IF(G$5&lt;c_years,Market!G$13,G353*(G354+rec_price)+Market!G$13)</f>
        <v/>
      </c>
      <c r="H356" s="25">
        <f>IF(H$5&lt;c_years,Market!H$13,H353*(H354+rec_price)+Market!H$13)</f>
        <v/>
      </c>
      <c r="I356" s="25">
        <f>IF(I$5&lt;c_years,Market!I$13,I353*(I354+rec_price)+Market!I$13)</f>
        <v/>
      </c>
      <c r="J356" s="25">
        <f>IF(J$5&lt;c_years,Market!J$13,J353*(J354+rec_price)+Market!J$13)</f>
        <v/>
      </c>
      <c r="K356" s="25">
        <f>IF(K$5&lt;c_years,Market!K$13,K353*(K354+rec_price)+Market!K$13)</f>
        <v/>
      </c>
      <c r="L356" s="25">
        <f>IF(L$5&lt;c_years,Market!L$13,L353*(L354+rec_price)+Market!L$13)</f>
        <v/>
      </c>
      <c r="M356" s="25">
        <f>IF(M$5&lt;c_years,Market!M$13,M353*(M354+rec_price)+Market!M$13)</f>
        <v/>
      </c>
      <c r="N356" s="25">
        <f>IF(N$5&lt;c_years,Market!N$13,N353*(N354+rec_price)+Market!N$13)</f>
        <v/>
      </c>
      <c r="O356" s="25">
        <f>IF(O$5&lt;c_years,Market!O$13,O353*(O354+rec_price)+Market!O$13)</f>
        <v/>
      </c>
      <c r="P356" s="25">
        <f>IF(P$5&lt;c_years,Market!P$13,P353*(P354+rec_price)+Market!P$13)</f>
        <v/>
      </c>
      <c r="Q356" s="25">
        <f>IF(Q$5&lt;c_years,Market!Q$13,Q353*(Q354+rec_price)+Market!Q$13)</f>
        <v/>
      </c>
      <c r="R356" s="25">
        <f>IF(R$5&lt;c_years,Market!R$13,R353*(R354+rec_price)+Market!R$13)</f>
        <v/>
      </c>
      <c r="S356" s="25">
        <f>IF(S$5&lt;c_years,Market!S$13,S353*(S354+rec_price)+Market!S$13)</f>
        <v/>
      </c>
      <c r="T356" s="25">
        <f>IF(T$5&lt;c_years,Market!T$13,T353*(T354+rec_price)+Market!T$13)</f>
        <v/>
      </c>
      <c r="U356" s="25">
        <f>IF(U$5&lt;c_years,Market!U$13,U353*(U354+rec_price)+Market!U$13)</f>
        <v/>
      </c>
      <c r="V356" s="25">
        <f>IF(V$5&lt;c_years,Market!V$13,V353*(V354+rec_price)+Market!V$13)</f>
        <v/>
      </c>
      <c r="W356" s="25">
        <f>IF(W$5&lt;c_years,Market!W$13,W353*(W354+rec_price)+Market!W$13)</f>
        <v/>
      </c>
      <c r="X356" s="25">
        <f>IF(X$5&lt;c_years,Market!X$13,X353*(X354+rec_price)+Market!X$13)</f>
        <v/>
      </c>
      <c r="Y356" s="25">
        <f>IF(Y$5&lt;c_years,Market!Y$13,Y353*(Y354+rec_price)+Market!Y$13)</f>
        <v/>
      </c>
      <c r="Z356" s="25">
        <f>IF(Z$5&lt;c_years,Market!Z$13,Z353*(Z354+rec_price)+Market!Z$13)</f>
        <v/>
      </c>
      <c r="AA356" s="25">
        <f>IF(AA$5&lt;c_years,Market!AA$13,AA353*(AA354+rec_price)+Market!AA$13)</f>
        <v/>
      </c>
      <c r="AB356" s="25">
        <f>IF(AB$5&lt;c_years,Market!AB$13,AB353*(AB354+rec_price)+Market!AB$13)</f>
        <v/>
      </c>
      <c r="AC356" s="25">
        <f>IF(AC$5&lt;c_years,Market!AC$13,AC353*(AC354+rec_price)+Market!AC$13)</f>
        <v/>
      </c>
      <c r="AD356" s="25">
        <f>IF(AD$5&lt;c_years,Market!AD$13,AD353*(AD354+rec_price)+Market!AD$13)</f>
        <v/>
      </c>
      <c r="AE356" s="25">
        <f>IF(AE$5&lt;c_years,Market!AE$13,AE353*(AE354+rec_price)+Market!AE$13)</f>
        <v/>
      </c>
      <c r="AF356" s="25">
        <f>IF(AF$5&lt;c_years,Market!AF$13,AF353*(AF354+rec_price)+Market!AF$13)</f>
        <v/>
      </c>
      <c r="AG356" s="25">
        <f>IF(AG$5&lt;c_years,Market!AG$13,AG353*(AG354+rec_price)+Market!AG$13)</f>
        <v/>
      </c>
      <c r="AH356" s="25">
        <f>IF(AH$5&lt;c_years,Market!AH$13,AH353*(AH354+rec_price)+Market!AH$13)</f>
        <v/>
      </c>
      <c r="AI356" s="25">
        <f>IF(AI$5&lt;c_years,Market!AI$13,AI353*(AI354+rec_price)+Market!AI$13)</f>
        <v/>
      </c>
      <c r="AJ356" s="25">
        <f>IF(AJ$5&lt;c_years,Market!AJ$13,AJ353*(AJ354+rec_price)+Market!AJ$13)</f>
        <v/>
      </c>
      <c r="AK356" s="25">
        <f>IF(AK$5&lt;c_years,Market!AK$13,AK353*(AK354+rec_price)+Market!AK$13)</f>
        <v/>
      </c>
      <c r="AL356" s="25">
        <f>IF(AL$5&lt;c_years,Market!AL$13,AL353*(AL354+rec_price)+Market!AL$13)</f>
        <v/>
      </c>
    </row>
    <row r="357">
      <c r="B357" s="7" t="inlineStr">
        <is>
          <t>Basis cost kept by the project ($)</t>
        </is>
      </c>
      <c r="D357" s="25">
        <f>IF(D$5&lt;c_years,-D353*Market!D$10,0)</f>
        <v/>
      </c>
      <c r="E357" s="25">
        <f>IF(E$5&lt;c_years,-E353*Market!E$10,0)</f>
        <v/>
      </c>
      <c r="F357" s="25">
        <f>IF(F$5&lt;c_years,-F353*Market!F$10,0)</f>
        <v/>
      </c>
      <c r="G357" s="25">
        <f>IF(G$5&lt;c_years,-G353*Market!G$10,0)</f>
        <v/>
      </c>
      <c r="H357" s="25">
        <f>IF(H$5&lt;c_years,-H353*Market!H$10,0)</f>
        <v/>
      </c>
      <c r="I357" s="25">
        <f>IF(I$5&lt;c_years,-I353*Market!I$10,0)</f>
        <v/>
      </c>
      <c r="J357" s="25">
        <f>IF(J$5&lt;c_years,-J353*Market!J$10,0)</f>
        <v/>
      </c>
      <c r="K357" s="25">
        <f>IF(K$5&lt;c_years,-K353*Market!K$10,0)</f>
        <v/>
      </c>
      <c r="L357" s="25">
        <f>IF(L$5&lt;c_years,-L353*Market!L$10,0)</f>
        <v/>
      </c>
      <c r="M357" s="25">
        <f>IF(M$5&lt;c_years,-M353*Market!M$10,0)</f>
        <v/>
      </c>
      <c r="N357" s="25">
        <f>IF(N$5&lt;c_years,-N353*Market!N$10,0)</f>
        <v/>
      </c>
      <c r="O357" s="25">
        <f>IF(O$5&lt;c_years,-O353*Market!O$10,0)</f>
        <v/>
      </c>
      <c r="P357" s="25">
        <f>IF(P$5&lt;c_years,-P353*Market!P$10,0)</f>
        <v/>
      </c>
      <c r="Q357" s="25">
        <f>IF(Q$5&lt;c_years,-Q353*Market!Q$10,0)</f>
        <v/>
      </c>
      <c r="R357" s="25">
        <f>IF(R$5&lt;c_years,-R353*Market!R$10,0)</f>
        <v/>
      </c>
      <c r="S357" s="25">
        <f>IF(S$5&lt;c_years,-S353*Market!S$10,0)</f>
        <v/>
      </c>
      <c r="T357" s="25">
        <f>IF(T$5&lt;c_years,-T353*Market!T$10,0)</f>
        <v/>
      </c>
      <c r="U357" s="25">
        <f>IF(U$5&lt;c_years,-U353*Market!U$10,0)</f>
        <v/>
      </c>
      <c r="V357" s="25">
        <f>IF(V$5&lt;c_years,-V353*Market!V$10,0)</f>
        <v/>
      </c>
      <c r="W357" s="25">
        <f>IF(W$5&lt;c_years,-W353*Market!W$10,0)</f>
        <v/>
      </c>
      <c r="X357" s="25">
        <f>IF(X$5&lt;c_years,-X353*Market!X$10,0)</f>
        <v/>
      </c>
      <c r="Y357" s="25">
        <f>IF(Y$5&lt;c_years,-Y353*Market!Y$10,0)</f>
        <v/>
      </c>
      <c r="Z357" s="25">
        <f>IF(Z$5&lt;c_years,-Z353*Market!Z$10,0)</f>
        <v/>
      </c>
      <c r="AA357" s="25">
        <f>IF(AA$5&lt;c_years,-AA353*Market!AA$10,0)</f>
        <v/>
      </c>
      <c r="AB357" s="25">
        <f>IF(AB$5&lt;c_years,-AB353*Market!AB$10,0)</f>
        <v/>
      </c>
      <c r="AC357" s="25">
        <f>IF(AC$5&lt;c_years,-AC353*Market!AC$10,0)</f>
        <v/>
      </c>
      <c r="AD357" s="25">
        <f>IF(AD$5&lt;c_years,-AD353*Market!AD$10,0)</f>
        <v/>
      </c>
      <c r="AE357" s="25">
        <f>IF(AE$5&lt;c_years,-AE353*Market!AE$10,0)</f>
        <v/>
      </c>
      <c r="AF357" s="25">
        <f>IF(AF$5&lt;c_years,-AF353*Market!AF$10,0)</f>
        <v/>
      </c>
      <c r="AG357" s="25">
        <f>IF(AG$5&lt;c_years,-AG353*Market!AG$10,0)</f>
        <v/>
      </c>
      <c r="AH357" s="25">
        <f>IF(AH$5&lt;c_years,-AH353*Market!AH$10,0)</f>
        <v/>
      </c>
      <c r="AI357" s="25">
        <f>IF(AI$5&lt;c_years,-AI353*Market!AI$10,0)</f>
        <v/>
      </c>
      <c r="AJ357" s="25">
        <f>IF(AJ$5&lt;c_years,-AJ353*Market!AJ$10,0)</f>
        <v/>
      </c>
      <c r="AK357" s="25">
        <f>IF(AK$5&lt;c_years,-AK353*Market!AK$10,0)</f>
        <v/>
      </c>
      <c r="AL357" s="25">
        <f>IF(AL$5&lt;c_years,-AL353*Market!AL$10,0)</f>
        <v/>
      </c>
    </row>
    <row r="358">
      <c r="B358" s="7" t="inlineStr">
        <is>
          <t>Operating cost ($)</t>
        </is>
      </c>
      <c r="D358" s="25">
        <f>(om_kw*mwac*1000+ins_rate*$C$350+am_cost+prop_tax+misc_cost)*Opex!D$7+rent_acre*acres_lease*Opex!D$8</f>
        <v/>
      </c>
      <c r="E358" s="25">
        <f>(om_kw*mwac*1000+ins_rate*$C$350+am_cost+prop_tax+misc_cost)*Opex!E$7+rent_acre*acres_lease*Opex!E$8</f>
        <v/>
      </c>
      <c r="F358" s="25">
        <f>(om_kw*mwac*1000+ins_rate*$C$350+am_cost+prop_tax+misc_cost)*Opex!F$7+rent_acre*acres_lease*Opex!F$8</f>
        <v/>
      </c>
      <c r="G358" s="25">
        <f>(om_kw*mwac*1000+ins_rate*$C$350+am_cost+prop_tax+misc_cost)*Opex!G$7+rent_acre*acres_lease*Opex!G$8</f>
        <v/>
      </c>
      <c r="H358" s="25">
        <f>(om_kw*mwac*1000+ins_rate*$C$350+am_cost+prop_tax+misc_cost)*Opex!H$7+rent_acre*acres_lease*Opex!H$8</f>
        <v/>
      </c>
      <c r="I358" s="25">
        <f>(om_kw*mwac*1000+ins_rate*$C$350+am_cost+prop_tax+misc_cost)*Opex!I$7+rent_acre*acres_lease*Opex!I$8</f>
        <v/>
      </c>
      <c r="J358" s="25">
        <f>(om_kw*mwac*1000+ins_rate*$C$350+am_cost+prop_tax+misc_cost)*Opex!J$7+rent_acre*acres_lease*Opex!J$8</f>
        <v/>
      </c>
      <c r="K358" s="25">
        <f>(om_kw*mwac*1000+ins_rate*$C$350+am_cost+prop_tax+misc_cost)*Opex!K$7+rent_acre*acres_lease*Opex!K$8</f>
        <v/>
      </c>
      <c r="L358" s="25">
        <f>(om_kw*mwac*1000+ins_rate*$C$350+am_cost+prop_tax+misc_cost)*Opex!L$7+rent_acre*acres_lease*Opex!L$8</f>
        <v/>
      </c>
      <c r="M358" s="25">
        <f>(om_kw*mwac*1000+ins_rate*$C$350+am_cost+prop_tax+misc_cost)*Opex!M$7+rent_acre*acres_lease*Opex!M$8</f>
        <v/>
      </c>
      <c r="N358" s="25">
        <f>(om_kw*mwac*1000+ins_rate*$C$350+am_cost+prop_tax+misc_cost)*Opex!N$7+rent_acre*acres_lease*Opex!N$8</f>
        <v/>
      </c>
      <c r="O358" s="25">
        <f>(om_kw*mwac*1000+ins_rate*$C$350+am_cost+prop_tax+misc_cost)*Opex!O$7+rent_acre*acres_lease*Opex!O$8</f>
        <v/>
      </c>
      <c r="P358" s="25">
        <f>(om_kw*mwac*1000+ins_rate*$C$350+am_cost+prop_tax+misc_cost)*Opex!P$7+rent_acre*acres_lease*Opex!P$8</f>
        <v/>
      </c>
      <c r="Q358" s="25">
        <f>(om_kw*mwac*1000+ins_rate*$C$350+am_cost+prop_tax+misc_cost)*Opex!Q$7+rent_acre*acres_lease*Opex!Q$8</f>
        <v/>
      </c>
      <c r="R358" s="25">
        <f>(om_kw*mwac*1000+ins_rate*$C$350+am_cost+prop_tax+misc_cost)*Opex!R$7+rent_acre*acres_lease*Opex!R$8</f>
        <v/>
      </c>
      <c r="S358" s="25">
        <f>(om_kw*mwac*1000+ins_rate*$C$350+am_cost+prop_tax+misc_cost)*Opex!S$7+rent_acre*acres_lease*Opex!S$8</f>
        <v/>
      </c>
      <c r="T358" s="25">
        <f>(om_kw*mwac*1000+ins_rate*$C$350+am_cost+prop_tax+misc_cost)*Opex!T$7+rent_acre*acres_lease*Opex!T$8</f>
        <v/>
      </c>
      <c r="U358" s="25">
        <f>(om_kw*mwac*1000+ins_rate*$C$350+am_cost+prop_tax+misc_cost)*Opex!U$7+rent_acre*acres_lease*Opex!U$8</f>
        <v/>
      </c>
      <c r="V358" s="25">
        <f>(om_kw*mwac*1000+ins_rate*$C$350+am_cost+prop_tax+misc_cost)*Opex!V$7+rent_acre*acres_lease*Opex!V$8</f>
        <v/>
      </c>
      <c r="W358" s="25">
        <f>(om_kw*mwac*1000+ins_rate*$C$350+am_cost+prop_tax+misc_cost)*Opex!W$7+rent_acre*acres_lease*Opex!W$8</f>
        <v/>
      </c>
      <c r="X358" s="25">
        <f>(om_kw*mwac*1000+ins_rate*$C$350+am_cost+prop_tax+misc_cost)*Opex!X$7+rent_acre*acres_lease*Opex!X$8</f>
        <v/>
      </c>
      <c r="Y358" s="25">
        <f>(om_kw*mwac*1000+ins_rate*$C$350+am_cost+prop_tax+misc_cost)*Opex!Y$7+rent_acre*acres_lease*Opex!Y$8</f>
        <v/>
      </c>
      <c r="Z358" s="25">
        <f>(om_kw*mwac*1000+ins_rate*$C$350+am_cost+prop_tax+misc_cost)*Opex!Z$7+rent_acre*acres_lease*Opex!Z$8</f>
        <v/>
      </c>
      <c r="AA358" s="25">
        <f>(om_kw*mwac*1000+ins_rate*$C$350+am_cost+prop_tax+misc_cost)*Opex!AA$7+rent_acre*acres_lease*Opex!AA$8</f>
        <v/>
      </c>
      <c r="AB358" s="25">
        <f>(om_kw*mwac*1000+ins_rate*$C$350+am_cost+prop_tax+misc_cost)*Opex!AB$7+rent_acre*acres_lease*Opex!AB$8</f>
        <v/>
      </c>
      <c r="AC358" s="25">
        <f>(om_kw*mwac*1000+ins_rate*$C$350+am_cost+prop_tax+misc_cost)*Opex!AC$7+rent_acre*acres_lease*Opex!AC$8</f>
        <v/>
      </c>
      <c r="AD358" s="25">
        <f>(om_kw*mwac*1000+ins_rate*$C$350+am_cost+prop_tax+misc_cost)*Opex!AD$7+rent_acre*acres_lease*Opex!AD$8</f>
        <v/>
      </c>
      <c r="AE358" s="25">
        <f>(om_kw*mwac*1000+ins_rate*$C$350+am_cost+prop_tax+misc_cost)*Opex!AE$7+rent_acre*acres_lease*Opex!AE$8</f>
        <v/>
      </c>
      <c r="AF358" s="25">
        <f>(om_kw*mwac*1000+ins_rate*$C$350+am_cost+prop_tax+misc_cost)*Opex!AF$7+rent_acre*acres_lease*Opex!AF$8</f>
        <v/>
      </c>
      <c r="AG358" s="25">
        <f>(om_kw*mwac*1000+ins_rate*$C$350+am_cost+prop_tax+misc_cost)*Opex!AG$7+rent_acre*acres_lease*Opex!AG$8</f>
        <v/>
      </c>
      <c r="AH358" s="25">
        <f>(om_kw*mwac*1000+ins_rate*$C$350+am_cost+prop_tax+misc_cost)*Opex!AH$7+rent_acre*acres_lease*Opex!AH$8</f>
        <v/>
      </c>
      <c r="AI358" s="25">
        <f>(om_kw*mwac*1000+ins_rate*$C$350+am_cost+prop_tax+misc_cost)*Opex!AI$7+rent_acre*acres_lease*Opex!AI$8</f>
        <v/>
      </c>
      <c r="AJ358" s="25">
        <f>(om_kw*mwac*1000+ins_rate*$C$350+am_cost+prop_tax+misc_cost)*Opex!AJ$7+rent_acre*acres_lease*Opex!AJ$8</f>
        <v/>
      </c>
      <c r="AK358" s="25">
        <f>(om_kw*mwac*1000+ins_rate*$C$350+am_cost+prop_tax+misc_cost)*Opex!AK$7+rent_acre*acres_lease*Opex!AK$8</f>
        <v/>
      </c>
      <c r="AL358" s="25">
        <f>(om_kw*mwac*1000+ins_rate*$C$350+am_cost+prop_tax+misc_cost)*Opex!AL$7+rent_acre*acres_lease*Opex!AL$8</f>
        <v/>
      </c>
    </row>
    <row r="359">
      <c r="B359" s="7" t="inlineStr">
        <is>
          <t>Credit cash ($)</t>
        </is>
      </c>
      <c r="D359" s="25">
        <f>IF(sw_credit="PTC",IF(D$5&lt;ptc_years,D353*Credits!D$8*(1+sw_bonus)*transfer_ptc,0),0)+IF(D$5=0,$C$352,0)</f>
        <v/>
      </c>
      <c r="E359" s="25">
        <f>IF(sw_credit="PTC",IF(E$5&lt;ptc_years,E353*Credits!E$8*(1+sw_bonus)*transfer_ptc,0),0)+IF(E$5=0,$C$352,0)</f>
        <v/>
      </c>
      <c r="F359" s="25">
        <f>IF(sw_credit="PTC",IF(F$5&lt;ptc_years,F353*Credits!F$8*(1+sw_bonus)*transfer_ptc,0),0)+IF(F$5=0,$C$352,0)</f>
        <v/>
      </c>
      <c r="G359" s="25">
        <f>IF(sw_credit="PTC",IF(G$5&lt;ptc_years,G353*Credits!G$8*(1+sw_bonus)*transfer_ptc,0),0)+IF(G$5=0,$C$352,0)</f>
        <v/>
      </c>
      <c r="H359" s="25">
        <f>IF(sw_credit="PTC",IF(H$5&lt;ptc_years,H353*Credits!H$8*(1+sw_bonus)*transfer_ptc,0),0)+IF(H$5=0,$C$352,0)</f>
        <v/>
      </c>
      <c r="I359" s="25">
        <f>IF(sw_credit="PTC",IF(I$5&lt;ptc_years,I353*Credits!I$8*(1+sw_bonus)*transfer_ptc,0),0)+IF(I$5=0,$C$352,0)</f>
        <v/>
      </c>
      <c r="J359" s="25">
        <f>IF(sw_credit="PTC",IF(J$5&lt;ptc_years,J353*Credits!J$8*(1+sw_bonus)*transfer_ptc,0),0)+IF(J$5=0,$C$352,0)</f>
        <v/>
      </c>
      <c r="K359" s="25">
        <f>IF(sw_credit="PTC",IF(K$5&lt;ptc_years,K353*Credits!K$8*(1+sw_bonus)*transfer_ptc,0),0)+IF(K$5=0,$C$352,0)</f>
        <v/>
      </c>
      <c r="L359" s="25">
        <f>IF(sw_credit="PTC",IF(L$5&lt;ptc_years,L353*Credits!L$8*(1+sw_bonus)*transfer_ptc,0),0)+IF(L$5=0,$C$352,0)</f>
        <v/>
      </c>
      <c r="M359" s="25">
        <f>IF(sw_credit="PTC",IF(M$5&lt;ptc_years,M353*Credits!M$8*(1+sw_bonus)*transfer_ptc,0),0)+IF(M$5=0,$C$352,0)</f>
        <v/>
      </c>
      <c r="N359" s="25">
        <f>IF(sw_credit="PTC",IF(N$5&lt;ptc_years,N353*Credits!N$8*(1+sw_bonus)*transfer_ptc,0),0)+IF(N$5=0,$C$352,0)</f>
        <v/>
      </c>
      <c r="O359" s="25">
        <f>IF(sw_credit="PTC",IF(O$5&lt;ptc_years,O353*Credits!O$8*(1+sw_bonus)*transfer_ptc,0),0)+IF(O$5=0,$C$352,0)</f>
        <v/>
      </c>
      <c r="P359" s="25">
        <f>IF(sw_credit="PTC",IF(P$5&lt;ptc_years,P353*Credits!P$8*(1+sw_bonus)*transfer_ptc,0),0)+IF(P$5=0,$C$352,0)</f>
        <v/>
      </c>
      <c r="Q359" s="25">
        <f>IF(sw_credit="PTC",IF(Q$5&lt;ptc_years,Q353*Credits!Q$8*(1+sw_bonus)*transfer_ptc,0),0)+IF(Q$5=0,$C$352,0)</f>
        <v/>
      </c>
      <c r="R359" s="25">
        <f>IF(sw_credit="PTC",IF(R$5&lt;ptc_years,R353*Credits!R$8*(1+sw_bonus)*transfer_ptc,0),0)+IF(R$5=0,$C$352,0)</f>
        <v/>
      </c>
      <c r="S359" s="25">
        <f>IF(sw_credit="PTC",IF(S$5&lt;ptc_years,S353*Credits!S$8*(1+sw_bonus)*transfer_ptc,0),0)+IF(S$5=0,$C$352,0)</f>
        <v/>
      </c>
      <c r="T359" s="25">
        <f>IF(sw_credit="PTC",IF(T$5&lt;ptc_years,T353*Credits!T$8*(1+sw_bonus)*transfer_ptc,0),0)+IF(T$5=0,$C$352,0)</f>
        <v/>
      </c>
      <c r="U359" s="25">
        <f>IF(sw_credit="PTC",IF(U$5&lt;ptc_years,U353*Credits!U$8*(1+sw_bonus)*transfer_ptc,0),0)+IF(U$5=0,$C$352,0)</f>
        <v/>
      </c>
      <c r="V359" s="25">
        <f>IF(sw_credit="PTC",IF(V$5&lt;ptc_years,V353*Credits!V$8*(1+sw_bonus)*transfer_ptc,0),0)+IF(V$5=0,$C$352,0)</f>
        <v/>
      </c>
      <c r="W359" s="25">
        <f>IF(sw_credit="PTC",IF(W$5&lt;ptc_years,W353*Credits!W$8*(1+sw_bonus)*transfer_ptc,0),0)+IF(W$5=0,$C$352,0)</f>
        <v/>
      </c>
      <c r="X359" s="25">
        <f>IF(sw_credit="PTC",IF(X$5&lt;ptc_years,X353*Credits!X$8*(1+sw_bonus)*transfer_ptc,0),0)+IF(X$5=0,$C$352,0)</f>
        <v/>
      </c>
      <c r="Y359" s="25">
        <f>IF(sw_credit="PTC",IF(Y$5&lt;ptc_years,Y353*Credits!Y$8*(1+sw_bonus)*transfer_ptc,0),0)+IF(Y$5=0,$C$352,0)</f>
        <v/>
      </c>
      <c r="Z359" s="25">
        <f>IF(sw_credit="PTC",IF(Z$5&lt;ptc_years,Z353*Credits!Z$8*(1+sw_bonus)*transfer_ptc,0),0)+IF(Z$5=0,$C$352,0)</f>
        <v/>
      </c>
      <c r="AA359" s="25">
        <f>IF(sw_credit="PTC",IF(AA$5&lt;ptc_years,AA353*Credits!AA$8*(1+sw_bonus)*transfer_ptc,0),0)+IF(AA$5=0,$C$352,0)</f>
        <v/>
      </c>
      <c r="AB359" s="25">
        <f>IF(sw_credit="PTC",IF(AB$5&lt;ptc_years,AB353*Credits!AB$8*(1+sw_bonus)*transfer_ptc,0),0)+IF(AB$5=0,$C$352,0)</f>
        <v/>
      </c>
      <c r="AC359" s="25">
        <f>IF(sw_credit="PTC",IF(AC$5&lt;ptc_years,AC353*Credits!AC$8*(1+sw_bonus)*transfer_ptc,0),0)+IF(AC$5=0,$C$352,0)</f>
        <v/>
      </c>
      <c r="AD359" s="25">
        <f>IF(sw_credit="PTC",IF(AD$5&lt;ptc_years,AD353*Credits!AD$8*(1+sw_bonus)*transfer_ptc,0),0)+IF(AD$5=0,$C$352,0)</f>
        <v/>
      </c>
      <c r="AE359" s="25">
        <f>IF(sw_credit="PTC",IF(AE$5&lt;ptc_years,AE353*Credits!AE$8*(1+sw_bonus)*transfer_ptc,0),0)+IF(AE$5=0,$C$352,0)</f>
        <v/>
      </c>
      <c r="AF359" s="25">
        <f>IF(sw_credit="PTC",IF(AF$5&lt;ptc_years,AF353*Credits!AF$8*(1+sw_bonus)*transfer_ptc,0),0)+IF(AF$5=0,$C$352,0)</f>
        <v/>
      </c>
      <c r="AG359" s="25">
        <f>IF(sw_credit="PTC",IF(AG$5&lt;ptc_years,AG353*Credits!AG$8*(1+sw_bonus)*transfer_ptc,0),0)+IF(AG$5=0,$C$352,0)</f>
        <v/>
      </c>
      <c r="AH359" s="25">
        <f>IF(sw_credit="PTC",IF(AH$5&lt;ptc_years,AH353*Credits!AH$8*(1+sw_bonus)*transfer_ptc,0),0)+IF(AH$5=0,$C$352,0)</f>
        <v/>
      </c>
      <c r="AI359" s="25">
        <f>IF(sw_credit="PTC",IF(AI$5&lt;ptc_years,AI353*Credits!AI$8*(1+sw_bonus)*transfer_ptc,0),0)+IF(AI$5=0,$C$352,0)</f>
        <v/>
      </c>
      <c r="AJ359" s="25">
        <f>IF(sw_credit="PTC",IF(AJ$5&lt;ptc_years,AJ353*Credits!AJ$8*(1+sw_bonus)*transfer_ptc,0),0)+IF(AJ$5=0,$C$352,0)</f>
        <v/>
      </c>
      <c r="AK359" s="25">
        <f>IF(sw_credit="PTC",IF(AK$5&lt;ptc_years,AK353*Credits!AK$8*(1+sw_bonus)*transfer_ptc,0),0)+IF(AK$5=0,$C$352,0)</f>
        <v/>
      </c>
      <c r="AL359" s="25">
        <f>IF(sw_credit="PTC",IF(AL$5&lt;ptc_years,AL353*Credits!AL$8*(1+sw_bonus)*transfer_ptc,0),0)+IF(AL$5=0,$C$352,0)</f>
        <v/>
      </c>
    </row>
    <row r="360">
      <c r="B360" s="14" t="inlineStr">
        <is>
          <t>EBITDA ($)</t>
        </is>
      </c>
      <c r="D360" s="26">
        <f>D355+D356-D357-D358</f>
        <v/>
      </c>
      <c r="E360" s="26">
        <f>E355+E356-E357-E358</f>
        <v/>
      </c>
      <c r="F360" s="26">
        <f>F355+F356-F357-F358</f>
        <v/>
      </c>
      <c r="G360" s="26">
        <f>G355+G356-G357-G358</f>
        <v/>
      </c>
      <c r="H360" s="26">
        <f>H355+H356-H357-H358</f>
        <v/>
      </c>
      <c r="I360" s="26">
        <f>I355+I356-I357-I358</f>
        <v/>
      </c>
      <c r="J360" s="26">
        <f>J355+J356-J357-J358</f>
        <v/>
      </c>
      <c r="K360" s="26">
        <f>K355+K356-K357-K358</f>
        <v/>
      </c>
      <c r="L360" s="26">
        <f>L355+L356-L357-L358</f>
        <v/>
      </c>
      <c r="M360" s="26">
        <f>M355+M356-M357-M358</f>
        <v/>
      </c>
      <c r="N360" s="26">
        <f>N355+N356-N357-N358</f>
        <v/>
      </c>
      <c r="O360" s="26">
        <f>O355+O356-O357-O358</f>
        <v/>
      </c>
      <c r="P360" s="26">
        <f>P355+P356-P357-P358</f>
        <v/>
      </c>
      <c r="Q360" s="26">
        <f>Q355+Q356-Q357-Q358</f>
        <v/>
      </c>
      <c r="R360" s="26">
        <f>R355+R356-R357-R358</f>
        <v/>
      </c>
      <c r="S360" s="26">
        <f>S355+S356-S357-S358</f>
        <v/>
      </c>
      <c r="T360" s="26">
        <f>T355+T356-T357-T358</f>
        <v/>
      </c>
      <c r="U360" s="26">
        <f>U355+U356-U357-U358</f>
        <v/>
      </c>
      <c r="V360" s="26">
        <f>V355+V356-V357-V358</f>
        <v/>
      </c>
      <c r="W360" s="26">
        <f>W355+W356-W357-W358</f>
        <v/>
      </c>
      <c r="X360" s="26">
        <f>X355+X356-X357-X358</f>
        <v/>
      </c>
      <c r="Y360" s="26">
        <f>Y355+Y356-Y357-Y358</f>
        <v/>
      </c>
      <c r="Z360" s="26">
        <f>Z355+Z356-Z357-Z358</f>
        <v/>
      </c>
      <c r="AA360" s="26">
        <f>AA355+AA356-AA357-AA358</f>
        <v/>
      </c>
      <c r="AB360" s="26">
        <f>AB355+AB356-AB357-AB358</f>
        <v/>
      </c>
      <c r="AC360" s="26">
        <f>AC355+AC356-AC357-AC358</f>
        <v/>
      </c>
      <c r="AD360" s="26">
        <f>AD355+AD356-AD357-AD358</f>
        <v/>
      </c>
      <c r="AE360" s="26">
        <f>AE355+AE356-AE357-AE358</f>
        <v/>
      </c>
      <c r="AF360" s="26">
        <f>AF355+AF356-AF357-AF358</f>
        <v/>
      </c>
      <c r="AG360" s="26">
        <f>AG355+AG356-AG357-AG358</f>
        <v/>
      </c>
      <c r="AH360" s="26">
        <f>AH355+AH356-AH357-AH358</f>
        <v/>
      </c>
      <c r="AI360" s="26">
        <f>AI355+AI356-AI357-AI358</f>
        <v/>
      </c>
      <c r="AJ360" s="26">
        <f>AJ355+AJ356-AJ357-AJ358</f>
        <v/>
      </c>
      <c r="AK360" s="26">
        <f>AK355+AK356-AK357-AK358</f>
        <v/>
      </c>
      <c r="AL360" s="26">
        <f>AL355+AL356-AL357-AL358</f>
        <v/>
      </c>
    </row>
    <row r="361">
      <c r="B361" s="7" t="inlineStr">
        <is>
          <t>Discount factor to 1 January 2027, contracted rate</t>
        </is>
      </c>
      <c r="D361" s="22">
        <f>1/(1+(x_rc+sens_rate))^(D$5+2)</f>
        <v/>
      </c>
      <c r="E361" s="22">
        <f>1/(1+(x_rc+sens_rate))^(E$5+2)</f>
        <v/>
      </c>
      <c r="F361" s="22">
        <f>1/(1+(x_rc+sens_rate))^(F$5+2)</f>
        <v/>
      </c>
      <c r="G361" s="22">
        <f>1/(1+(x_rc+sens_rate))^(G$5+2)</f>
        <v/>
      </c>
      <c r="H361" s="22">
        <f>1/(1+(x_rc+sens_rate))^(H$5+2)</f>
        <v/>
      </c>
      <c r="I361" s="22">
        <f>1/(1+(x_rc+sens_rate))^(I$5+2)</f>
        <v/>
      </c>
      <c r="J361" s="22">
        <f>1/(1+(x_rc+sens_rate))^(J$5+2)</f>
        <v/>
      </c>
      <c r="K361" s="22">
        <f>1/(1+(x_rc+sens_rate))^(K$5+2)</f>
        <v/>
      </c>
      <c r="L361" s="22">
        <f>1/(1+(x_rc+sens_rate))^(L$5+2)</f>
        <v/>
      </c>
      <c r="M361" s="22">
        <f>1/(1+(x_rc+sens_rate))^(M$5+2)</f>
        <v/>
      </c>
      <c r="N361" s="22">
        <f>1/(1+(x_rc+sens_rate))^(N$5+2)</f>
        <v/>
      </c>
      <c r="O361" s="22">
        <f>1/(1+(x_rc+sens_rate))^(O$5+2)</f>
        <v/>
      </c>
      <c r="P361" s="22">
        <f>1/(1+(x_rc+sens_rate))^(P$5+2)</f>
        <v/>
      </c>
      <c r="Q361" s="22">
        <f>1/(1+(x_rc+sens_rate))^(Q$5+2)</f>
        <v/>
      </c>
      <c r="R361" s="22">
        <f>1/(1+(x_rc+sens_rate))^(R$5+2)</f>
        <v/>
      </c>
      <c r="S361" s="22">
        <f>1/(1+(x_rc+sens_rate))^(S$5+2)</f>
        <v/>
      </c>
      <c r="T361" s="22">
        <f>1/(1+(x_rc+sens_rate))^(T$5+2)</f>
        <v/>
      </c>
      <c r="U361" s="22">
        <f>1/(1+(x_rc+sens_rate))^(U$5+2)</f>
        <v/>
      </c>
      <c r="V361" s="22">
        <f>1/(1+(x_rc+sens_rate))^(V$5+2)</f>
        <v/>
      </c>
      <c r="W361" s="22">
        <f>1/(1+(x_rc+sens_rate))^(W$5+2)</f>
        <v/>
      </c>
      <c r="X361" s="22">
        <f>1/(1+(x_rc+sens_rate))^(X$5+2)</f>
        <v/>
      </c>
      <c r="Y361" s="22">
        <f>1/(1+(x_rc+sens_rate))^(Y$5+2)</f>
        <v/>
      </c>
      <c r="Z361" s="22">
        <f>1/(1+(x_rc+sens_rate))^(Z$5+2)</f>
        <v/>
      </c>
      <c r="AA361" s="22">
        <f>1/(1+(x_rc+sens_rate))^(AA$5+2)</f>
        <v/>
      </c>
      <c r="AB361" s="22">
        <f>1/(1+(x_rc+sens_rate))^(AB$5+2)</f>
        <v/>
      </c>
      <c r="AC361" s="22">
        <f>1/(1+(x_rc+sens_rate))^(AC$5+2)</f>
        <v/>
      </c>
      <c r="AD361" s="22">
        <f>1/(1+(x_rc+sens_rate))^(AD$5+2)</f>
        <v/>
      </c>
      <c r="AE361" s="22">
        <f>1/(1+(x_rc+sens_rate))^(AE$5+2)</f>
        <v/>
      </c>
      <c r="AF361" s="22">
        <f>1/(1+(x_rc+sens_rate))^(AF$5+2)</f>
        <v/>
      </c>
      <c r="AG361" s="22">
        <f>1/(1+(x_rc+sens_rate))^(AG$5+2)</f>
        <v/>
      </c>
      <c r="AH361" s="22">
        <f>1/(1+(x_rc+sens_rate))^(AH$5+2)</f>
        <v/>
      </c>
      <c r="AI361" s="22">
        <f>1/(1+(x_rc+sens_rate))^(AI$5+2)</f>
        <v/>
      </c>
      <c r="AJ361" s="22">
        <f>1/(1+(x_rc+sens_rate))^(AJ$5+2)</f>
        <v/>
      </c>
      <c r="AK361" s="22">
        <f>1/(1+(x_rc+sens_rate))^(AK$5+2)</f>
        <v/>
      </c>
      <c r="AL361" s="22">
        <f>1/(1+(x_rc+sens_rate))^(AL$5+2)</f>
        <v/>
      </c>
    </row>
    <row r="362">
      <c r="B362" s="7" t="inlineStr">
        <is>
          <t>Discount factor to 1 January 2027, merchant rate</t>
        </is>
      </c>
      <c r="D362" s="22">
        <f>1/(1+(x_rm+sens_rate))^(D$5+2)</f>
        <v/>
      </c>
      <c r="E362" s="22">
        <f>1/(1+(x_rm+sens_rate))^(E$5+2)</f>
        <v/>
      </c>
      <c r="F362" s="22">
        <f>1/(1+(x_rm+sens_rate))^(F$5+2)</f>
        <v/>
      </c>
      <c r="G362" s="22">
        <f>1/(1+(x_rm+sens_rate))^(G$5+2)</f>
        <v/>
      </c>
      <c r="H362" s="22">
        <f>1/(1+(x_rm+sens_rate))^(H$5+2)</f>
        <v/>
      </c>
      <c r="I362" s="22">
        <f>1/(1+(x_rm+sens_rate))^(I$5+2)</f>
        <v/>
      </c>
      <c r="J362" s="22">
        <f>1/(1+(x_rm+sens_rate))^(J$5+2)</f>
        <v/>
      </c>
      <c r="K362" s="22">
        <f>1/(1+(x_rm+sens_rate))^(K$5+2)</f>
        <v/>
      </c>
      <c r="L362" s="22">
        <f>1/(1+(x_rm+sens_rate))^(L$5+2)</f>
        <v/>
      </c>
      <c r="M362" s="22">
        <f>1/(1+(x_rm+sens_rate))^(M$5+2)</f>
        <v/>
      </c>
      <c r="N362" s="22">
        <f>1/(1+(x_rm+sens_rate))^(N$5+2)</f>
        <v/>
      </c>
      <c r="O362" s="22">
        <f>1/(1+(x_rm+sens_rate))^(O$5+2)</f>
        <v/>
      </c>
      <c r="P362" s="22">
        <f>1/(1+(x_rm+sens_rate))^(P$5+2)</f>
        <v/>
      </c>
      <c r="Q362" s="22">
        <f>1/(1+(x_rm+sens_rate))^(Q$5+2)</f>
        <v/>
      </c>
      <c r="R362" s="22">
        <f>1/(1+(x_rm+sens_rate))^(R$5+2)</f>
        <v/>
      </c>
      <c r="S362" s="22">
        <f>1/(1+(x_rm+sens_rate))^(S$5+2)</f>
        <v/>
      </c>
      <c r="T362" s="22">
        <f>1/(1+(x_rm+sens_rate))^(T$5+2)</f>
        <v/>
      </c>
      <c r="U362" s="22">
        <f>1/(1+(x_rm+sens_rate))^(U$5+2)</f>
        <v/>
      </c>
      <c r="V362" s="22">
        <f>1/(1+(x_rm+sens_rate))^(V$5+2)</f>
        <v/>
      </c>
      <c r="W362" s="22">
        <f>1/(1+(x_rm+sens_rate))^(W$5+2)</f>
        <v/>
      </c>
      <c r="X362" s="22">
        <f>1/(1+(x_rm+sens_rate))^(X$5+2)</f>
        <v/>
      </c>
      <c r="Y362" s="22">
        <f>1/(1+(x_rm+sens_rate))^(Y$5+2)</f>
        <v/>
      </c>
      <c r="Z362" s="22">
        <f>1/(1+(x_rm+sens_rate))^(Z$5+2)</f>
        <v/>
      </c>
      <c r="AA362" s="22">
        <f>1/(1+(x_rm+sens_rate))^(AA$5+2)</f>
        <v/>
      </c>
      <c r="AB362" s="22">
        <f>1/(1+(x_rm+sens_rate))^(AB$5+2)</f>
        <v/>
      </c>
      <c r="AC362" s="22">
        <f>1/(1+(x_rm+sens_rate))^(AC$5+2)</f>
        <v/>
      </c>
      <c r="AD362" s="22">
        <f>1/(1+(x_rm+sens_rate))^(AD$5+2)</f>
        <v/>
      </c>
      <c r="AE362" s="22">
        <f>1/(1+(x_rm+sens_rate))^(AE$5+2)</f>
        <v/>
      </c>
      <c r="AF362" s="22">
        <f>1/(1+(x_rm+sens_rate))^(AF$5+2)</f>
        <v/>
      </c>
      <c r="AG362" s="22">
        <f>1/(1+(x_rm+sens_rate))^(AG$5+2)</f>
        <v/>
      </c>
      <c r="AH362" s="22">
        <f>1/(1+(x_rm+sens_rate))^(AH$5+2)</f>
        <v/>
      </c>
      <c r="AI362" s="22">
        <f>1/(1+(x_rm+sens_rate))^(AI$5+2)</f>
        <v/>
      </c>
      <c r="AJ362" s="22">
        <f>1/(1+(x_rm+sens_rate))^(AJ$5+2)</f>
        <v/>
      </c>
      <c r="AK362" s="22">
        <f>1/(1+(x_rm+sens_rate))^(AK$5+2)</f>
        <v/>
      </c>
      <c r="AL362" s="22">
        <f>1/(1+(x_rm+sens_rate))^(AL$5+2)</f>
        <v/>
      </c>
    </row>
    <row r="363">
      <c r="B363" s="7" t="inlineStr">
        <is>
          <t>Value on 1 January 2027 of the flows from 2028 (split rates) ($)</t>
        </is>
      </c>
      <c r="C363" s="25">
        <f>SUMPRODUCT($D$355:$AL$355,$D$361:$AL$361)+SUMPRODUCT($D$359:$AL$359,$D$361:$AL$361)-SUMPRODUCT($D$357:$AL$357,$D$361:$AL$361)-SUMPRODUCT($D$358:$AL$358,$D$361:$AL$361)+SUMPRODUCT($D$356:$AL$356,$D$362:$AL$362)-decom_end/(1+(x_rc+sens_rate))^(life_years+1)</f>
        <v/>
      </c>
    </row>
    <row r="364">
      <c r="B364" s="14" t="inlineStr">
        <is>
          <t>Development value on 1 January 2027: value less the capital cost ($)</t>
        </is>
      </c>
      <c r="C364" s="26">
        <f>C363-C350/(1+(x_rc+sens_rate))</f>
        <v/>
      </c>
    </row>
    <row r="365">
      <c r="B365" s="7" t="inlineStr">
        <is>
          <t>Highest premium Ashgrove can pay at NTP ($)</t>
        </is>
      </c>
      <c r="C365" s="25">
        <f>C364-reimb+reimb/(1+(x_rc+sens_rate))</f>
        <v/>
      </c>
    </row>
    <row r="368">
      <c r="B368" s="6" t="inlineStr">
        <is>
          <t>Network upgrades, second shock, case U</t>
        </is>
      </c>
    </row>
    <row r="369">
      <c r="B369" s="7" t="inlineStr">
        <is>
          <t>Capital cost ($)</t>
        </is>
      </c>
      <c r="C369" s="25">
        <f>((x_module+x_tracker+x_bos)*mwdc*1000000+x_inverter*mwac*1000000+x_sub)*(1+contingency)+sens_ic_45+owner</f>
        <v/>
      </c>
    </row>
    <row r="370">
      <c r="B370" s="7" t="inlineStr">
        <is>
          <t>ITC eligible basis ($)</t>
        </is>
      </c>
      <c r="C370" s="25">
        <f>((x_module+x_tracker+x_bos)*mwdc*1000000+x_inverter*mwac*1000000+x_sub)*(1+contingency)-gentie_share*x_sub</f>
        <v/>
      </c>
    </row>
    <row r="371">
      <c r="B371" s="7" t="inlineStr">
        <is>
          <t>ITC cash at the end of 2028, if elected ($)</t>
        </is>
      </c>
      <c r="C371" s="25">
        <f>IF(sw_credit="ITC",C370*(itc_rate+sw_bonus)*transfer_itc,0)</f>
        <v/>
      </c>
    </row>
    <row r="372">
      <c r="B372" s="7" t="inlineStr">
        <is>
          <t>Energy (MWh)</t>
        </is>
      </c>
      <c r="D372" s="23">
        <f>mwac*hours*cf_p50*Energy!D$7*x_scale</f>
        <v/>
      </c>
      <c r="E372" s="23">
        <f>mwac*hours*cf_p50*Energy!E$7*x_scale</f>
        <v/>
      </c>
      <c r="F372" s="23">
        <f>mwac*hours*cf_p50*Energy!F$7*x_scale</f>
        <v/>
      </c>
      <c r="G372" s="23">
        <f>mwac*hours*cf_p50*Energy!G$7*x_scale</f>
        <v/>
      </c>
      <c r="H372" s="23">
        <f>mwac*hours*cf_p50*Energy!H$7*x_scale</f>
        <v/>
      </c>
      <c r="I372" s="23">
        <f>mwac*hours*cf_p50*Energy!I$7*x_scale</f>
        <v/>
      </c>
      <c r="J372" s="23">
        <f>mwac*hours*cf_p50*Energy!J$7*x_scale</f>
        <v/>
      </c>
      <c r="K372" s="23">
        <f>mwac*hours*cf_p50*Energy!K$7*x_scale</f>
        <v/>
      </c>
      <c r="L372" s="23">
        <f>mwac*hours*cf_p50*Energy!L$7*x_scale</f>
        <v/>
      </c>
      <c r="M372" s="23">
        <f>mwac*hours*cf_p50*Energy!M$7*x_scale</f>
        <v/>
      </c>
      <c r="N372" s="23">
        <f>mwac*hours*cf_p50*Energy!N$7*x_scale</f>
        <v/>
      </c>
      <c r="O372" s="23">
        <f>mwac*hours*cf_p50*Energy!O$7*x_scale</f>
        <v/>
      </c>
      <c r="P372" s="23">
        <f>mwac*hours*cf_p50*Energy!P$7*x_scale</f>
        <v/>
      </c>
      <c r="Q372" s="23">
        <f>mwac*hours*cf_p50*Energy!Q$7*x_scale</f>
        <v/>
      </c>
      <c r="R372" s="23">
        <f>mwac*hours*cf_p50*Energy!R$7*x_scale</f>
        <v/>
      </c>
      <c r="S372" s="23">
        <f>mwac*hours*cf_p50*Energy!S$7*x_scale</f>
        <v/>
      </c>
      <c r="T372" s="23">
        <f>mwac*hours*cf_p50*Energy!T$7*x_scale</f>
        <v/>
      </c>
      <c r="U372" s="23">
        <f>mwac*hours*cf_p50*Energy!U$7*x_scale</f>
        <v/>
      </c>
      <c r="V372" s="23">
        <f>mwac*hours*cf_p50*Energy!V$7*x_scale</f>
        <v/>
      </c>
      <c r="W372" s="23">
        <f>mwac*hours*cf_p50*Energy!W$7*x_scale</f>
        <v/>
      </c>
      <c r="X372" s="23">
        <f>mwac*hours*cf_p50*Energy!X$7*x_scale</f>
        <v/>
      </c>
      <c r="Y372" s="23">
        <f>mwac*hours*cf_p50*Energy!Y$7*x_scale</f>
        <v/>
      </c>
      <c r="Z372" s="23">
        <f>mwac*hours*cf_p50*Energy!Z$7*x_scale</f>
        <v/>
      </c>
      <c r="AA372" s="23">
        <f>mwac*hours*cf_p50*Energy!AA$7*x_scale</f>
        <v/>
      </c>
      <c r="AB372" s="23">
        <f>mwac*hours*cf_p50*Energy!AB$7*x_scale</f>
        <v/>
      </c>
      <c r="AC372" s="23">
        <f>mwac*hours*cf_p50*Energy!AC$7*x_scale</f>
        <v/>
      </c>
      <c r="AD372" s="23">
        <f>mwac*hours*cf_p50*Energy!AD$7*x_scale</f>
        <v/>
      </c>
      <c r="AE372" s="23">
        <f>mwac*hours*cf_p50*Energy!AE$7*x_scale</f>
        <v/>
      </c>
      <c r="AF372" s="23">
        <f>mwac*hours*cf_p50*Energy!AF$7*x_scale</f>
        <v/>
      </c>
      <c r="AG372" s="23">
        <f>mwac*hours*cf_p50*Energy!AG$7*x_scale</f>
        <v/>
      </c>
      <c r="AH372" s="23">
        <f>mwac*hours*cf_p50*Energy!AH$7*x_scale</f>
        <v/>
      </c>
      <c r="AI372" s="23">
        <f>mwac*hours*cf_p50*Energy!AI$7*x_scale</f>
        <v/>
      </c>
      <c r="AJ372" s="23">
        <f>mwac*hours*cf_p50*Energy!AJ$7*x_scale</f>
        <v/>
      </c>
      <c r="AK372" s="23">
        <f>mwac*hours*cf_p50*Energy!AK$7*x_scale</f>
        <v/>
      </c>
      <c r="AL372" s="23">
        <f>mwac*hours*cf_p50*Energy!AL$7*x_scale</f>
        <v/>
      </c>
    </row>
    <row r="373">
      <c r="B373" s="7" t="inlineStr">
        <is>
          <t>Node price, hub switch applied ($/MWh)</t>
        </is>
      </c>
      <c r="D373" s="32">
        <f>Market!D$7*(1+sw_hub)*Market!D$8+Market!D$10</f>
        <v/>
      </c>
      <c r="E373" s="32">
        <f>Market!E$7*(1+sw_hub)*Market!E$8+Market!E$10</f>
        <v/>
      </c>
      <c r="F373" s="32">
        <f>Market!F$7*(1+sw_hub)*Market!F$8+Market!F$10</f>
        <v/>
      </c>
      <c r="G373" s="32">
        <f>Market!G$7*(1+sw_hub)*Market!G$8+Market!G$10</f>
        <v/>
      </c>
      <c r="H373" s="32">
        <f>Market!H$7*(1+sw_hub)*Market!H$8+Market!H$10</f>
        <v/>
      </c>
      <c r="I373" s="32">
        <f>Market!I$7*(1+sw_hub)*Market!I$8+Market!I$10</f>
        <v/>
      </c>
      <c r="J373" s="32">
        <f>Market!J$7*(1+sw_hub)*Market!J$8+Market!J$10</f>
        <v/>
      </c>
      <c r="K373" s="32">
        <f>Market!K$7*(1+sw_hub)*Market!K$8+Market!K$10</f>
        <v/>
      </c>
      <c r="L373" s="32">
        <f>Market!L$7*(1+sw_hub)*Market!L$8+Market!L$10</f>
        <v/>
      </c>
      <c r="M373" s="32">
        <f>Market!M$7*(1+sw_hub)*Market!M$8+Market!M$10</f>
        <v/>
      </c>
      <c r="N373" s="32">
        <f>Market!N$7*(1+sw_hub)*Market!N$8+Market!N$10</f>
        <v/>
      </c>
      <c r="O373" s="32">
        <f>Market!O$7*(1+sw_hub)*Market!O$8+Market!O$10</f>
        <v/>
      </c>
      <c r="P373" s="32">
        <f>Market!P$7*(1+sw_hub)*Market!P$8+Market!P$10</f>
        <v/>
      </c>
      <c r="Q373" s="32">
        <f>Market!Q$7*(1+sw_hub)*Market!Q$8+Market!Q$10</f>
        <v/>
      </c>
      <c r="R373" s="32">
        <f>Market!R$7*(1+sw_hub)*Market!R$8+Market!R$10</f>
        <v/>
      </c>
      <c r="S373" s="32">
        <f>Market!S$7*(1+sw_hub)*Market!S$8+Market!S$10</f>
        <v/>
      </c>
      <c r="T373" s="32">
        <f>Market!T$7*(1+sw_hub)*Market!T$8+Market!T$10</f>
        <v/>
      </c>
      <c r="U373" s="32">
        <f>Market!U$7*(1+sw_hub)*Market!U$8+Market!U$10</f>
        <v/>
      </c>
      <c r="V373" s="32">
        <f>Market!V$7*(1+sw_hub)*Market!V$8+Market!V$10</f>
        <v/>
      </c>
      <c r="W373" s="32">
        <f>Market!W$7*(1+sw_hub)*Market!W$8+Market!W$10</f>
        <v/>
      </c>
      <c r="X373" s="32">
        <f>Market!X$7*(1+sw_hub)*Market!X$8+Market!X$10</f>
        <v/>
      </c>
      <c r="Y373" s="32">
        <f>Market!Y$7*(1+sw_hub)*Market!Y$8+Market!Y$10</f>
        <v/>
      </c>
      <c r="Z373" s="32">
        <f>Market!Z$7*(1+sw_hub)*Market!Z$8+Market!Z$10</f>
        <v/>
      </c>
      <c r="AA373" s="32">
        <f>Market!AA$7*(1+sw_hub)*Market!AA$8+Market!AA$10</f>
        <v/>
      </c>
      <c r="AB373" s="32">
        <f>Market!AB$7*(1+sw_hub)*Market!AB$8+Market!AB$10</f>
        <v/>
      </c>
      <c r="AC373" s="32">
        <f>Market!AC$7*(1+sw_hub)*Market!AC$8+Market!AC$10</f>
        <v/>
      </c>
      <c r="AD373" s="32">
        <f>Market!AD$7*(1+sw_hub)*Market!AD$8+Market!AD$10</f>
        <v/>
      </c>
      <c r="AE373" s="32">
        <f>Market!AE$7*(1+sw_hub)*Market!AE$8+Market!AE$10</f>
        <v/>
      </c>
      <c r="AF373" s="32">
        <f>Market!AF$7*(1+sw_hub)*Market!AF$8+Market!AF$10</f>
        <v/>
      </c>
      <c r="AG373" s="32">
        <f>Market!AG$7*(1+sw_hub)*Market!AG$8+Market!AG$10</f>
        <v/>
      </c>
      <c r="AH373" s="32">
        <f>Market!AH$7*(1+sw_hub)*Market!AH$8+Market!AH$10</f>
        <v/>
      </c>
      <c r="AI373" s="32">
        <f>Market!AI$7*(1+sw_hub)*Market!AI$8+Market!AI$10</f>
        <v/>
      </c>
      <c r="AJ373" s="32">
        <f>Market!AJ$7*(1+sw_hub)*Market!AJ$8+Market!AJ$10</f>
        <v/>
      </c>
      <c r="AK373" s="32">
        <f>Market!AK$7*(1+sw_hub)*Market!AK$8+Market!AK$10</f>
        <v/>
      </c>
      <c r="AL373" s="32">
        <f>Market!AL$7*(1+sw_hub)*Market!AL$8+Market!AL$10</f>
        <v/>
      </c>
    </row>
    <row r="374">
      <c r="B374" s="7" t="inlineStr">
        <is>
          <t>Contracted revenue ($)</t>
        </is>
      </c>
      <c r="D374" s="25">
        <f>IF(D$5&lt;u_years,D372*u_price*(1+u_esc)^D$5,0)</f>
        <v/>
      </c>
      <c r="E374" s="25">
        <f>IF(E$5&lt;u_years,E372*u_price*(1+u_esc)^E$5,0)</f>
        <v/>
      </c>
      <c r="F374" s="25">
        <f>IF(F$5&lt;u_years,F372*u_price*(1+u_esc)^F$5,0)</f>
        <v/>
      </c>
      <c r="G374" s="25">
        <f>IF(G$5&lt;u_years,G372*u_price*(1+u_esc)^G$5,0)</f>
        <v/>
      </c>
      <c r="H374" s="25">
        <f>IF(H$5&lt;u_years,H372*u_price*(1+u_esc)^H$5,0)</f>
        <v/>
      </c>
      <c r="I374" s="25">
        <f>IF(I$5&lt;u_years,I372*u_price*(1+u_esc)^I$5,0)</f>
        <v/>
      </c>
      <c r="J374" s="25">
        <f>IF(J$5&lt;u_years,J372*u_price*(1+u_esc)^J$5,0)</f>
        <v/>
      </c>
      <c r="K374" s="25">
        <f>IF(K$5&lt;u_years,K372*u_price*(1+u_esc)^K$5,0)</f>
        <v/>
      </c>
      <c r="L374" s="25">
        <f>IF(L$5&lt;u_years,L372*u_price*(1+u_esc)^L$5,0)</f>
        <v/>
      </c>
      <c r="M374" s="25">
        <f>IF(M$5&lt;u_years,M372*u_price*(1+u_esc)^M$5,0)</f>
        <v/>
      </c>
      <c r="N374" s="25">
        <f>IF(N$5&lt;u_years,N372*u_price*(1+u_esc)^N$5,0)</f>
        <v/>
      </c>
      <c r="O374" s="25">
        <f>IF(O$5&lt;u_years,O372*u_price*(1+u_esc)^O$5,0)</f>
        <v/>
      </c>
      <c r="P374" s="25">
        <f>IF(P$5&lt;u_years,P372*u_price*(1+u_esc)^P$5,0)</f>
        <v/>
      </c>
      <c r="Q374" s="25">
        <f>IF(Q$5&lt;u_years,Q372*u_price*(1+u_esc)^Q$5,0)</f>
        <v/>
      </c>
      <c r="R374" s="25">
        <f>IF(R$5&lt;u_years,R372*u_price*(1+u_esc)^R$5,0)</f>
        <v/>
      </c>
      <c r="S374" s="25">
        <f>IF(S$5&lt;u_years,S372*u_price*(1+u_esc)^S$5,0)</f>
        <v/>
      </c>
      <c r="T374" s="25">
        <f>IF(T$5&lt;u_years,T372*u_price*(1+u_esc)^T$5,0)</f>
        <v/>
      </c>
      <c r="U374" s="25">
        <f>IF(U$5&lt;u_years,U372*u_price*(1+u_esc)^U$5,0)</f>
        <v/>
      </c>
      <c r="V374" s="25">
        <f>IF(V$5&lt;u_years,V372*u_price*(1+u_esc)^V$5,0)</f>
        <v/>
      </c>
      <c r="W374" s="25">
        <f>IF(W$5&lt;u_years,W372*u_price*(1+u_esc)^W$5,0)</f>
        <v/>
      </c>
      <c r="X374" s="25">
        <f>IF(X$5&lt;u_years,X372*u_price*(1+u_esc)^X$5,0)</f>
        <v/>
      </c>
      <c r="Y374" s="25">
        <f>IF(Y$5&lt;u_years,Y372*u_price*(1+u_esc)^Y$5,0)</f>
        <v/>
      </c>
      <c r="Z374" s="25">
        <f>IF(Z$5&lt;u_years,Z372*u_price*(1+u_esc)^Z$5,0)</f>
        <v/>
      </c>
      <c r="AA374" s="25">
        <f>IF(AA$5&lt;u_years,AA372*u_price*(1+u_esc)^AA$5,0)</f>
        <v/>
      </c>
      <c r="AB374" s="25">
        <f>IF(AB$5&lt;u_years,AB372*u_price*(1+u_esc)^AB$5,0)</f>
        <v/>
      </c>
      <c r="AC374" s="25">
        <f>IF(AC$5&lt;u_years,AC372*u_price*(1+u_esc)^AC$5,0)</f>
        <v/>
      </c>
      <c r="AD374" s="25">
        <f>IF(AD$5&lt;u_years,AD372*u_price*(1+u_esc)^AD$5,0)</f>
        <v/>
      </c>
      <c r="AE374" s="25">
        <f>IF(AE$5&lt;u_years,AE372*u_price*(1+u_esc)^AE$5,0)</f>
        <v/>
      </c>
      <c r="AF374" s="25">
        <f>IF(AF$5&lt;u_years,AF372*u_price*(1+u_esc)^AF$5,0)</f>
        <v/>
      </c>
      <c r="AG374" s="25">
        <f>IF(AG$5&lt;u_years,AG372*u_price*(1+u_esc)^AG$5,0)</f>
        <v/>
      </c>
      <c r="AH374" s="25">
        <f>IF(AH$5&lt;u_years,AH372*u_price*(1+u_esc)^AH$5,0)</f>
        <v/>
      </c>
      <c r="AI374" s="25">
        <f>IF(AI$5&lt;u_years,AI372*u_price*(1+u_esc)^AI$5,0)</f>
        <v/>
      </c>
      <c r="AJ374" s="25">
        <f>IF(AJ$5&lt;u_years,AJ372*u_price*(1+u_esc)^AJ$5,0)</f>
        <v/>
      </c>
      <c r="AK374" s="25">
        <f>IF(AK$5&lt;u_years,AK372*u_price*(1+u_esc)^AK$5,0)</f>
        <v/>
      </c>
      <c r="AL374" s="25">
        <f>IF(AL$5&lt;u_years,AL372*u_price*(1+u_esc)^AL$5,0)</f>
        <v/>
      </c>
    </row>
    <row r="375">
      <c r="B375" s="7" t="inlineStr">
        <is>
          <t>Merchant revenue ($)</t>
        </is>
      </c>
      <c r="D375" s="25">
        <f>IF(D$5&lt;u_years,0,D372*(D373+rec_price)+Market!D$13)</f>
        <v/>
      </c>
      <c r="E375" s="25">
        <f>IF(E$5&lt;u_years,0,E372*(E373+rec_price)+Market!E$13)</f>
        <v/>
      </c>
      <c r="F375" s="25">
        <f>IF(F$5&lt;u_years,0,F372*(F373+rec_price)+Market!F$13)</f>
        <v/>
      </c>
      <c r="G375" s="25">
        <f>IF(G$5&lt;u_years,0,G372*(G373+rec_price)+Market!G$13)</f>
        <v/>
      </c>
      <c r="H375" s="25">
        <f>IF(H$5&lt;u_years,0,H372*(H373+rec_price)+Market!H$13)</f>
        <v/>
      </c>
      <c r="I375" s="25">
        <f>IF(I$5&lt;u_years,0,I372*(I373+rec_price)+Market!I$13)</f>
        <v/>
      </c>
      <c r="J375" s="25">
        <f>IF(J$5&lt;u_years,0,J372*(J373+rec_price)+Market!J$13)</f>
        <v/>
      </c>
      <c r="K375" s="25">
        <f>IF(K$5&lt;u_years,0,K372*(K373+rec_price)+Market!K$13)</f>
        <v/>
      </c>
      <c r="L375" s="25">
        <f>IF(L$5&lt;u_years,0,L372*(L373+rec_price)+Market!L$13)</f>
        <v/>
      </c>
      <c r="M375" s="25">
        <f>IF(M$5&lt;u_years,0,M372*(M373+rec_price)+Market!M$13)</f>
        <v/>
      </c>
      <c r="N375" s="25">
        <f>IF(N$5&lt;u_years,0,N372*(N373+rec_price)+Market!N$13)</f>
        <v/>
      </c>
      <c r="O375" s="25">
        <f>IF(O$5&lt;u_years,0,O372*(O373+rec_price)+Market!O$13)</f>
        <v/>
      </c>
      <c r="P375" s="25">
        <f>IF(P$5&lt;u_years,0,P372*(P373+rec_price)+Market!P$13)</f>
        <v/>
      </c>
      <c r="Q375" s="25">
        <f>IF(Q$5&lt;u_years,0,Q372*(Q373+rec_price)+Market!Q$13)</f>
        <v/>
      </c>
      <c r="R375" s="25">
        <f>IF(R$5&lt;u_years,0,R372*(R373+rec_price)+Market!R$13)</f>
        <v/>
      </c>
      <c r="S375" s="25">
        <f>IF(S$5&lt;u_years,0,S372*(S373+rec_price)+Market!S$13)</f>
        <v/>
      </c>
      <c r="T375" s="25">
        <f>IF(T$5&lt;u_years,0,T372*(T373+rec_price)+Market!T$13)</f>
        <v/>
      </c>
      <c r="U375" s="25">
        <f>IF(U$5&lt;u_years,0,U372*(U373+rec_price)+Market!U$13)</f>
        <v/>
      </c>
      <c r="V375" s="25">
        <f>IF(V$5&lt;u_years,0,V372*(V373+rec_price)+Market!V$13)</f>
        <v/>
      </c>
      <c r="W375" s="25">
        <f>IF(W$5&lt;u_years,0,W372*(W373+rec_price)+Market!W$13)</f>
        <v/>
      </c>
      <c r="X375" s="25">
        <f>IF(X$5&lt;u_years,0,X372*(X373+rec_price)+Market!X$13)</f>
        <v/>
      </c>
      <c r="Y375" s="25">
        <f>IF(Y$5&lt;u_years,0,Y372*(Y373+rec_price)+Market!Y$13)</f>
        <v/>
      </c>
      <c r="Z375" s="25">
        <f>IF(Z$5&lt;u_years,0,Z372*(Z373+rec_price)+Market!Z$13)</f>
        <v/>
      </c>
      <c r="AA375" s="25">
        <f>IF(AA$5&lt;u_years,0,AA372*(AA373+rec_price)+Market!AA$13)</f>
        <v/>
      </c>
      <c r="AB375" s="25">
        <f>IF(AB$5&lt;u_years,0,AB372*(AB373+rec_price)+Market!AB$13)</f>
        <v/>
      </c>
      <c r="AC375" s="25">
        <f>IF(AC$5&lt;u_years,0,AC372*(AC373+rec_price)+Market!AC$13)</f>
        <v/>
      </c>
      <c r="AD375" s="25">
        <f>IF(AD$5&lt;u_years,0,AD372*(AD373+rec_price)+Market!AD$13)</f>
        <v/>
      </c>
      <c r="AE375" s="25">
        <f>IF(AE$5&lt;u_years,0,AE372*(AE373+rec_price)+Market!AE$13)</f>
        <v/>
      </c>
      <c r="AF375" s="25">
        <f>IF(AF$5&lt;u_years,0,AF372*(AF373+rec_price)+Market!AF$13)</f>
        <v/>
      </c>
      <c r="AG375" s="25">
        <f>IF(AG$5&lt;u_years,0,AG372*(AG373+rec_price)+Market!AG$13)</f>
        <v/>
      </c>
      <c r="AH375" s="25">
        <f>IF(AH$5&lt;u_years,0,AH372*(AH373+rec_price)+Market!AH$13)</f>
        <v/>
      </c>
      <c r="AI375" s="25">
        <f>IF(AI$5&lt;u_years,0,AI372*(AI373+rec_price)+Market!AI$13)</f>
        <v/>
      </c>
      <c r="AJ375" s="25">
        <f>IF(AJ$5&lt;u_years,0,AJ372*(AJ373+rec_price)+Market!AJ$13)</f>
        <v/>
      </c>
      <c r="AK375" s="25">
        <f>IF(AK$5&lt;u_years,0,AK372*(AK373+rec_price)+Market!AK$13)</f>
        <v/>
      </c>
      <c r="AL375" s="25">
        <f>IF(AL$5&lt;u_years,0,AL372*(AL373+rec_price)+Market!AL$13)</f>
        <v/>
      </c>
    </row>
    <row r="376">
      <c r="B376" s="7" t="inlineStr">
        <is>
          <t>Basis cost kept by the project ($)</t>
        </is>
      </c>
      <c r="D376" s="25" t="n">
        <v>0</v>
      </c>
      <c r="E376" s="25" t="n">
        <v>0</v>
      </c>
      <c r="F376" s="25" t="n">
        <v>0</v>
      </c>
      <c r="G376" s="25" t="n">
        <v>0</v>
      </c>
      <c r="H376" s="25" t="n">
        <v>0</v>
      </c>
      <c r="I376" s="25" t="n">
        <v>0</v>
      </c>
      <c r="J376" s="25" t="n">
        <v>0</v>
      </c>
      <c r="K376" s="25" t="n">
        <v>0</v>
      </c>
      <c r="L376" s="25" t="n">
        <v>0</v>
      </c>
      <c r="M376" s="25" t="n">
        <v>0</v>
      </c>
      <c r="N376" s="25" t="n">
        <v>0</v>
      </c>
      <c r="O376" s="25" t="n">
        <v>0</v>
      </c>
      <c r="P376" s="25" t="n">
        <v>0</v>
      </c>
      <c r="Q376" s="25" t="n">
        <v>0</v>
      </c>
      <c r="R376" s="25" t="n">
        <v>0</v>
      </c>
      <c r="S376" s="25" t="n">
        <v>0</v>
      </c>
      <c r="T376" s="25" t="n">
        <v>0</v>
      </c>
      <c r="U376" s="25" t="n">
        <v>0</v>
      </c>
      <c r="V376" s="25" t="n">
        <v>0</v>
      </c>
      <c r="W376" s="25" t="n">
        <v>0</v>
      </c>
      <c r="X376" s="25" t="n">
        <v>0</v>
      </c>
      <c r="Y376" s="25" t="n">
        <v>0</v>
      </c>
      <c r="Z376" s="25" t="n">
        <v>0</v>
      </c>
      <c r="AA376" s="25" t="n">
        <v>0</v>
      </c>
      <c r="AB376" s="25" t="n">
        <v>0</v>
      </c>
      <c r="AC376" s="25" t="n">
        <v>0</v>
      </c>
      <c r="AD376" s="25" t="n">
        <v>0</v>
      </c>
      <c r="AE376" s="25" t="n">
        <v>0</v>
      </c>
      <c r="AF376" s="25" t="n">
        <v>0</v>
      </c>
      <c r="AG376" s="25" t="n">
        <v>0</v>
      </c>
      <c r="AH376" s="25" t="n">
        <v>0</v>
      </c>
      <c r="AI376" s="25" t="n">
        <v>0</v>
      </c>
      <c r="AJ376" s="25" t="n">
        <v>0</v>
      </c>
      <c r="AK376" s="25" t="n">
        <v>0</v>
      </c>
      <c r="AL376" s="25" t="n">
        <v>0</v>
      </c>
    </row>
    <row r="377">
      <c r="B377" s="7" t="inlineStr">
        <is>
          <t>Operating cost ($)</t>
        </is>
      </c>
      <c r="D377" s="25">
        <f>(om_kw*mwac*1000+ins_rate*$C$369+am_cost+prop_tax+misc_cost)*Opex!D$7+rent_acre*acres_lease*Opex!D$8</f>
        <v/>
      </c>
      <c r="E377" s="25">
        <f>(om_kw*mwac*1000+ins_rate*$C$369+am_cost+prop_tax+misc_cost)*Opex!E$7+rent_acre*acres_lease*Opex!E$8</f>
        <v/>
      </c>
      <c r="F377" s="25">
        <f>(om_kw*mwac*1000+ins_rate*$C$369+am_cost+prop_tax+misc_cost)*Opex!F$7+rent_acre*acres_lease*Opex!F$8</f>
        <v/>
      </c>
      <c r="G377" s="25">
        <f>(om_kw*mwac*1000+ins_rate*$C$369+am_cost+prop_tax+misc_cost)*Opex!G$7+rent_acre*acres_lease*Opex!G$8</f>
        <v/>
      </c>
      <c r="H377" s="25">
        <f>(om_kw*mwac*1000+ins_rate*$C$369+am_cost+prop_tax+misc_cost)*Opex!H$7+rent_acre*acres_lease*Opex!H$8</f>
        <v/>
      </c>
      <c r="I377" s="25">
        <f>(om_kw*mwac*1000+ins_rate*$C$369+am_cost+prop_tax+misc_cost)*Opex!I$7+rent_acre*acres_lease*Opex!I$8</f>
        <v/>
      </c>
      <c r="J377" s="25">
        <f>(om_kw*mwac*1000+ins_rate*$C$369+am_cost+prop_tax+misc_cost)*Opex!J$7+rent_acre*acres_lease*Opex!J$8</f>
        <v/>
      </c>
      <c r="K377" s="25">
        <f>(om_kw*mwac*1000+ins_rate*$C$369+am_cost+prop_tax+misc_cost)*Opex!K$7+rent_acre*acres_lease*Opex!K$8</f>
        <v/>
      </c>
      <c r="L377" s="25">
        <f>(om_kw*mwac*1000+ins_rate*$C$369+am_cost+prop_tax+misc_cost)*Opex!L$7+rent_acre*acres_lease*Opex!L$8</f>
        <v/>
      </c>
      <c r="M377" s="25">
        <f>(om_kw*mwac*1000+ins_rate*$C$369+am_cost+prop_tax+misc_cost)*Opex!M$7+rent_acre*acres_lease*Opex!M$8</f>
        <v/>
      </c>
      <c r="N377" s="25">
        <f>(om_kw*mwac*1000+ins_rate*$C$369+am_cost+prop_tax+misc_cost)*Opex!N$7+rent_acre*acres_lease*Opex!N$8</f>
        <v/>
      </c>
      <c r="O377" s="25">
        <f>(om_kw*mwac*1000+ins_rate*$C$369+am_cost+prop_tax+misc_cost)*Opex!O$7+rent_acre*acres_lease*Opex!O$8</f>
        <v/>
      </c>
      <c r="P377" s="25">
        <f>(om_kw*mwac*1000+ins_rate*$C$369+am_cost+prop_tax+misc_cost)*Opex!P$7+rent_acre*acres_lease*Opex!P$8</f>
        <v/>
      </c>
      <c r="Q377" s="25">
        <f>(om_kw*mwac*1000+ins_rate*$C$369+am_cost+prop_tax+misc_cost)*Opex!Q$7+rent_acre*acres_lease*Opex!Q$8</f>
        <v/>
      </c>
      <c r="R377" s="25">
        <f>(om_kw*mwac*1000+ins_rate*$C$369+am_cost+prop_tax+misc_cost)*Opex!R$7+rent_acre*acres_lease*Opex!R$8</f>
        <v/>
      </c>
      <c r="S377" s="25">
        <f>(om_kw*mwac*1000+ins_rate*$C$369+am_cost+prop_tax+misc_cost)*Opex!S$7+rent_acre*acres_lease*Opex!S$8</f>
        <v/>
      </c>
      <c r="T377" s="25">
        <f>(om_kw*mwac*1000+ins_rate*$C$369+am_cost+prop_tax+misc_cost)*Opex!T$7+rent_acre*acres_lease*Opex!T$8</f>
        <v/>
      </c>
      <c r="U377" s="25">
        <f>(om_kw*mwac*1000+ins_rate*$C$369+am_cost+prop_tax+misc_cost)*Opex!U$7+rent_acre*acres_lease*Opex!U$8</f>
        <v/>
      </c>
      <c r="V377" s="25">
        <f>(om_kw*mwac*1000+ins_rate*$C$369+am_cost+prop_tax+misc_cost)*Opex!V$7+rent_acre*acres_lease*Opex!V$8</f>
        <v/>
      </c>
      <c r="W377" s="25">
        <f>(om_kw*mwac*1000+ins_rate*$C$369+am_cost+prop_tax+misc_cost)*Opex!W$7+rent_acre*acres_lease*Opex!W$8</f>
        <v/>
      </c>
      <c r="X377" s="25">
        <f>(om_kw*mwac*1000+ins_rate*$C$369+am_cost+prop_tax+misc_cost)*Opex!X$7+rent_acre*acres_lease*Opex!X$8</f>
        <v/>
      </c>
      <c r="Y377" s="25">
        <f>(om_kw*mwac*1000+ins_rate*$C$369+am_cost+prop_tax+misc_cost)*Opex!Y$7+rent_acre*acres_lease*Opex!Y$8</f>
        <v/>
      </c>
      <c r="Z377" s="25">
        <f>(om_kw*mwac*1000+ins_rate*$C$369+am_cost+prop_tax+misc_cost)*Opex!Z$7+rent_acre*acres_lease*Opex!Z$8</f>
        <v/>
      </c>
      <c r="AA377" s="25">
        <f>(om_kw*mwac*1000+ins_rate*$C$369+am_cost+prop_tax+misc_cost)*Opex!AA$7+rent_acre*acres_lease*Opex!AA$8</f>
        <v/>
      </c>
      <c r="AB377" s="25">
        <f>(om_kw*mwac*1000+ins_rate*$C$369+am_cost+prop_tax+misc_cost)*Opex!AB$7+rent_acre*acres_lease*Opex!AB$8</f>
        <v/>
      </c>
      <c r="AC377" s="25">
        <f>(om_kw*mwac*1000+ins_rate*$C$369+am_cost+prop_tax+misc_cost)*Opex!AC$7+rent_acre*acres_lease*Opex!AC$8</f>
        <v/>
      </c>
      <c r="AD377" s="25">
        <f>(om_kw*mwac*1000+ins_rate*$C$369+am_cost+prop_tax+misc_cost)*Opex!AD$7+rent_acre*acres_lease*Opex!AD$8</f>
        <v/>
      </c>
      <c r="AE377" s="25">
        <f>(om_kw*mwac*1000+ins_rate*$C$369+am_cost+prop_tax+misc_cost)*Opex!AE$7+rent_acre*acres_lease*Opex!AE$8</f>
        <v/>
      </c>
      <c r="AF377" s="25">
        <f>(om_kw*mwac*1000+ins_rate*$C$369+am_cost+prop_tax+misc_cost)*Opex!AF$7+rent_acre*acres_lease*Opex!AF$8</f>
        <v/>
      </c>
      <c r="AG377" s="25">
        <f>(om_kw*mwac*1000+ins_rate*$C$369+am_cost+prop_tax+misc_cost)*Opex!AG$7+rent_acre*acres_lease*Opex!AG$8</f>
        <v/>
      </c>
      <c r="AH377" s="25">
        <f>(om_kw*mwac*1000+ins_rate*$C$369+am_cost+prop_tax+misc_cost)*Opex!AH$7+rent_acre*acres_lease*Opex!AH$8</f>
        <v/>
      </c>
      <c r="AI377" s="25">
        <f>(om_kw*mwac*1000+ins_rate*$C$369+am_cost+prop_tax+misc_cost)*Opex!AI$7+rent_acre*acres_lease*Opex!AI$8</f>
        <v/>
      </c>
      <c r="AJ377" s="25">
        <f>(om_kw*mwac*1000+ins_rate*$C$369+am_cost+prop_tax+misc_cost)*Opex!AJ$7+rent_acre*acres_lease*Opex!AJ$8</f>
        <v/>
      </c>
      <c r="AK377" s="25">
        <f>(om_kw*mwac*1000+ins_rate*$C$369+am_cost+prop_tax+misc_cost)*Opex!AK$7+rent_acre*acres_lease*Opex!AK$8</f>
        <v/>
      </c>
      <c r="AL377" s="25">
        <f>(om_kw*mwac*1000+ins_rate*$C$369+am_cost+prop_tax+misc_cost)*Opex!AL$7+rent_acre*acres_lease*Opex!AL$8</f>
        <v/>
      </c>
    </row>
    <row r="378">
      <c r="B378" s="7" t="inlineStr">
        <is>
          <t>Credit cash ($)</t>
        </is>
      </c>
      <c r="D378" s="25">
        <f>IF(sw_credit="PTC",IF(D$5&lt;ptc_years,D372*Credits!D$8*(1+sw_bonus)*transfer_ptc,0),0)+IF(D$5=0,$C$371,0)</f>
        <v/>
      </c>
      <c r="E378" s="25">
        <f>IF(sw_credit="PTC",IF(E$5&lt;ptc_years,E372*Credits!E$8*(1+sw_bonus)*transfer_ptc,0),0)+IF(E$5=0,$C$371,0)</f>
        <v/>
      </c>
      <c r="F378" s="25">
        <f>IF(sw_credit="PTC",IF(F$5&lt;ptc_years,F372*Credits!F$8*(1+sw_bonus)*transfer_ptc,0),0)+IF(F$5=0,$C$371,0)</f>
        <v/>
      </c>
      <c r="G378" s="25">
        <f>IF(sw_credit="PTC",IF(G$5&lt;ptc_years,G372*Credits!G$8*(1+sw_bonus)*transfer_ptc,0),0)+IF(G$5=0,$C$371,0)</f>
        <v/>
      </c>
      <c r="H378" s="25">
        <f>IF(sw_credit="PTC",IF(H$5&lt;ptc_years,H372*Credits!H$8*(1+sw_bonus)*transfer_ptc,0),0)+IF(H$5=0,$C$371,0)</f>
        <v/>
      </c>
      <c r="I378" s="25">
        <f>IF(sw_credit="PTC",IF(I$5&lt;ptc_years,I372*Credits!I$8*(1+sw_bonus)*transfer_ptc,0),0)+IF(I$5=0,$C$371,0)</f>
        <v/>
      </c>
      <c r="J378" s="25">
        <f>IF(sw_credit="PTC",IF(J$5&lt;ptc_years,J372*Credits!J$8*(1+sw_bonus)*transfer_ptc,0),0)+IF(J$5=0,$C$371,0)</f>
        <v/>
      </c>
      <c r="K378" s="25">
        <f>IF(sw_credit="PTC",IF(K$5&lt;ptc_years,K372*Credits!K$8*(1+sw_bonus)*transfer_ptc,0),0)+IF(K$5=0,$C$371,0)</f>
        <v/>
      </c>
      <c r="L378" s="25">
        <f>IF(sw_credit="PTC",IF(L$5&lt;ptc_years,L372*Credits!L$8*(1+sw_bonus)*transfer_ptc,0),0)+IF(L$5=0,$C$371,0)</f>
        <v/>
      </c>
      <c r="M378" s="25">
        <f>IF(sw_credit="PTC",IF(M$5&lt;ptc_years,M372*Credits!M$8*(1+sw_bonus)*transfer_ptc,0),0)+IF(M$5=0,$C$371,0)</f>
        <v/>
      </c>
      <c r="N378" s="25">
        <f>IF(sw_credit="PTC",IF(N$5&lt;ptc_years,N372*Credits!N$8*(1+sw_bonus)*transfer_ptc,0),0)+IF(N$5=0,$C$371,0)</f>
        <v/>
      </c>
      <c r="O378" s="25">
        <f>IF(sw_credit="PTC",IF(O$5&lt;ptc_years,O372*Credits!O$8*(1+sw_bonus)*transfer_ptc,0),0)+IF(O$5=0,$C$371,0)</f>
        <v/>
      </c>
      <c r="P378" s="25">
        <f>IF(sw_credit="PTC",IF(P$5&lt;ptc_years,P372*Credits!P$8*(1+sw_bonus)*transfer_ptc,0),0)+IF(P$5=0,$C$371,0)</f>
        <v/>
      </c>
      <c r="Q378" s="25">
        <f>IF(sw_credit="PTC",IF(Q$5&lt;ptc_years,Q372*Credits!Q$8*(1+sw_bonus)*transfer_ptc,0),0)+IF(Q$5=0,$C$371,0)</f>
        <v/>
      </c>
      <c r="R378" s="25">
        <f>IF(sw_credit="PTC",IF(R$5&lt;ptc_years,R372*Credits!R$8*(1+sw_bonus)*transfer_ptc,0),0)+IF(R$5=0,$C$371,0)</f>
        <v/>
      </c>
      <c r="S378" s="25">
        <f>IF(sw_credit="PTC",IF(S$5&lt;ptc_years,S372*Credits!S$8*(1+sw_bonus)*transfer_ptc,0),0)+IF(S$5=0,$C$371,0)</f>
        <v/>
      </c>
      <c r="T378" s="25">
        <f>IF(sw_credit="PTC",IF(T$5&lt;ptc_years,T372*Credits!T$8*(1+sw_bonus)*transfer_ptc,0),0)+IF(T$5=0,$C$371,0)</f>
        <v/>
      </c>
      <c r="U378" s="25">
        <f>IF(sw_credit="PTC",IF(U$5&lt;ptc_years,U372*Credits!U$8*(1+sw_bonus)*transfer_ptc,0),0)+IF(U$5=0,$C$371,0)</f>
        <v/>
      </c>
      <c r="V378" s="25">
        <f>IF(sw_credit="PTC",IF(V$5&lt;ptc_years,V372*Credits!V$8*(1+sw_bonus)*transfer_ptc,0),0)+IF(V$5=0,$C$371,0)</f>
        <v/>
      </c>
      <c r="W378" s="25">
        <f>IF(sw_credit="PTC",IF(W$5&lt;ptc_years,W372*Credits!W$8*(1+sw_bonus)*transfer_ptc,0),0)+IF(W$5=0,$C$371,0)</f>
        <v/>
      </c>
      <c r="X378" s="25">
        <f>IF(sw_credit="PTC",IF(X$5&lt;ptc_years,X372*Credits!X$8*(1+sw_bonus)*transfer_ptc,0),0)+IF(X$5=0,$C$371,0)</f>
        <v/>
      </c>
      <c r="Y378" s="25">
        <f>IF(sw_credit="PTC",IF(Y$5&lt;ptc_years,Y372*Credits!Y$8*(1+sw_bonus)*transfer_ptc,0),0)+IF(Y$5=0,$C$371,0)</f>
        <v/>
      </c>
      <c r="Z378" s="25">
        <f>IF(sw_credit="PTC",IF(Z$5&lt;ptc_years,Z372*Credits!Z$8*(1+sw_bonus)*transfer_ptc,0),0)+IF(Z$5=0,$C$371,0)</f>
        <v/>
      </c>
      <c r="AA378" s="25">
        <f>IF(sw_credit="PTC",IF(AA$5&lt;ptc_years,AA372*Credits!AA$8*(1+sw_bonus)*transfer_ptc,0),0)+IF(AA$5=0,$C$371,0)</f>
        <v/>
      </c>
      <c r="AB378" s="25">
        <f>IF(sw_credit="PTC",IF(AB$5&lt;ptc_years,AB372*Credits!AB$8*(1+sw_bonus)*transfer_ptc,0),0)+IF(AB$5=0,$C$371,0)</f>
        <v/>
      </c>
      <c r="AC378" s="25">
        <f>IF(sw_credit="PTC",IF(AC$5&lt;ptc_years,AC372*Credits!AC$8*(1+sw_bonus)*transfer_ptc,0),0)+IF(AC$5=0,$C$371,0)</f>
        <v/>
      </c>
      <c r="AD378" s="25">
        <f>IF(sw_credit="PTC",IF(AD$5&lt;ptc_years,AD372*Credits!AD$8*(1+sw_bonus)*transfer_ptc,0),0)+IF(AD$5=0,$C$371,0)</f>
        <v/>
      </c>
      <c r="AE378" s="25">
        <f>IF(sw_credit="PTC",IF(AE$5&lt;ptc_years,AE372*Credits!AE$8*(1+sw_bonus)*transfer_ptc,0),0)+IF(AE$5=0,$C$371,0)</f>
        <v/>
      </c>
      <c r="AF378" s="25">
        <f>IF(sw_credit="PTC",IF(AF$5&lt;ptc_years,AF372*Credits!AF$8*(1+sw_bonus)*transfer_ptc,0),0)+IF(AF$5=0,$C$371,0)</f>
        <v/>
      </c>
      <c r="AG378" s="25">
        <f>IF(sw_credit="PTC",IF(AG$5&lt;ptc_years,AG372*Credits!AG$8*(1+sw_bonus)*transfer_ptc,0),0)+IF(AG$5=0,$C$371,0)</f>
        <v/>
      </c>
      <c r="AH378" s="25">
        <f>IF(sw_credit="PTC",IF(AH$5&lt;ptc_years,AH372*Credits!AH$8*(1+sw_bonus)*transfer_ptc,0),0)+IF(AH$5=0,$C$371,0)</f>
        <v/>
      </c>
      <c r="AI378" s="25">
        <f>IF(sw_credit="PTC",IF(AI$5&lt;ptc_years,AI372*Credits!AI$8*(1+sw_bonus)*transfer_ptc,0),0)+IF(AI$5=0,$C$371,0)</f>
        <v/>
      </c>
      <c r="AJ378" s="25">
        <f>IF(sw_credit="PTC",IF(AJ$5&lt;ptc_years,AJ372*Credits!AJ$8*(1+sw_bonus)*transfer_ptc,0),0)+IF(AJ$5=0,$C$371,0)</f>
        <v/>
      </c>
      <c r="AK378" s="25">
        <f>IF(sw_credit="PTC",IF(AK$5&lt;ptc_years,AK372*Credits!AK$8*(1+sw_bonus)*transfer_ptc,0),0)+IF(AK$5=0,$C$371,0)</f>
        <v/>
      </c>
      <c r="AL378" s="25">
        <f>IF(sw_credit="PTC",IF(AL$5&lt;ptc_years,AL372*Credits!AL$8*(1+sw_bonus)*transfer_ptc,0),0)+IF(AL$5=0,$C$371,0)</f>
        <v/>
      </c>
    </row>
    <row r="379">
      <c r="B379" s="14" t="inlineStr">
        <is>
          <t>EBITDA ($)</t>
        </is>
      </c>
      <c r="D379" s="26">
        <f>D374+D375-D376-D377</f>
        <v/>
      </c>
      <c r="E379" s="26">
        <f>E374+E375-E376-E377</f>
        <v/>
      </c>
      <c r="F379" s="26">
        <f>F374+F375-F376-F377</f>
        <v/>
      </c>
      <c r="G379" s="26">
        <f>G374+G375-G376-G377</f>
        <v/>
      </c>
      <c r="H379" s="26">
        <f>H374+H375-H376-H377</f>
        <v/>
      </c>
      <c r="I379" s="26">
        <f>I374+I375-I376-I377</f>
        <v/>
      </c>
      <c r="J379" s="26">
        <f>J374+J375-J376-J377</f>
        <v/>
      </c>
      <c r="K379" s="26">
        <f>K374+K375-K376-K377</f>
        <v/>
      </c>
      <c r="L379" s="26">
        <f>L374+L375-L376-L377</f>
        <v/>
      </c>
      <c r="M379" s="26">
        <f>M374+M375-M376-M377</f>
        <v/>
      </c>
      <c r="N379" s="26">
        <f>N374+N375-N376-N377</f>
        <v/>
      </c>
      <c r="O379" s="26">
        <f>O374+O375-O376-O377</f>
        <v/>
      </c>
      <c r="P379" s="26">
        <f>P374+P375-P376-P377</f>
        <v/>
      </c>
      <c r="Q379" s="26">
        <f>Q374+Q375-Q376-Q377</f>
        <v/>
      </c>
      <c r="R379" s="26">
        <f>R374+R375-R376-R377</f>
        <v/>
      </c>
      <c r="S379" s="26">
        <f>S374+S375-S376-S377</f>
        <v/>
      </c>
      <c r="T379" s="26">
        <f>T374+T375-T376-T377</f>
        <v/>
      </c>
      <c r="U379" s="26">
        <f>U374+U375-U376-U377</f>
        <v/>
      </c>
      <c r="V379" s="26">
        <f>V374+V375-V376-V377</f>
        <v/>
      </c>
      <c r="W379" s="26">
        <f>W374+W375-W376-W377</f>
        <v/>
      </c>
      <c r="X379" s="26">
        <f>X374+X375-X376-X377</f>
        <v/>
      </c>
      <c r="Y379" s="26">
        <f>Y374+Y375-Y376-Y377</f>
        <v/>
      </c>
      <c r="Z379" s="26">
        <f>Z374+Z375-Z376-Z377</f>
        <v/>
      </c>
      <c r="AA379" s="26">
        <f>AA374+AA375-AA376-AA377</f>
        <v/>
      </c>
      <c r="AB379" s="26">
        <f>AB374+AB375-AB376-AB377</f>
        <v/>
      </c>
      <c r="AC379" s="26">
        <f>AC374+AC375-AC376-AC377</f>
        <v/>
      </c>
      <c r="AD379" s="26">
        <f>AD374+AD375-AD376-AD377</f>
        <v/>
      </c>
      <c r="AE379" s="26">
        <f>AE374+AE375-AE376-AE377</f>
        <v/>
      </c>
      <c r="AF379" s="26">
        <f>AF374+AF375-AF376-AF377</f>
        <v/>
      </c>
      <c r="AG379" s="26">
        <f>AG374+AG375-AG376-AG377</f>
        <v/>
      </c>
      <c r="AH379" s="26">
        <f>AH374+AH375-AH376-AH377</f>
        <v/>
      </c>
      <c r="AI379" s="26">
        <f>AI374+AI375-AI376-AI377</f>
        <v/>
      </c>
      <c r="AJ379" s="26">
        <f>AJ374+AJ375-AJ376-AJ377</f>
        <v/>
      </c>
      <c r="AK379" s="26">
        <f>AK374+AK375-AK376-AK377</f>
        <v/>
      </c>
      <c r="AL379" s="26">
        <f>AL374+AL375-AL376-AL377</f>
        <v/>
      </c>
    </row>
    <row r="380">
      <c r="B380" s="7" t="inlineStr">
        <is>
          <t>Discount factor to 1 January 2027, contracted rate</t>
        </is>
      </c>
      <c r="D380" s="22">
        <f>1/(1+x_rc)^(D$5+2)</f>
        <v/>
      </c>
      <c r="E380" s="22">
        <f>1/(1+x_rc)^(E$5+2)</f>
        <v/>
      </c>
      <c r="F380" s="22">
        <f>1/(1+x_rc)^(F$5+2)</f>
        <v/>
      </c>
      <c r="G380" s="22">
        <f>1/(1+x_rc)^(G$5+2)</f>
        <v/>
      </c>
      <c r="H380" s="22">
        <f>1/(1+x_rc)^(H$5+2)</f>
        <v/>
      </c>
      <c r="I380" s="22">
        <f>1/(1+x_rc)^(I$5+2)</f>
        <v/>
      </c>
      <c r="J380" s="22">
        <f>1/(1+x_rc)^(J$5+2)</f>
        <v/>
      </c>
      <c r="K380" s="22">
        <f>1/(1+x_rc)^(K$5+2)</f>
        <v/>
      </c>
      <c r="L380" s="22">
        <f>1/(1+x_rc)^(L$5+2)</f>
        <v/>
      </c>
      <c r="M380" s="22">
        <f>1/(1+x_rc)^(M$5+2)</f>
        <v/>
      </c>
      <c r="N380" s="22">
        <f>1/(1+x_rc)^(N$5+2)</f>
        <v/>
      </c>
      <c r="O380" s="22">
        <f>1/(1+x_rc)^(O$5+2)</f>
        <v/>
      </c>
      <c r="P380" s="22">
        <f>1/(1+x_rc)^(P$5+2)</f>
        <v/>
      </c>
      <c r="Q380" s="22">
        <f>1/(1+x_rc)^(Q$5+2)</f>
        <v/>
      </c>
      <c r="R380" s="22">
        <f>1/(1+x_rc)^(R$5+2)</f>
        <v/>
      </c>
      <c r="S380" s="22">
        <f>1/(1+x_rc)^(S$5+2)</f>
        <v/>
      </c>
      <c r="T380" s="22">
        <f>1/(1+x_rc)^(T$5+2)</f>
        <v/>
      </c>
      <c r="U380" s="22">
        <f>1/(1+x_rc)^(U$5+2)</f>
        <v/>
      </c>
      <c r="V380" s="22">
        <f>1/(1+x_rc)^(V$5+2)</f>
        <v/>
      </c>
      <c r="W380" s="22">
        <f>1/(1+x_rc)^(W$5+2)</f>
        <v/>
      </c>
      <c r="X380" s="22">
        <f>1/(1+x_rc)^(X$5+2)</f>
        <v/>
      </c>
      <c r="Y380" s="22">
        <f>1/(1+x_rc)^(Y$5+2)</f>
        <v/>
      </c>
      <c r="Z380" s="22">
        <f>1/(1+x_rc)^(Z$5+2)</f>
        <v/>
      </c>
      <c r="AA380" s="22">
        <f>1/(1+x_rc)^(AA$5+2)</f>
        <v/>
      </c>
      <c r="AB380" s="22">
        <f>1/(1+x_rc)^(AB$5+2)</f>
        <v/>
      </c>
      <c r="AC380" s="22">
        <f>1/(1+x_rc)^(AC$5+2)</f>
        <v/>
      </c>
      <c r="AD380" s="22">
        <f>1/(1+x_rc)^(AD$5+2)</f>
        <v/>
      </c>
      <c r="AE380" s="22">
        <f>1/(1+x_rc)^(AE$5+2)</f>
        <v/>
      </c>
      <c r="AF380" s="22">
        <f>1/(1+x_rc)^(AF$5+2)</f>
        <v/>
      </c>
      <c r="AG380" s="22">
        <f>1/(1+x_rc)^(AG$5+2)</f>
        <v/>
      </c>
      <c r="AH380" s="22">
        <f>1/(1+x_rc)^(AH$5+2)</f>
        <v/>
      </c>
      <c r="AI380" s="22">
        <f>1/(1+x_rc)^(AI$5+2)</f>
        <v/>
      </c>
      <c r="AJ380" s="22">
        <f>1/(1+x_rc)^(AJ$5+2)</f>
        <v/>
      </c>
      <c r="AK380" s="22">
        <f>1/(1+x_rc)^(AK$5+2)</f>
        <v/>
      </c>
      <c r="AL380" s="22">
        <f>1/(1+x_rc)^(AL$5+2)</f>
        <v/>
      </c>
    </row>
    <row r="381">
      <c r="B381" s="7" t="inlineStr">
        <is>
          <t>Discount factor to 1 January 2027, merchant rate</t>
        </is>
      </c>
      <c r="D381" s="22">
        <f>1/(1+x_rm)^(D$5+2)</f>
        <v/>
      </c>
      <c r="E381" s="22">
        <f>1/(1+x_rm)^(E$5+2)</f>
        <v/>
      </c>
      <c r="F381" s="22">
        <f>1/(1+x_rm)^(F$5+2)</f>
        <v/>
      </c>
      <c r="G381" s="22">
        <f>1/(1+x_rm)^(G$5+2)</f>
        <v/>
      </c>
      <c r="H381" s="22">
        <f>1/(1+x_rm)^(H$5+2)</f>
        <v/>
      </c>
      <c r="I381" s="22">
        <f>1/(1+x_rm)^(I$5+2)</f>
        <v/>
      </c>
      <c r="J381" s="22">
        <f>1/(1+x_rm)^(J$5+2)</f>
        <v/>
      </c>
      <c r="K381" s="22">
        <f>1/(1+x_rm)^(K$5+2)</f>
        <v/>
      </c>
      <c r="L381" s="22">
        <f>1/(1+x_rm)^(L$5+2)</f>
        <v/>
      </c>
      <c r="M381" s="22">
        <f>1/(1+x_rm)^(M$5+2)</f>
        <v/>
      </c>
      <c r="N381" s="22">
        <f>1/(1+x_rm)^(N$5+2)</f>
        <v/>
      </c>
      <c r="O381" s="22">
        <f>1/(1+x_rm)^(O$5+2)</f>
        <v/>
      </c>
      <c r="P381" s="22">
        <f>1/(1+x_rm)^(P$5+2)</f>
        <v/>
      </c>
      <c r="Q381" s="22">
        <f>1/(1+x_rm)^(Q$5+2)</f>
        <v/>
      </c>
      <c r="R381" s="22">
        <f>1/(1+x_rm)^(R$5+2)</f>
        <v/>
      </c>
      <c r="S381" s="22">
        <f>1/(1+x_rm)^(S$5+2)</f>
        <v/>
      </c>
      <c r="T381" s="22">
        <f>1/(1+x_rm)^(T$5+2)</f>
        <v/>
      </c>
      <c r="U381" s="22">
        <f>1/(1+x_rm)^(U$5+2)</f>
        <v/>
      </c>
      <c r="V381" s="22">
        <f>1/(1+x_rm)^(V$5+2)</f>
        <v/>
      </c>
      <c r="W381" s="22">
        <f>1/(1+x_rm)^(W$5+2)</f>
        <v/>
      </c>
      <c r="X381" s="22">
        <f>1/(1+x_rm)^(X$5+2)</f>
        <v/>
      </c>
      <c r="Y381" s="22">
        <f>1/(1+x_rm)^(Y$5+2)</f>
        <v/>
      </c>
      <c r="Z381" s="22">
        <f>1/(1+x_rm)^(Z$5+2)</f>
        <v/>
      </c>
      <c r="AA381" s="22">
        <f>1/(1+x_rm)^(AA$5+2)</f>
        <v/>
      </c>
      <c r="AB381" s="22">
        <f>1/(1+x_rm)^(AB$5+2)</f>
        <v/>
      </c>
      <c r="AC381" s="22">
        <f>1/(1+x_rm)^(AC$5+2)</f>
        <v/>
      </c>
      <c r="AD381" s="22">
        <f>1/(1+x_rm)^(AD$5+2)</f>
        <v/>
      </c>
      <c r="AE381" s="22">
        <f>1/(1+x_rm)^(AE$5+2)</f>
        <v/>
      </c>
      <c r="AF381" s="22">
        <f>1/(1+x_rm)^(AF$5+2)</f>
        <v/>
      </c>
      <c r="AG381" s="22">
        <f>1/(1+x_rm)^(AG$5+2)</f>
        <v/>
      </c>
      <c r="AH381" s="22">
        <f>1/(1+x_rm)^(AH$5+2)</f>
        <v/>
      </c>
      <c r="AI381" s="22">
        <f>1/(1+x_rm)^(AI$5+2)</f>
        <v/>
      </c>
      <c r="AJ381" s="22">
        <f>1/(1+x_rm)^(AJ$5+2)</f>
        <v/>
      </c>
      <c r="AK381" s="22">
        <f>1/(1+x_rm)^(AK$5+2)</f>
        <v/>
      </c>
      <c r="AL381" s="22">
        <f>1/(1+x_rm)^(AL$5+2)</f>
        <v/>
      </c>
    </row>
    <row r="382">
      <c r="B382" s="7" t="inlineStr">
        <is>
          <t>Value on 1 January 2027 of the flows from 2028 (split rates) ($)</t>
        </is>
      </c>
      <c r="C382" s="25">
        <f>SUMPRODUCT($D$374:$AL$374,$D$380:$AL$380)+SUMPRODUCT($D$378:$AL$378,$D$380:$AL$380)-SUMPRODUCT($D$376:$AL$376,$D$380:$AL$380)-SUMPRODUCT($D$377:$AL$377,$D$380:$AL$380)+SUMPRODUCT($D$375:$AL$375,$D$381:$AL$381)-decom_end/(1+x_rc)^(life_years+1)</f>
        <v/>
      </c>
    </row>
    <row r="383">
      <c r="B383" s="14" t="inlineStr">
        <is>
          <t>Development value on 1 January 2027: value less the capital cost ($)</t>
        </is>
      </c>
      <c r="C383" s="26">
        <f>C382-C369/(1+x_rc)</f>
        <v/>
      </c>
    </row>
    <row r="384">
      <c r="B384" s="7" t="inlineStr">
        <is>
          <t>Highest premium Ashgrove can pay at NTP ($)</t>
        </is>
      </c>
      <c r="C384" s="25">
        <f>C383-reimb+reimb/(1+x_rc)</f>
        <v/>
      </c>
    </row>
    <row r="387">
      <c r="B387" s="6" t="inlineStr">
        <is>
          <t>Modules at the low price, case U</t>
        </is>
      </c>
    </row>
    <row r="388">
      <c r="B388" s="7" t="inlineStr">
        <is>
          <t>Capital cost ($)</t>
        </is>
      </c>
      <c r="C388" s="25">
        <f>((sens_mod_lo+x_tracker+x_bos)*mwdc*1000000+x_inverter*mwac*1000000+x_sub)*(1+contingency)+x_ic+owner</f>
        <v/>
      </c>
    </row>
    <row r="389">
      <c r="B389" s="7" t="inlineStr">
        <is>
          <t>ITC eligible basis ($)</t>
        </is>
      </c>
      <c r="C389" s="25">
        <f>((sens_mod_lo+x_tracker+x_bos)*mwdc*1000000+x_inverter*mwac*1000000+x_sub)*(1+contingency)-gentie_share*x_sub</f>
        <v/>
      </c>
    </row>
    <row r="390">
      <c r="B390" s="7" t="inlineStr">
        <is>
          <t>ITC cash at the end of 2028, if elected ($)</t>
        </is>
      </c>
      <c r="C390" s="25">
        <f>IF(sw_credit="ITC",C389*(itc_rate+sw_bonus)*transfer_itc,0)</f>
        <v/>
      </c>
    </row>
    <row r="391">
      <c r="B391" s="7" t="inlineStr">
        <is>
          <t>Energy (MWh)</t>
        </is>
      </c>
      <c r="D391" s="23">
        <f>mwac*hours*cf_p50*Energy!D$7*x_scale</f>
        <v/>
      </c>
      <c r="E391" s="23">
        <f>mwac*hours*cf_p50*Energy!E$7*x_scale</f>
        <v/>
      </c>
      <c r="F391" s="23">
        <f>mwac*hours*cf_p50*Energy!F$7*x_scale</f>
        <v/>
      </c>
      <c r="G391" s="23">
        <f>mwac*hours*cf_p50*Energy!G$7*x_scale</f>
        <v/>
      </c>
      <c r="H391" s="23">
        <f>mwac*hours*cf_p50*Energy!H$7*x_scale</f>
        <v/>
      </c>
      <c r="I391" s="23">
        <f>mwac*hours*cf_p50*Energy!I$7*x_scale</f>
        <v/>
      </c>
      <c r="J391" s="23">
        <f>mwac*hours*cf_p50*Energy!J$7*x_scale</f>
        <v/>
      </c>
      <c r="K391" s="23">
        <f>mwac*hours*cf_p50*Energy!K$7*x_scale</f>
        <v/>
      </c>
      <c r="L391" s="23">
        <f>mwac*hours*cf_p50*Energy!L$7*x_scale</f>
        <v/>
      </c>
      <c r="M391" s="23">
        <f>mwac*hours*cf_p50*Energy!M$7*x_scale</f>
        <v/>
      </c>
      <c r="N391" s="23">
        <f>mwac*hours*cf_p50*Energy!N$7*x_scale</f>
        <v/>
      </c>
      <c r="O391" s="23">
        <f>mwac*hours*cf_p50*Energy!O$7*x_scale</f>
        <v/>
      </c>
      <c r="P391" s="23">
        <f>mwac*hours*cf_p50*Energy!P$7*x_scale</f>
        <v/>
      </c>
      <c r="Q391" s="23">
        <f>mwac*hours*cf_p50*Energy!Q$7*x_scale</f>
        <v/>
      </c>
      <c r="R391" s="23">
        <f>mwac*hours*cf_p50*Energy!R$7*x_scale</f>
        <v/>
      </c>
      <c r="S391" s="23">
        <f>mwac*hours*cf_p50*Energy!S$7*x_scale</f>
        <v/>
      </c>
      <c r="T391" s="23">
        <f>mwac*hours*cf_p50*Energy!T$7*x_scale</f>
        <v/>
      </c>
      <c r="U391" s="23">
        <f>mwac*hours*cf_p50*Energy!U$7*x_scale</f>
        <v/>
      </c>
      <c r="V391" s="23">
        <f>mwac*hours*cf_p50*Energy!V$7*x_scale</f>
        <v/>
      </c>
      <c r="W391" s="23">
        <f>mwac*hours*cf_p50*Energy!W$7*x_scale</f>
        <v/>
      </c>
      <c r="X391" s="23">
        <f>mwac*hours*cf_p50*Energy!X$7*x_scale</f>
        <v/>
      </c>
      <c r="Y391" s="23">
        <f>mwac*hours*cf_p50*Energy!Y$7*x_scale</f>
        <v/>
      </c>
      <c r="Z391" s="23">
        <f>mwac*hours*cf_p50*Energy!Z$7*x_scale</f>
        <v/>
      </c>
      <c r="AA391" s="23">
        <f>mwac*hours*cf_p50*Energy!AA$7*x_scale</f>
        <v/>
      </c>
      <c r="AB391" s="23">
        <f>mwac*hours*cf_p50*Energy!AB$7*x_scale</f>
        <v/>
      </c>
      <c r="AC391" s="23">
        <f>mwac*hours*cf_p50*Energy!AC$7*x_scale</f>
        <v/>
      </c>
      <c r="AD391" s="23">
        <f>mwac*hours*cf_p50*Energy!AD$7*x_scale</f>
        <v/>
      </c>
      <c r="AE391" s="23">
        <f>mwac*hours*cf_p50*Energy!AE$7*x_scale</f>
        <v/>
      </c>
      <c r="AF391" s="23">
        <f>mwac*hours*cf_p50*Energy!AF$7*x_scale</f>
        <v/>
      </c>
      <c r="AG391" s="23">
        <f>mwac*hours*cf_p50*Energy!AG$7*x_scale</f>
        <v/>
      </c>
      <c r="AH391" s="23">
        <f>mwac*hours*cf_p50*Energy!AH$7*x_scale</f>
        <v/>
      </c>
      <c r="AI391" s="23">
        <f>mwac*hours*cf_p50*Energy!AI$7*x_scale</f>
        <v/>
      </c>
      <c r="AJ391" s="23">
        <f>mwac*hours*cf_p50*Energy!AJ$7*x_scale</f>
        <v/>
      </c>
      <c r="AK391" s="23">
        <f>mwac*hours*cf_p50*Energy!AK$7*x_scale</f>
        <v/>
      </c>
      <c r="AL391" s="23">
        <f>mwac*hours*cf_p50*Energy!AL$7*x_scale</f>
        <v/>
      </c>
    </row>
    <row r="392">
      <c r="B392" s="7" t="inlineStr">
        <is>
          <t>Node price, hub switch applied ($/MWh)</t>
        </is>
      </c>
      <c r="D392" s="32">
        <f>Market!D$7*(1+sw_hub)*Market!D$8+Market!D$10</f>
        <v/>
      </c>
      <c r="E392" s="32">
        <f>Market!E$7*(1+sw_hub)*Market!E$8+Market!E$10</f>
        <v/>
      </c>
      <c r="F392" s="32">
        <f>Market!F$7*(1+sw_hub)*Market!F$8+Market!F$10</f>
        <v/>
      </c>
      <c r="G392" s="32">
        <f>Market!G$7*(1+sw_hub)*Market!G$8+Market!G$10</f>
        <v/>
      </c>
      <c r="H392" s="32">
        <f>Market!H$7*(1+sw_hub)*Market!H$8+Market!H$10</f>
        <v/>
      </c>
      <c r="I392" s="32">
        <f>Market!I$7*(1+sw_hub)*Market!I$8+Market!I$10</f>
        <v/>
      </c>
      <c r="J392" s="32">
        <f>Market!J$7*(1+sw_hub)*Market!J$8+Market!J$10</f>
        <v/>
      </c>
      <c r="K392" s="32">
        <f>Market!K$7*(1+sw_hub)*Market!K$8+Market!K$10</f>
        <v/>
      </c>
      <c r="L392" s="32">
        <f>Market!L$7*(1+sw_hub)*Market!L$8+Market!L$10</f>
        <v/>
      </c>
      <c r="M392" s="32">
        <f>Market!M$7*(1+sw_hub)*Market!M$8+Market!M$10</f>
        <v/>
      </c>
      <c r="N392" s="32">
        <f>Market!N$7*(1+sw_hub)*Market!N$8+Market!N$10</f>
        <v/>
      </c>
      <c r="O392" s="32">
        <f>Market!O$7*(1+sw_hub)*Market!O$8+Market!O$10</f>
        <v/>
      </c>
      <c r="P392" s="32">
        <f>Market!P$7*(1+sw_hub)*Market!P$8+Market!P$10</f>
        <v/>
      </c>
      <c r="Q392" s="32">
        <f>Market!Q$7*(1+sw_hub)*Market!Q$8+Market!Q$10</f>
        <v/>
      </c>
      <c r="R392" s="32">
        <f>Market!R$7*(1+sw_hub)*Market!R$8+Market!R$10</f>
        <v/>
      </c>
      <c r="S392" s="32">
        <f>Market!S$7*(1+sw_hub)*Market!S$8+Market!S$10</f>
        <v/>
      </c>
      <c r="T392" s="32">
        <f>Market!T$7*(1+sw_hub)*Market!T$8+Market!T$10</f>
        <v/>
      </c>
      <c r="U392" s="32">
        <f>Market!U$7*(1+sw_hub)*Market!U$8+Market!U$10</f>
        <v/>
      </c>
      <c r="V392" s="32">
        <f>Market!V$7*(1+sw_hub)*Market!V$8+Market!V$10</f>
        <v/>
      </c>
      <c r="W392" s="32">
        <f>Market!W$7*(1+sw_hub)*Market!W$8+Market!W$10</f>
        <v/>
      </c>
      <c r="X392" s="32">
        <f>Market!X$7*(1+sw_hub)*Market!X$8+Market!X$10</f>
        <v/>
      </c>
      <c r="Y392" s="32">
        <f>Market!Y$7*(1+sw_hub)*Market!Y$8+Market!Y$10</f>
        <v/>
      </c>
      <c r="Z392" s="32">
        <f>Market!Z$7*(1+sw_hub)*Market!Z$8+Market!Z$10</f>
        <v/>
      </c>
      <c r="AA392" s="32">
        <f>Market!AA$7*(1+sw_hub)*Market!AA$8+Market!AA$10</f>
        <v/>
      </c>
      <c r="AB392" s="32">
        <f>Market!AB$7*(1+sw_hub)*Market!AB$8+Market!AB$10</f>
        <v/>
      </c>
      <c r="AC392" s="32">
        <f>Market!AC$7*(1+sw_hub)*Market!AC$8+Market!AC$10</f>
        <v/>
      </c>
      <c r="AD392" s="32">
        <f>Market!AD$7*(1+sw_hub)*Market!AD$8+Market!AD$10</f>
        <v/>
      </c>
      <c r="AE392" s="32">
        <f>Market!AE$7*(1+sw_hub)*Market!AE$8+Market!AE$10</f>
        <v/>
      </c>
      <c r="AF392" s="32">
        <f>Market!AF$7*(1+sw_hub)*Market!AF$8+Market!AF$10</f>
        <v/>
      </c>
      <c r="AG392" s="32">
        <f>Market!AG$7*(1+sw_hub)*Market!AG$8+Market!AG$10</f>
        <v/>
      </c>
      <c r="AH392" s="32">
        <f>Market!AH$7*(1+sw_hub)*Market!AH$8+Market!AH$10</f>
        <v/>
      </c>
      <c r="AI392" s="32">
        <f>Market!AI$7*(1+sw_hub)*Market!AI$8+Market!AI$10</f>
        <v/>
      </c>
      <c r="AJ392" s="32">
        <f>Market!AJ$7*(1+sw_hub)*Market!AJ$8+Market!AJ$10</f>
        <v/>
      </c>
      <c r="AK392" s="32">
        <f>Market!AK$7*(1+sw_hub)*Market!AK$8+Market!AK$10</f>
        <v/>
      </c>
      <c r="AL392" s="32">
        <f>Market!AL$7*(1+sw_hub)*Market!AL$8+Market!AL$10</f>
        <v/>
      </c>
    </row>
    <row r="393">
      <c r="B393" s="7" t="inlineStr">
        <is>
          <t>Contracted revenue ($)</t>
        </is>
      </c>
      <c r="D393" s="25">
        <f>IF(D$5&lt;u_years,D391*u_price*(1+u_esc)^D$5,0)</f>
        <v/>
      </c>
      <c r="E393" s="25">
        <f>IF(E$5&lt;u_years,E391*u_price*(1+u_esc)^E$5,0)</f>
        <v/>
      </c>
      <c r="F393" s="25">
        <f>IF(F$5&lt;u_years,F391*u_price*(1+u_esc)^F$5,0)</f>
        <v/>
      </c>
      <c r="G393" s="25">
        <f>IF(G$5&lt;u_years,G391*u_price*(1+u_esc)^G$5,0)</f>
        <v/>
      </c>
      <c r="H393" s="25">
        <f>IF(H$5&lt;u_years,H391*u_price*(1+u_esc)^H$5,0)</f>
        <v/>
      </c>
      <c r="I393" s="25">
        <f>IF(I$5&lt;u_years,I391*u_price*(1+u_esc)^I$5,0)</f>
        <v/>
      </c>
      <c r="J393" s="25">
        <f>IF(J$5&lt;u_years,J391*u_price*(1+u_esc)^J$5,0)</f>
        <v/>
      </c>
      <c r="K393" s="25">
        <f>IF(K$5&lt;u_years,K391*u_price*(1+u_esc)^K$5,0)</f>
        <v/>
      </c>
      <c r="L393" s="25">
        <f>IF(L$5&lt;u_years,L391*u_price*(1+u_esc)^L$5,0)</f>
        <v/>
      </c>
      <c r="M393" s="25">
        <f>IF(M$5&lt;u_years,M391*u_price*(1+u_esc)^M$5,0)</f>
        <v/>
      </c>
      <c r="N393" s="25">
        <f>IF(N$5&lt;u_years,N391*u_price*(1+u_esc)^N$5,0)</f>
        <v/>
      </c>
      <c r="O393" s="25">
        <f>IF(O$5&lt;u_years,O391*u_price*(1+u_esc)^O$5,0)</f>
        <v/>
      </c>
      <c r="P393" s="25">
        <f>IF(P$5&lt;u_years,P391*u_price*(1+u_esc)^P$5,0)</f>
        <v/>
      </c>
      <c r="Q393" s="25">
        <f>IF(Q$5&lt;u_years,Q391*u_price*(1+u_esc)^Q$5,0)</f>
        <v/>
      </c>
      <c r="R393" s="25">
        <f>IF(R$5&lt;u_years,R391*u_price*(1+u_esc)^R$5,0)</f>
        <v/>
      </c>
      <c r="S393" s="25">
        <f>IF(S$5&lt;u_years,S391*u_price*(1+u_esc)^S$5,0)</f>
        <v/>
      </c>
      <c r="T393" s="25">
        <f>IF(T$5&lt;u_years,T391*u_price*(1+u_esc)^T$5,0)</f>
        <v/>
      </c>
      <c r="U393" s="25">
        <f>IF(U$5&lt;u_years,U391*u_price*(1+u_esc)^U$5,0)</f>
        <v/>
      </c>
      <c r="V393" s="25">
        <f>IF(V$5&lt;u_years,V391*u_price*(1+u_esc)^V$5,0)</f>
        <v/>
      </c>
      <c r="W393" s="25">
        <f>IF(W$5&lt;u_years,W391*u_price*(1+u_esc)^W$5,0)</f>
        <v/>
      </c>
      <c r="X393" s="25">
        <f>IF(X$5&lt;u_years,X391*u_price*(1+u_esc)^X$5,0)</f>
        <v/>
      </c>
      <c r="Y393" s="25">
        <f>IF(Y$5&lt;u_years,Y391*u_price*(1+u_esc)^Y$5,0)</f>
        <v/>
      </c>
      <c r="Z393" s="25">
        <f>IF(Z$5&lt;u_years,Z391*u_price*(1+u_esc)^Z$5,0)</f>
        <v/>
      </c>
      <c r="AA393" s="25">
        <f>IF(AA$5&lt;u_years,AA391*u_price*(1+u_esc)^AA$5,0)</f>
        <v/>
      </c>
      <c r="AB393" s="25">
        <f>IF(AB$5&lt;u_years,AB391*u_price*(1+u_esc)^AB$5,0)</f>
        <v/>
      </c>
      <c r="AC393" s="25">
        <f>IF(AC$5&lt;u_years,AC391*u_price*(1+u_esc)^AC$5,0)</f>
        <v/>
      </c>
      <c r="AD393" s="25">
        <f>IF(AD$5&lt;u_years,AD391*u_price*(1+u_esc)^AD$5,0)</f>
        <v/>
      </c>
      <c r="AE393" s="25">
        <f>IF(AE$5&lt;u_years,AE391*u_price*(1+u_esc)^AE$5,0)</f>
        <v/>
      </c>
      <c r="AF393" s="25">
        <f>IF(AF$5&lt;u_years,AF391*u_price*(1+u_esc)^AF$5,0)</f>
        <v/>
      </c>
      <c r="AG393" s="25">
        <f>IF(AG$5&lt;u_years,AG391*u_price*(1+u_esc)^AG$5,0)</f>
        <v/>
      </c>
      <c r="AH393" s="25">
        <f>IF(AH$5&lt;u_years,AH391*u_price*(1+u_esc)^AH$5,0)</f>
        <v/>
      </c>
      <c r="AI393" s="25">
        <f>IF(AI$5&lt;u_years,AI391*u_price*(1+u_esc)^AI$5,0)</f>
        <v/>
      </c>
      <c r="AJ393" s="25">
        <f>IF(AJ$5&lt;u_years,AJ391*u_price*(1+u_esc)^AJ$5,0)</f>
        <v/>
      </c>
      <c r="AK393" s="25">
        <f>IF(AK$5&lt;u_years,AK391*u_price*(1+u_esc)^AK$5,0)</f>
        <v/>
      </c>
      <c r="AL393" s="25">
        <f>IF(AL$5&lt;u_years,AL391*u_price*(1+u_esc)^AL$5,0)</f>
        <v/>
      </c>
    </row>
    <row r="394">
      <c r="B394" s="7" t="inlineStr">
        <is>
          <t>Merchant revenue ($)</t>
        </is>
      </c>
      <c r="D394" s="25">
        <f>IF(D$5&lt;u_years,0,D391*(D392+rec_price)+Market!D$13)</f>
        <v/>
      </c>
      <c r="E394" s="25">
        <f>IF(E$5&lt;u_years,0,E391*(E392+rec_price)+Market!E$13)</f>
        <v/>
      </c>
      <c r="F394" s="25">
        <f>IF(F$5&lt;u_years,0,F391*(F392+rec_price)+Market!F$13)</f>
        <v/>
      </c>
      <c r="G394" s="25">
        <f>IF(G$5&lt;u_years,0,G391*(G392+rec_price)+Market!G$13)</f>
        <v/>
      </c>
      <c r="H394" s="25">
        <f>IF(H$5&lt;u_years,0,H391*(H392+rec_price)+Market!H$13)</f>
        <v/>
      </c>
      <c r="I394" s="25">
        <f>IF(I$5&lt;u_years,0,I391*(I392+rec_price)+Market!I$13)</f>
        <v/>
      </c>
      <c r="J394" s="25">
        <f>IF(J$5&lt;u_years,0,J391*(J392+rec_price)+Market!J$13)</f>
        <v/>
      </c>
      <c r="K394" s="25">
        <f>IF(K$5&lt;u_years,0,K391*(K392+rec_price)+Market!K$13)</f>
        <v/>
      </c>
      <c r="L394" s="25">
        <f>IF(L$5&lt;u_years,0,L391*(L392+rec_price)+Market!L$13)</f>
        <v/>
      </c>
      <c r="M394" s="25">
        <f>IF(M$5&lt;u_years,0,M391*(M392+rec_price)+Market!M$13)</f>
        <v/>
      </c>
      <c r="N394" s="25">
        <f>IF(N$5&lt;u_years,0,N391*(N392+rec_price)+Market!N$13)</f>
        <v/>
      </c>
      <c r="O394" s="25">
        <f>IF(O$5&lt;u_years,0,O391*(O392+rec_price)+Market!O$13)</f>
        <v/>
      </c>
      <c r="P394" s="25">
        <f>IF(P$5&lt;u_years,0,P391*(P392+rec_price)+Market!P$13)</f>
        <v/>
      </c>
      <c r="Q394" s="25">
        <f>IF(Q$5&lt;u_years,0,Q391*(Q392+rec_price)+Market!Q$13)</f>
        <v/>
      </c>
      <c r="R394" s="25">
        <f>IF(R$5&lt;u_years,0,R391*(R392+rec_price)+Market!R$13)</f>
        <v/>
      </c>
      <c r="S394" s="25">
        <f>IF(S$5&lt;u_years,0,S391*(S392+rec_price)+Market!S$13)</f>
        <v/>
      </c>
      <c r="T394" s="25">
        <f>IF(T$5&lt;u_years,0,T391*(T392+rec_price)+Market!T$13)</f>
        <v/>
      </c>
      <c r="U394" s="25">
        <f>IF(U$5&lt;u_years,0,U391*(U392+rec_price)+Market!U$13)</f>
        <v/>
      </c>
      <c r="V394" s="25">
        <f>IF(V$5&lt;u_years,0,V391*(V392+rec_price)+Market!V$13)</f>
        <v/>
      </c>
      <c r="W394" s="25">
        <f>IF(W$5&lt;u_years,0,W391*(W392+rec_price)+Market!W$13)</f>
        <v/>
      </c>
      <c r="X394" s="25">
        <f>IF(X$5&lt;u_years,0,X391*(X392+rec_price)+Market!X$13)</f>
        <v/>
      </c>
      <c r="Y394" s="25">
        <f>IF(Y$5&lt;u_years,0,Y391*(Y392+rec_price)+Market!Y$13)</f>
        <v/>
      </c>
      <c r="Z394" s="25">
        <f>IF(Z$5&lt;u_years,0,Z391*(Z392+rec_price)+Market!Z$13)</f>
        <v/>
      </c>
      <c r="AA394" s="25">
        <f>IF(AA$5&lt;u_years,0,AA391*(AA392+rec_price)+Market!AA$13)</f>
        <v/>
      </c>
      <c r="AB394" s="25">
        <f>IF(AB$5&lt;u_years,0,AB391*(AB392+rec_price)+Market!AB$13)</f>
        <v/>
      </c>
      <c r="AC394" s="25">
        <f>IF(AC$5&lt;u_years,0,AC391*(AC392+rec_price)+Market!AC$13)</f>
        <v/>
      </c>
      <c r="AD394" s="25">
        <f>IF(AD$5&lt;u_years,0,AD391*(AD392+rec_price)+Market!AD$13)</f>
        <v/>
      </c>
      <c r="AE394" s="25">
        <f>IF(AE$5&lt;u_years,0,AE391*(AE392+rec_price)+Market!AE$13)</f>
        <v/>
      </c>
      <c r="AF394" s="25">
        <f>IF(AF$5&lt;u_years,0,AF391*(AF392+rec_price)+Market!AF$13)</f>
        <v/>
      </c>
      <c r="AG394" s="25">
        <f>IF(AG$5&lt;u_years,0,AG391*(AG392+rec_price)+Market!AG$13)</f>
        <v/>
      </c>
      <c r="AH394" s="25">
        <f>IF(AH$5&lt;u_years,0,AH391*(AH392+rec_price)+Market!AH$13)</f>
        <v/>
      </c>
      <c r="AI394" s="25">
        <f>IF(AI$5&lt;u_years,0,AI391*(AI392+rec_price)+Market!AI$13)</f>
        <v/>
      </c>
      <c r="AJ394" s="25">
        <f>IF(AJ$5&lt;u_years,0,AJ391*(AJ392+rec_price)+Market!AJ$13)</f>
        <v/>
      </c>
      <c r="AK394" s="25">
        <f>IF(AK$5&lt;u_years,0,AK391*(AK392+rec_price)+Market!AK$13)</f>
        <v/>
      </c>
      <c r="AL394" s="25">
        <f>IF(AL$5&lt;u_years,0,AL391*(AL392+rec_price)+Market!AL$13)</f>
        <v/>
      </c>
    </row>
    <row r="395">
      <c r="B395" s="7" t="inlineStr">
        <is>
          <t>Basis cost kept by the project ($)</t>
        </is>
      </c>
      <c r="D395" s="25" t="n">
        <v>0</v>
      </c>
      <c r="E395" s="25" t="n">
        <v>0</v>
      </c>
      <c r="F395" s="25" t="n">
        <v>0</v>
      </c>
      <c r="G395" s="25" t="n">
        <v>0</v>
      </c>
      <c r="H395" s="25" t="n">
        <v>0</v>
      </c>
      <c r="I395" s="25" t="n">
        <v>0</v>
      </c>
      <c r="J395" s="25" t="n">
        <v>0</v>
      </c>
      <c r="K395" s="25" t="n">
        <v>0</v>
      </c>
      <c r="L395" s="25" t="n">
        <v>0</v>
      </c>
      <c r="M395" s="25" t="n">
        <v>0</v>
      </c>
      <c r="N395" s="25" t="n">
        <v>0</v>
      </c>
      <c r="O395" s="25" t="n">
        <v>0</v>
      </c>
      <c r="P395" s="25" t="n">
        <v>0</v>
      </c>
      <c r="Q395" s="25" t="n">
        <v>0</v>
      </c>
      <c r="R395" s="25" t="n">
        <v>0</v>
      </c>
      <c r="S395" s="25" t="n">
        <v>0</v>
      </c>
      <c r="T395" s="25" t="n">
        <v>0</v>
      </c>
      <c r="U395" s="25" t="n">
        <v>0</v>
      </c>
      <c r="V395" s="25" t="n">
        <v>0</v>
      </c>
      <c r="W395" s="25" t="n">
        <v>0</v>
      </c>
      <c r="X395" s="25" t="n">
        <v>0</v>
      </c>
      <c r="Y395" s="25" t="n">
        <v>0</v>
      </c>
      <c r="Z395" s="25" t="n">
        <v>0</v>
      </c>
      <c r="AA395" s="25" t="n">
        <v>0</v>
      </c>
      <c r="AB395" s="25" t="n">
        <v>0</v>
      </c>
      <c r="AC395" s="25" t="n">
        <v>0</v>
      </c>
      <c r="AD395" s="25" t="n">
        <v>0</v>
      </c>
      <c r="AE395" s="25" t="n">
        <v>0</v>
      </c>
      <c r="AF395" s="25" t="n">
        <v>0</v>
      </c>
      <c r="AG395" s="25" t="n">
        <v>0</v>
      </c>
      <c r="AH395" s="25" t="n">
        <v>0</v>
      </c>
      <c r="AI395" s="25" t="n">
        <v>0</v>
      </c>
      <c r="AJ395" s="25" t="n">
        <v>0</v>
      </c>
      <c r="AK395" s="25" t="n">
        <v>0</v>
      </c>
      <c r="AL395" s="25" t="n">
        <v>0</v>
      </c>
    </row>
    <row r="396">
      <c r="B396" s="7" t="inlineStr">
        <is>
          <t>Operating cost ($)</t>
        </is>
      </c>
      <c r="D396" s="25">
        <f>(om_kw*mwac*1000+ins_rate*$C$388+am_cost+prop_tax+misc_cost)*Opex!D$7+rent_acre*acres_lease*Opex!D$8</f>
        <v/>
      </c>
      <c r="E396" s="25">
        <f>(om_kw*mwac*1000+ins_rate*$C$388+am_cost+prop_tax+misc_cost)*Opex!E$7+rent_acre*acres_lease*Opex!E$8</f>
        <v/>
      </c>
      <c r="F396" s="25">
        <f>(om_kw*mwac*1000+ins_rate*$C$388+am_cost+prop_tax+misc_cost)*Opex!F$7+rent_acre*acres_lease*Opex!F$8</f>
        <v/>
      </c>
      <c r="G396" s="25">
        <f>(om_kw*mwac*1000+ins_rate*$C$388+am_cost+prop_tax+misc_cost)*Opex!G$7+rent_acre*acres_lease*Opex!G$8</f>
        <v/>
      </c>
      <c r="H396" s="25">
        <f>(om_kw*mwac*1000+ins_rate*$C$388+am_cost+prop_tax+misc_cost)*Opex!H$7+rent_acre*acres_lease*Opex!H$8</f>
        <v/>
      </c>
      <c r="I396" s="25">
        <f>(om_kw*mwac*1000+ins_rate*$C$388+am_cost+prop_tax+misc_cost)*Opex!I$7+rent_acre*acres_lease*Opex!I$8</f>
        <v/>
      </c>
      <c r="J396" s="25">
        <f>(om_kw*mwac*1000+ins_rate*$C$388+am_cost+prop_tax+misc_cost)*Opex!J$7+rent_acre*acres_lease*Opex!J$8</f>
        <v/>
      </c>
      <c r="K396" s="25">
        <f>(om_kw*mwac*1000+ins_rate*$C$388+am_cost+prop_tax+misc_cost)*Opex!K$7+rent_acre*acres_lease*Opex!K$8</f>
        <v/>
      </c>
      <c r="L396" s="25">
        <f>(om_kw*mwac*1000+ins_rate*$C$388+am_cost+prop_tax+misc_cost)*Opex!L$7+rent_acre*acres_lease*Opex!L$8</f>
        <v/>
      </c>
      <c r="M396" s="25">
        <f>(om_kw*mwac*1000+ins_rate*$C$388+am_cost+prop_tax+misc_cost)*Opex!M$7+rent_acre*acres_lease*Opex!M$8</f>
        <v/>
      </c>
      <c r="N396" s="25">
        <f>(om_kw*mwac*1000+ins_rate*$C$388+am_cost+prop_tax+misc_cost)*Opex!N$7+rent_acre*acres_lease*Opex!N$8</f>
        <v/>
      </c>
      <c r="O396" s="25">
        <f>(om_kw*mwac*1000+ins_rate*$C$388+am_cost+prop_tax+misc_cost)*Opex!O$7+rent_acre*acres_lease*Opex!O$8</f>
        <v/>
      </c>
      <c r="P396" s="25">
        <f>(om_kw*mwac*1000+ins_rate*$C$388+am_cost+prop_tax+misc_cost)*Opex!P$7+rent_acre*acres_lease*Opex!P$8</f>
        <v/>
      </c>
      <c r="Q396" s="25">
        <f>(om_kw*mwac*1000+ins_rate*$C$388+am_cost+prop_tax+misc_cost)*Opex!Q$7+rent_acre*acres_lease*Opex!Q$8</f>
        <v/>
      </c>
      <c r="R396" s="25">
        <f>(om_kw*mwac*1000+ins_rate*$C$388+am_cost+prop_tax+misc_cost)*Opex!R$7+rent_acre*acres_lease*Opex!R$8</f>
        <v/>
      </c>
      <c r="S396" s="25">
        <f>(om_kw*mwac*1000+ins_rate*$C$388+am_cost+prop_tax+misc_cost)*Opex!S$7+rent_acre*acres_lease*Opex!S$8</f>
        <v/>
      </c>
      <c r="T396" s="25">
        <f>(om_kw*mwac*1000+ins_rate*$C$388+am_cost+prop_tax+misc_cost)*Opex!T$7+rent_acre*acres_lease*Opex!T$8</f>
        <v/>
      </c>
      <c r="U396" s="25">
        <f>(om_kw*mwac*1000+ins_rate*$C$388+am_cost+prop_tax+misc_cost)*Opex!U$7+rent_acre*acres_lease*Opex!U$8</f>
        <v/>
      </c>
      <c r="V396" s="25">
        <f>(om_kw*mwac*1000+ins_rate*$C$388+am_cost+prop_tax+misc_cost)*Opex!V$7+rent_acre*acres_lease*Opex!V$8</f>
        <v/>
      </c>
      <c r="W396" s="25">
        <f>(om_kw*mwac*1000+ins_rate*$C$388+am_cost+prop_tax+misc_cost)*Opex!W$7+rent_acre*acres_lease*Opex!W$8</f>
        <v/>
      </c>
      <c r="X396" s="25">
        <f>(om_kw*mwac*1000+ins_rate*$C$388+am_cost+prop_tax+misc_cost)*Opex!X$7+rent_acre*acres_lease*Opex!X$8</f>
        <v/>
      </c>
      <c r="Y396" s="25">
        <f>(om_kw*mwac*1000+ins_rate*$C$388+am_cost+prop_tax+misc_cost)*Opex!Y$7+rent_acre*acres_lease*Opex!Y$8</f>
        <v/>
      </c>
      <c r="Z396" s="25">
        <f>(om_kw*mwac*1000+ins_rate*$C$388+am_cost+prop_tax+misc_cost)*Opex!Z$7+rent_acre*acres_lease*Opex!Z$8</f>
        <v/>
      </c>
      <c r="AA396" s="25">
        <f>(om_kw*mwac*1000+ins_rate*$C$388+am_cost+prop_tax+misc_cost)*Opex!AA$7+rent_acre*acres_lease*Opex!AA$8</f>
        <v/>
      </c>
      <c r="AB396" s="25">
        <f>(om_kw*mwac*1000+ins_rate*$C$388+am_cost+prop_tax+misc_cost)*Opex!AB$7+rent_acre*acres_lease*Opex!AB$8</f>
        <v/>
      </c>
      <c r="AC396" s="25">
        <f>(om_kw*mwac*1000+ins_rate*$C$388+am_cost+prop_tax+misc_cost)*Opex!AC$7+rent_acre*acres_lease*Opex!AC$8</f>
        <v/>
      </c>
      <c r="AD396" s="25">
        <f>(om_kw*mwac*1000+ins_rate*$C$388+am_cost+prop_tax+misc_cost)*Opex!AD$7+rent_acre*acres_lease*Opex!AD$8</f>
        <v/>
      </c>
      <c r="AE396" s="25">
        <f>(om_kw*mwac*1000+ins_rate*$C$388+am_cost+prop_tax+misc_cost)*Opex!AE$7+rent_acre*acres_lease*Opex!AE$8</f>
        <v/>
      </c>
      <c r="AF396" s="25">
        <f>(om_kw*mwac*1000+ins_rate*$C$388+am_cost+prop_tax+misc_cost)*Opex!AF$7+rent_acre*acres_lease*Opex!AF$8</f>
        <v/>
      </c>
      <c r="AG396" s="25">
        <f>(om_kw*mwac*1000+ins_rate*$C$388+am_cost+prop_tax+misc_cost)*Opex!AG$7+rent_acre*acres_lease*Opex!AG$8</f>
        <v/>
      </c>
      <c r="AH396" s="25">
        <f>(om_kw*mwac*1000+ins_rate*$C$388+am_cost+prop_tax+misc_cost)*Opex!AH$7+rent_acre*acres_lease*Opex!AH$8</f>
        <v/>
      </c>
      <c r="AI396" s="25">
        <f>(om_kw*mwac*1000+ins_rate*$C$388+am_cost+prop_tax+misc_cost)*Opex!AI$7+rent_acre*acres_lease*Opex!AI$8</f>
        <v/>
      </c>
      <c r="AJ396" s="25">
        <f>(om_kw*mwac*1000+ins_rate*$C$388+am_cost+prop_tax+misc_cost)*Opex!AJ$7+rent_acre*acres_lease*Opex!AJ$8</f>
        <v/>
      </c>
      <c r="AK396" s="25">
        <f>(om_kw*mwac*1000+ins_rate*$C$388+am_cost+prop_tax+misc_cost)*Opex!AK$7+rent_acre*acres_lease*Opex!AK$8</f>
        <v/>
      </c>
      <c r="AL396" s="25">
        <f>(om_kw*mwac*1000+ins_rate*$C$388+am_cost+prop_tax+misc_cost)*Opex!AL$7+rent_acre*acres_lease*Opex!AL$8</f>
        <v/>
      </c>
    </row>
    <row r="397">
      <c r="B397" s="7" t="inlineStr">
        <is>
          <t>Credit cash ($)</t>
        </is>
      </c>
      <c r="D397" s="25">
        <f>IF(sw_credit="PTC",IF(D$5&lt;ptc_years,D391*Credits!D$8*(1+sw_bonus)*transfer_ptc,0),0)+IF(D$5=0,$C$390,0)</f>
        <v/>
      </c>
      <c r="E397" s="25">
        <f>IF(sw_credit="PTC",IF(E$5&lt;ptc_years,E391*Credits!E$8*(1+sw_bonus)*transfer_ptc,0),0)+IF(E$5=0,$C$390,0)</f>
        <v/>
      </c>
      <c r="F397" s="25">
        <f>IF(sw_credit="PTC",IF(F$5&lt;ptc_years,F391*Credits!F$8*(1+sw_bonus)*transfer_ptc,0),0)+IF(F$5=0,$C$390,0)</f>
        <v/>
      </c>
      <c r="G397" s="25">
        <f>IF(sw_credit="PTC",IF(G$5&lt;ptc_years,G391*Credits!G$8*(1+sw_bonus)*transfer_ptc,0),0)+IF(G$5=0,$C$390,0)</f>
        <v/>
      </c>
      <c r="H397" s="25">
        <f>IF(sw_credit="PTC",IF(H$5&lt;ptc_years,H391*Credits!H$8*(1+sw_bonus)*transfer_ptc,0),0)+IF(H$5=0,$C$390,0)</f>
        <v/>
      </c>
      <c r="I397" s="25">
        <f>IF(sw_credit="PTC",IF(I$5&lt;ptc_years,I391*Credits!I$8*(1+sw_bonus)*transfer_ptc,0),0)+IF(I$5=0,$C$390,0)</f>
        <v/>
      </c>
      <c r="J397" s="25">
        <f>IF(sw_credit="PTC",IF(J$5&lt;ptc_years,J391*Credits!J$8*(1+sw_bonus)*transfer_ptc,0),0)+IF(J$5=0,$C$390,0)</f>
        <v/>
      </c>
      <c r="K397" s="25">
        <f>IF(sw_credit="PTC",IF(K$5&lt;ptc_years,K391*Credits!K$8*(1+sw_bonus)*transfer_ptc,0),0)+IF(K$5=0,$C$390,0)</f>
        <v/>
      </c>
      <c r="L397" s="25">
        <f>IF(sw_credit="PTC",IF(L$5&lt;ptc_years,L391*Credits!L$8*(1+sw_bonus)*transfer_ptc,0),0)+IF(L$5=0,$C$390,0)</f>
        <v/>
      </c>
      <c r="M397" s="25">
        <f>IF(sw_credit="PTC",IF(M$5&lt;ptc_years,M391*Credits!M$8*(1+sw_bonus)*transfer_ptc,0),0)+IF(M$5=0,$C$390,0)</f>
        <v/>
      </c>
      <c r="N397" s="25">
        <f>IF(sw_credit="PTC",IF(N$5&lt;ptc_years,N391*Credits!N$8*(1+sw_bonus)*transfer_ptc,0),0)+IF(N$5=0,$C$390,0)</f>
        <v/>
      </c>
      <c r="O397" s="25">
        <f>IF(sw_credit="PTC",IF(O$5&lt;ptc_years,O391*Credits!O$8*(1+sw_bonus)*transfer_ptc,0),0)+IF(O$5=0,$C$390,0)</f>
        <v/>
      </c>
      <c r="P397" s="25">
        <f>IF(sw_credit="PTC",IF(P$5&lt;ptc_years,P391*Credits!P$8*(1+sw_bonus)*transfer_ptc,0),0)+IF(P$5=0,$C$390,0)</f>
        <v/>
      </c>
      <c r="Q397" s="25">
        <f>IF(sw_credit="PTC",IF(Q$5&lt;ptc_years,Q391*Credits!Q$8*(1+sw_bonus)*transfer_ptc,0),0)+IF(Q$5=0,$C$390,0)</f>
        <v/>
      </c>
      <c r="R397" s="25">
        <f>IF(sw_credit="PTC",IF(R$5&lt;ptc_years,R391*Credits!R$8*(1+sw_bonus)*transfer_ptc,0),0)+IF(R$5=0,$C$390,0)</f>
        <v/>
      </c>
      <c r="S397" s="25">
        <f>IF(sw_credit="PTC",IF(S$5&lt;ptc_years,S391*Credits!S$8*(1+sw_bonus)*transfer_ptc,0),0)+IF(S$5=0,$C$390,0)</f>
        <v/>
      </c>
      <c r="T397" s="25">
        <f>IF(sw_credit="PTC",IF(T$5&lt;ptc_years,T391*Credits!T$8*(1+sw_bonus)*transfer_ptc,0),0)+IF(T$5=0,$C$390,0)</f>
        <v/>
      </c>
      <c r="U397" s="25">
        <f>IF(sw_credit="PTC",IF(U$5&lt;ptc_years,U391*Credits!U$8*(1+sw_bonus)*transfer_ptc,0),0)+IF(U$5=0,$C$390,0)</f>
        <v/>
      </c>
      <c r="V397" s="25">
        <f>IF(sw_credit="PTC",IF(V$5&lt;ptc_years,V391*Credits!V$8*(1+sw_bonus)*transfer_ptc,0),0)+IF(V$5=0,$C$390,0)</f>
        <v/>
      </c>
      <c r="W397" s="25">
        <f>IF(sw_credit="PTC",IF(W$5&lt;ptc_years,W391*Credits!W$8*(1+sw_bonus)*transfer_ptc,0),0)+IF(W$5=0,$C$390,0)</f>
        <v/>
      </c>
      <c r="X397" s="25">
        <f>IF(sw_credit="PTC",IF(X$5&lt;ptc_years,X391*Credits!X$8*(1+sw_bonus)*transfer_ptc,0),0)+IF(X$5=0,$C$390,0)</f>
        <v/>
      </c>
      <c r="Y397" s="25">
        <f>IF(sw_credit="PTC",IF(Y$5&lt;ptc_years,Y391*Credits!Y$8*(1+sw_bonus)*transfer_ptc,0),0)+IF(Y$5=0,$C$390,0)</f>
        <v/>
      </c>
      <c r="Z397" s="25">
        <f>IF(sw_credit="PTC",IF(Z$5&lt;ptc_years,Z391*Credits!Z$8*(1+sw_bonus)*transfer_ptc,0),0)+IF(Z$5=0,$C$390,0)</f>
        <v/>
      </c>
      <c r="AA397" s="25">
        <f>IF(sw_credit="PTC",IF(AA$5&lt;ptc_years,AA391*Credits!AA$8*(1+sw_bonus)*transfer_ptc,0),0)+IF(AA$5=0,$C$390,0)</f>
        <v/>
      </c>
      <c r="AB397" s="25">
        <f>IF(sw_credit="PTC",IF(AB$5&lt;ptc_years,AB391*Credits!AB$8*(1+sw_bonus)*transfer_ptc,0),0)+IF(AB$5=0,$C$390,0)</f>
        <v/>
      </c>
      <c r="AC397" s="25">
        <f>IF(sw_credit="PTC",IF(AC$5&lt;ptc_years,AC391*Credits!AC$8*(1+sw_bonus)*transfer_ptc,0),0)+IF(AC$5=0,$C$390,0)</f>
        <v/>
      </c>
      <c r="AD397" s="25">
        <f>IF(sw_credit="PTC",IF(AD$5&lt;ptc_years,AD391*Credits!AD$8*(1+sw_bonus)*transfer_ptc,0),0)+IF(AD$5=0,$C$390,0)</f>
        <v/>
      </c>
      <c r="AE397" s="25">
        <f>IF(sw_credit="PTC",IF(AE$5&lt;ptc_years,AE391*Credits!AE$8*(1+sw_bonus)*transfer_ptc,0),0)+IF(AE$5=0,$C$390,0)</f>
        <v/>
      </c>
      <c r="AF397" s="25">
        <f>IF(sw_credit="PTC",IF(AF$5&lt;ptc_years,AF391*Credits!AF$8*(1+sw_bonus)*transfer_ptc,0),0)+IF(AF$5=0,$C$390,0)</f>
        <v/>
      </c>
      <c r="AG397" s="25">
        <f>IF(sw_credit="PTC",IF(AG$5&lt;ptc_years,AG391*Credits!AG$8*(1+sw_bonus)*transfer_ptc,0),0)+IF(AG$5=0,$C$390,0)</f>
        <v/>
      </c>
      <c r="AH397" s="25">
        <f>IF(sw_credit="PTC",IF(AH$5&lt;ptc_years,AH391*Credits!AH$8*(1+sw_bonus)*transfer_ptc,0),0)+IF(AH$5=0,$C$390,0)</f>
        <v/>
      </c>
      <c r="AI397" s="25">
        <f>IF(sw_credit="PTC",IF(AI$5&lt;ptc_years,AI391*Credits!AI$8*(1+sw_bonus)*transfer_ptc,0),0)+IF(AI$5=0,$C$390,0)</f>
        <v/>
      </c>
      <c r="AJ397" s="25">
        <f>IF(sw_credit="PTC",IF(AJ$5&lt;ptc_years,AJ391*Credits!AJ$8*(1+sw_bonus)*transfer_ptc,0),0)+IF(AJ$5=0,$C$390,0)</f>
        <v/>
      </c>
      <c r="AK397" s="25">
        <f>IF(sw_credit="PTC",IF(AK$5&lt;ptc_years,AK391*Credits!AK$8*(1+sw_bonus)*transfer_ptc,0),0)+IF(AK$5=0,$C$390,0)</f>
        <v/>
      </c>
      <c r="AL397" s="25">
        <f>IF(sw_credit="PTC",IF(AL$5&lt;ptc_years,AL391*Credits!AL$8*(1+sw_bonus)*transfer_ptc,0),0)+IF(AL$5=0,$C$390,0)</f>
        <v/>
      </c>
    </row>
    <row r="398">
      <c r="B398" s="14" t="inlineStr">
        <is>
          <t>EBITDA ($)</t>
        </is>
      </c>
      <c r="D398" s="26">
        <f>D393+D394-D395-D396</f>
        <v/>
      </c>
      <c r="E398" s="26">
        <f>E393+E394-E395-E396</f>
        <v/>
      </c>
      <c r="F398" s="26">
        <f>F393+F394-F395-F396</f>
        <v/>
      </c>
      <c r="G398" s="26">
        <f>G393+G394-G395-G396</f>
        <v/>
      </c>
      <c r="H398" s="26">
        <f>H393+H394-H395-H396</f>
        <v/>
      </c>
      <c r="I398" s="26">
        <f>I393+I394-I395-I396</f>
        <v/>
      </c>
      <c r="J398" s="26">
        <f>J393+J394-J395-J396</f>
        <v/>
      </c>
      <c r="K398" s="26">
        <f>K393+K394-K395-K396</f>
        <v/>
      </c>
      <c r="L398" s="26">
        <f>L393+L394-L395-L396</f>
        <v/>
      </c>
      <c r="M398" s="26">
        <f>M393+M394-M395-M396</f>
        <v/>
      </c>
      <c r="N398" s="26">
        <f>N393+N394-N395-N396</f>
        <v/>
      </c>
      <c r="O398" s="26">
        <f>O393+O394-O395-O396</f>
        <v/>
      </c>
      <c r="P398" s="26">
        <f>P393+P394-P395-P396</f>
        <v/>
      </c>
      <c r="Q398" s="26">
        <f>Q393+Q394-Q395-Q396</f>
        <v/>
      </c>
      <c r="R398" s="26">
        <f>R393+R394-R395-R396</f>
        <v/>
      </c>
      <c r="S398" s="26">
        <f>S393+S394-S395-S396</f>
        <v/>
      </c>
      <c r="T398" s="26">
        <f>T393+T394-T395-T396</f>
        <v/>
      </c>
      <c r="U398" s="26">
        <f>U393+U394-U395-U396</f>
        <v/>
      </c>
      <c r="V398" s="26">
        <f>V393+V394-V395-V396</f>
        <v/>
      </c>
      <c r="W398" s="26">
        <f>W393+W394-W395-W396</f>
        <v/>
      </c>
      <c r="X398" s="26">
        <f>X393+X394-X395-X396</f>
        <v/>
      </c>
      <c r="Y398" s="26">
        <f>Y393+Y394-Y395-Y396</f>
        <v/>
      </c>
      <c r="Z398" s="26">
        <f>Z393+Z394-Z395-Z396</f>
        <v/>
      </c>
      <c r="AA398" s="26">
        <f>AA393+AA394-AA395-AA396</f>
        <v/>
      </c>
      <c r="AB398" s="26">
        <f>AB393+AB394-AB395-AB396</f>
        <v/>
      </c>
      <c r="AC398" s="26">
        <f>AC393+AC394-AC395-AC396</f>
        <v/>
      </c>
      <c r="AD398" s="26">
        <f>AD393+AD394-AD395-AD396</f>
        <v/>
      </c>
      <c r="AE398" s="26">
        <f>AE393+AE394-AE395-AE396</f>
        <v/>
      </c>
      <c r="AF398" s="26">
        <f>AF393+AF394-AF395-AF396</f>
        <v/>
      </c>
      <c r="AG398" s="26">
        <f>AG393+AG394-AG395-AG396</f>
        <v/>
      </c>
      <c r="AH398" s="26">
        <f>AH393+AH394-AH395-AH396</f>
        <v/>
      </c>
      <c r="AI398" s="26">
        <f>AI393+AI394-AI395-AI396</f>
        <v/>
      </c>
      <c r="AJ398" s="26">
        <f>AJ393+AJ394-AJ395-AJ396</f>
        <v/>
      </c>
      <c r="AK398" s="26">
        <f>AK393+AK394-AK395-AK396</f>
        <v/>
      </c>
      <c r="AL398" s="26">
        <f>AL393+AL394-AL395-AL396</f>
        <v/>
      </c>
    </row>
    <row r="399">
      <c r="B399" s="7" t="inlineStr">
        <is>
          <t>Discount factor to 1 January 2027, contracted rate</t>
        </is>
      </c>
      <c r="D399" s="22">
        <f>1/(1+x_rc)^(D$5+2)</f>
        <v/>
      </c>
      <c r="E399" s="22">
        <f>1/(1+x_rc)^(E$5+2)</f>
        <v/>
      </c>
      <c r="F399" s="22">
        <f>1/(1+x_rc)^(F$5+2)</f>
        <v/>
      </c>
      <c r="G399" s="22">
        <f>1/(1+x_rc)^(G$5+2)</f>
        <v/>
      </c>
      <c r="H399" s="22">
        <f>1/(1+x_rc)^(H$5+2)</f>
        <v/>
      </c>
      <c r="I399" s="22">
        <f>1/(1+x_rc)^(I$5+2)</f>
        <v/>
      </c>
      <c r="J399" s="22">
        <f>1/(1+x_rc)^(J$5+2)</f>
        <v/>
      </c>
      <c r="K399" s="22">
        <f>1/(1+x_rc)^(K$5+2)</f>
        <v/>
      </c>
      <c r="L399" s="22">
        <f>1/(1+x_rc)^(L$5+2)</f>
        <v/>
      </c>
      <c r="M399" s="22">
        <f>1/(1+x_rc)^(M$5+2)</f>
        <v/>
      </c>
      <c r="N399" s="22">
        <f>1/(1+x_rc)^(N$5+2)</f>
        <v/>
      </c>
      <c r="O399" s="22">
        <f>1/(1+x_rc)^(O$5+2)</f>
        <v/>
      </c>
      <c r="P399" s="22">
        <f>1/(1+x_rc)^(P$5+2)</f>
        <v/>
      </c>
      <c r="Q399" s="22">
        <f>1/(1+x_rc)^(Q$5+2)</f>
        <v/>
      </c>
      <c r="R399" s="22">
        <f>1/(1+x_rc)^(R$5+2)</f>
        <v/>
      </c>
      <c r="S399" s="22">
        <f>1/(1+x_rc)^(S$5+2)</f>
        <v/>
      </c>
      <c r="T399" s="22">
        <f>1/(1+x_rc)^(T$5+2)</f>
        <v/>
      </c>
      <c r="U399" s="22">
        <f>1/(1+x_rc)^(U$5+2)</f>
        <v/>
      </c>
      <c r="V399" s="22">
        <f>1/(1+x_rc)^(V$5+2)</f>
        <v/>
      </c>
      <c r="W399" s="22">
        <f>1/(1+x_rc)^(W$5+2)</f>
        <v/>
      </c>
      <c r="X399" s="22">
        <f>1/(1+x_rc)^(X$5+2)</f>
        <v/>
      </c>
      <c r="Y399" s="22">
        <f>1/(1+x_rc)^(Y$5+2)</f>
        <v/>
      </c>
      <c r="Z399" s="22">
        <f>1/(1+x_rc)^(Z$5+2)</f>
        <v/>
      </c>
      <c r="AA399" s="22">
        <f>1/(1+x_rc)^(AA$5+2)</f>
        <v/>
      </c>
      <c r="AB399" s="22">
        <f>1/(1+x_rc)^(AB$5+2)</f>
        <v/>
      </c>
      <c r="AC399" s="22">
        <f>1/(1+x_rc)^(AC$5+2)</f>
        <v/>
      </c>
      <c r="AD399" s="22">
        <f>1/(1+x_rc)^(AD$5+2)</f>
        <v/>
      </c>
      <c r="AE399" s="22">
        <f>1/(1+x_rc)^(AE$5+2)</f>
        <v/>
      </c>
      <c r="AF399" s="22">
        <f>1/(1+x_rc)^(AF$5+2)</f>
        <v/>
      </c>
      <c r="AG399" s="22">
        <f>1/(1+x_rc)^(AG$5+2)</f>
        <v/>
      </c>
      <c r="AH399" s="22">
        <f>1/(1+x_rc)^(AH$5+2)</f>
        <v/>
      </c>
      <c r="AI399" s="22">
        <f>1/(1+x_rc)^(AI$5+2)</f>
        <v/>
      </c>
      <c r="AJ399" s="22">
        <f>1/(1+x_rc)^(AJ$5+2)</f>
        <v/>
      </c>
      <c r="AK399" s="22">
        <f>1/(1+x_rc)^(AK$5+2)</f>
        <v/>
      </c>
      <c r="AL399" s="22">
        <f>1/(1+x_rc)^(AL$5+2)</f>
        <v/>
      </c>
    </row>
    <row r="400">
      <c r="B400" s="7" t="inlineStr">
        <is>
          <t>Discount factor to 1 January 2027, merchant rate</t>
        </is>
      </c>
      <c r="D400" s="22">
        <f>1/(1+x_rm)^(D$5+2)</f>
        <v/>
      </c>
      <c r="E400" s="22">
        <f>1/(1+x_rm)^(E$5+2)</f>
        <v/>
      </c>
      <c r="F400" s="22">
        <f>1/(1+x_rm)^(F$5+2)</f>
        <v/>
      </c>
      <c r="G400" s="22">
        <f>1/(1+x_rm)^(G$5+2)</f>
        <v/>
      </c>
      <c r="H400" s="22">
        <f>1/(1+x_rm)^(H$5+2)</f>
        <v/>
      </c>
      <c r="I400" s="22">
        <f>1/(1+x_rm)^(I$5+2)</f>
        <v/>
      </c>
      <c r="J400" s="22">
        <f>1/(1+x_rm)^(J$5+2)</f>
        <v/>
      </c>
      <c r="K400" s="22">
        <f>1/(1+x_rm)^(K$5+2)</f>
        <v/>
      </c>
      <c r="L400" s="22">
        <f>1/(1+x_rm)^(L$5+2)</f>
        <v/>
      </c>
      <c r="M400" s="22">
        <f>1/(1+x_rm)^(M$5+2)</f>
        <v/>
      </c>
      <c r="N400" s="22">
        <f>1/(1+x_rm)^(N$5+2)</f>
        <v/>
      </c>
      <c r="O400" s="22">
        <f>1/(1+x_rm)^(O$5+2)</f>
        <v/>
      </c>
      <c r="P400" s="22">
        <f>1/(1+x_rm)^(P$5+2)</f>
        <v/>
      </c>
      <c r="Q400" s="22">
        <f>1/(1+x_rm)^(Q$5+2)</f>
        <v/>
      </c>
      <c r="R400" s="22">
        <f>1/(1+x_rm)^(R$5+2)</f>
        <v/>
      </c>
      <c r="S400" s="22">
        <f>1/(1+x_rm)^(S$5+2)</f>
        <v/>
      </c>
      <c r="T400" s="22">
        <f>1/(1+x_rm)^(T$5+2)</f>
        <v/>
      </c>
      <c r="U400" s="22">
        <f>1/(1+x_rm)^(U$5+2)</f>
        <v/>
      </c>
      <c r="V400" s="22">
        <f>1/(1+x_rm)^(V$5+2)</f>
        <v/>
      </c>
      <c r="W400" s="22">
        <f>1/(1+x_rm)^(W$5+2)</f>
        <v/>
      </c>
      <c r="X400" s="22">
        <f>1/(1+x_rm)^(X$5+2)</f>
        <v/>
      </c>
      <c r="Y400" s="22">
        <f>1/(1+x_rm)^(Y$5+2)</f>
        <v/>
      </c>
      <c r="Z400" s="22">
        <f>1/(1+x_rm)^(Z$5+2)</f>
        <v/>
      </c>
      <c r="AA400" s="22">
        <f>1/(1+x_rm)^(AA$5+2)</f>
        <v/>
      </c>
      <c r="AB400" s="22">
        <f>1/(1+x_rm)^(AB$5+2)</f>
        <v/>
      </c>
      <c r="AC400" s="22">
        <f>1/(1+x_rm)^(AC$5+2)</f>
        <v/>
      </c>
      <c r="AD400" s="22">
        <f>1/(1+x_rm)^(AD$5+2)</f>
        <v/>
      </c>
      <c r="AE400" s="22">
        <f>1/(1+x_rm)^(AE$5+2)</f>
        <v/>
      </c>
      <c r="AF400" s="22">
        <f>1/(1+x_rm)^(AF$5+2)</f>
        <v/>
      </c>
      <c r="AG400" s="22">
        <f>1/(1+x_rm)^(AG$5+2)</f>
        <v/>
      </c>
      <c r="AH400" s="22">
        <f>1/(1+x_rm)^(AH$5+2)</f>
        <v/>
      </c>
      <c r="AI400" s="22">
        <f>1/(1+x_rm)^(AI$5+2)</f>
        <v/>
      </c>
      <c r="AJ400" s="22">
        <f>1/(1+x_rm)^(AJ$5+2)</f>
        <v/>
      </c>
      <c r="AK400" s="22">
        <f>1/(1+x_rm)^(AK$5+2)</f>
        <v/>
      </c>
      <c r="AL400" s="22">
        <f>1/(1+x_rm)^(AL$5+2)</f>
        <v/>
      </c>
    </row>
    <row r="401">
      <c r="B401" s="7" t="inlineStr">
        <is>
          <t>Value on 1 January 2027 of the flows from 2028 (split rates) ($)</t>
        </is>
      </c>
      <c r="C401" s="25">
        <f>SUMPRODUCT($D$393:$AL$393,$D$399:$AL$399)+SUMPRODUCT($D$397:$AL$397,$D$399:$AL$399)-SUMPRODUCT($D$395:$AL$395,$D$399:$AL$399)-SUMPRODUCT($D$396:$AL$396,$D$399:$AL$399)+SUMPRODUCT($D$394:$AL$394,$D$400:$AL$400)-decom_end/(1+x_rc)^(life_years+1)</f>
        <v/>
      </c>
    </row>
    <row r="402">
      <c r="B402" s="14" t="inlineStr">
        <is>
          <t>Development value on 1 January 2027: value less the capital cost ($)</t>
        </is>
      </c>
      <c r="C402" s="26">
        <f>C401-C388/(1+x_rc)</f>
        <v/>
      </c>
    </row>
    <row r="403">
      <c r="B403" s="7" t="inlineStr">
        <is>
          <t>Highest premium Ashgrove can pay at NTP ($)</t>
        </is>
      </c>
      <c r="C403" s="25">
        <f>C402-reimb+reimb/(1+x_rc)</f>
        <v/>
      </c>
    </row>
    <row r="406">
      <c r="B406" s="6" t="inlineStr">
        <is>
          <t>Fixed tilt instead of trackers, case U</t>
        </is>
      </c>
    </row>
    <row r="407">
      <c r="B407" s="7" t="inlineStr">
        <is>
          <t>Capital cost ($)</t>
        </is>
      </c>
      <c r="C407" s="25">
        <f>((x_module+(x_tracker-fixed_saving)+x_bos)*mwdc*1000000+x_inverter*mwac*1000000+x_sub)*(1+contingency)+x_ic+owner</f>
        <v/>
      </c>
    </row>
    <row r="408">
      <c r="B408" s="7" t="inlineStr">
        <is>
          <t>ITC eligible basis ($)</t>
        </is>
      </c>
      <c r="C408" s="25">
        <f>((x_module+(x_tracker-fixed_saving)+x_bos)*mwdc*1000000+x_inverter*mwac*1000000+x_sub)*(1+contingency)-gentie_share*x_sub</f>
        <v/>
      </c>
    </row>
    <row r="409">
      <c r="B409" s="7" t="inlineStr">
        <is>
          <t>ITC cash at the end of 2028, if elected ($)</t>
        </is>
      </c>
      <c r="C409" s="25">
        <f>IF(sw_credit="ITC",C408*(itc_rate+sw_bonus)*transfer_itc,0)</f>
        <v/>
      </c>
    </row>
    <row r="410">
      <c r="B410" s="7" t="inlineStr">
        <is>
          <t>Energy (MWh)</t>
        </is>
      </c>
      <c r="D410" s="23">
        <f>mwac*hours*cf_p50/(1+fixed_gain)*Energy!D$7*x_scale</f>
        <v/>
      </c>
      <c r="E410" s="23">
        <f>mwac*hours*cf_p50/(1+fixed_gain)*Energy!E$7*x_scale</f>
        <v/>
      </c>
      <c r="F410" s="23">
        <f>mwac*hours*cf_p50/(1+fixed_gain)*Energy!F$7*x_scale</f>
        <v/>
      </c>
      <c r="G410" s="23">
        <f>mwac*hours*cf_p50/(1+fixed_gain)*Energy!G$7*x_scale</f>
        <v/>
      </c>
      <c r="H410" s="23">
        <f>mwac*hours*cf_p50/(1+fixed_gain)*Energy!H$7*x_scale</f>
        <v/>
      </c>
      <c r="I410" s="23">
        <f>mwac*hours*cf_p50/(1+fixed_gain)*Energy!I$7*x_scale</f>
        <v/>
      </c>
      <c r="J410" s="23">
        <f>mwac*hours*cf_p50/(1+fixed_gain)*Energy!J$7*x_scale</f>
        <v/>
      </c>
      <c r="K410" s="23">
        <f>mwac*hours*cf_p50/(1+fixed_gain)*Energy!K$7*x_scale</f>
        <v/>
      </c>
      <c r="L410" s="23">
        <f>mwac*hours*cf_p50/(1+fixed_gain)*Energy!L$7*x_scale</f>
        <v/>
      </c>
      <c r="M410" s="23">
        <f>mwac*hours*cf_p50/(1+fixed_gain)*Energy!M$7*x_scale</f>
        <v/>
      </c>
      <c r="N410" s="23">
        <f>mwac*hours*cf_p50/(1+fixed_gain)*Energy!N$7*x_scale</f>
        <v/>
      </c>
      <c r="O410" s="23">
        <f>mwac*hours*cf_p50/(1+fixed_gain)*Energy!O$7*x_scale</f>
        <v/>
      </c>
      <c r="P410" s="23">
        <f>mwac*hours*cf_p50/(1+fixed_gain)*Energy!P$7*x_scale</f>
        <v/>
      </c>
      <c r="Q410" s="23">
        <f>mwac*hours*cf_p50/(1+fixed_gain)*Energy!Q$7*x_scale</f>
        <v/>
      </c>
      <c r="R410" s="23">
        <f>mwac*hours*cf_p50/(1+fixed_gain)*Energy!R$7*x_scale</f>
        <v/>
      </c>
      <c r="S410" s="23">
        <f>mwac*hours*cf_p50/(1+fixed_gain)*Energy!S$7*x_scale</f>
        <v/>
      </c>
      <c r="T410" s="23">
        <f>mwac*hours*cf_p50/(1+fixed_gain)*Energy!T$7*x_scale</f>
        <v/>
      </c>
      <c r="U410" s="23">
        <f>mwac*hours*cf_p50/(1+fixed_gain)*Energy!U$7*x_scale</f>
        <v/>
      </c>
      <c r="V410" s="23">
        <f>mwac*hours*cf_p50/(1+fixed_gain)*Energy!V$7*x_scale</f>
        <v/>
      </c>
      <c r="W410" s="23">
        <f>mwac*hours*cf_p50/(1+fixed_gain)*Energy!W$7*x_scale</f>
        <v/>
      </c>
      <c r="X410" s="23">
        <f>mwac*hours*cf_p50/(1+fixed_gain)*Energy!X$7*x_scale</f>
        <v/>
      </c>
      <c r="Y410" s="23">
        <f>mwac*hours*cf_p50/(1+fixed_gain)*Energy!Y$7*x_scale</f>
        <v/>
      </c>
      <c r="Z410" s="23">
        <f>mwac*hours*cf_p50/(1+fixed_gain)*Energy!Z$7*x_scale</f>
        <v/>
      </c>
      <c r="AA410" s="23">
        <f>mwac*hours*cf_p50/(1+fixed_gain)*Energy!AA$7*x_scale</f>
        <v/>
      </c>
      <c r="AB410" s="23">
        <f>mwac*hours*cf_p50/(1+fixed_gain)*Energy!AB$7*x_scale</f>
        <v/>
      </c>
      <c r="AC410" s="23">
        <f>mwac*hours*cf_p50/(1+fixed_gain)*Energy!AC$7*x_scale</f>
        <v/>
      </c>
      <c r="AD410" s="23">
        <f>mwac*hours*cf_p50/(1+fixed_gain)*Energy!AD$7*x_scale</f>
        <v/>
      </c>
      <c r="AE410" s="23">
        <f>mwac*hours*cf_p50/(1+fixed_gain)*Energy!AE$7*x_scale</f>
        <v/>
      </c>
      <c r="AF410" s="23">
        <f>mwac*hours*cf_p50/(1+fixed_gain)*Energy!AF$7*x_scale</f>
        <v/>
      </c>
      <c r="AG410" s="23">
        <f>mwac*hours*cf_p50/(1+fixed_gain)*Energy!AG$7*x_scale</f>
        <v/>
      </c>
      <c r="AH410" s="23">
        <f>mwac*hours*cf_p50/(1+fixed_gain)*Energy!AH$7*x_scale</f>
        <v/>
      </c>
      <c r="AI410" s="23">
        <f>mwac*hours*cf_p50/(1+fixed_gain)*Energy!AI$7*x_scale</f>
        <v/>
      </c>
      <c r="AJ410" s="23">
        <f>mwac*hours*cf_p50/(1+fixed_gain)*Energy!AJ$7*x_scale</f>
        <v/>
      </c>
      <c r="AK410" s="23">
        <f>mwac*hours*cf_p50/(1+fixed_gain)*Energy!AK$7*x_scale</f>
        <v/>
      </c>
      <c r="AL410" s="23">
        <f>mwac*hours*cf_p50/(1+fixed_gain)*Energy!AL$7*x_scale</f>
        <v/>
      </c>
    </row>
    <row r="411">
      <c r="B411" s="7" t="inlineStr">
        <is>
          <t>Node price, hub switch applied ($/MWh)</t>
        </is>
      </c>
      <c r="D411" s="32">
        <f>Market!D$7*(1+sw_hub)*Market!D$8+Market!D$10</f>
        <v/>
      </c>
      <c r="E411" s="32">
        <f>Market!E$7*(1+sw_hub)*Market!E$8+Market!E$10</f>
        <v/>
      </c>
      <c r="F411" s="32">
        <f>Market!F$7*(1+sw_hub)*Market!F$8+Market!F$10</f>
        <v/>
      </c>
      <c r="G411" s="32">
        <f>Market!G$7*(1+sw_hub)*Market!G$8+Market!G$10</f>
        <v/>
      </c>
      <c r="H411" s="32">
        <f>Market!H$7*(1+sw_hub)*Market!H$8+Market!H$10</f>
        <v/>
      </c>
      <c r="I411" s="32">
        <f>Market!I$7*(1+sw_hub)*Market!I$8+Market!I$10</f>
        <v/>
      </c>
      <c r="J411" s="32">
        <f>Market!J$7*(1+sw_hub)*Market!J$8+Market!J$10</f>
        <v/>
      </c>
      <c r="K411" s="32">
        <f>Market!K$7*(1+sw_hub)*Market!K$8+Market!K$10</f>
        <v/>
      </c>
      <c r="L411" s="32">
        <f>Market!L$7*(1+sw_hub)*Market!L$8+Market!L$10</f>
        <v/>
      </c>
      <c r="M411" s="32">
        <f>Market!M$7*(1+sw_hub)*Market!M$8+Market!M$10</f>
        <v/>
      </c>
      <c r="N411" s="32">
        <f>Market!N$7*(1+sw_hub)*Market!N$8+Market!N$10</f>
        <v/>
      </c>
      <c r="O411" s="32">
        <f>Market!O$7*(1+sw_hub)*Market!O$8+Market!O$10</f>
        <v/>
      </c>
      <c r="P411" s="32">
        <f>Market!P$7*(1+sw_hub)*Market!P$8+Market!P$10</f>
        <v/>
      </c>
      <c r="Q411" s="32">
        <f>Market!Q$7*(1+sw_hub)*Market!Q$8+Market!Q$10</f>
        <v/>
      </c>
      <c r="R411" s="32">
        <f>Market!R$7*(1+sw_hub)*Market!R$8+Market!R$10</f>
        <v/>
      </c>
      <c r="S411" s="32">
        <f>Market!S$7*(1+sw_hub)*Market!S$8+Market!S$10</f>
        <v/>
      </c>
      <c r="T411" s="32">
        <f>Market!T$7*(1+sw_hub)*Market!T$8+Market!T$10</f>
        <v/>
      </c>
      <c r="U411" s="32">
        <f>Market!U$7*(1+sw_hub)*Market!U$8+Market!U$10</f>
        <v/>
      </c>
      <c r="V411" s="32">
        <f>Market!V$7*(1+sw_hub)*Market!V$8+Market!V$10</f>
        <v/>
      </c>
      <c r="W411" s="32">
        <f>Market!W$7*(1+sw_hub)*Market!W$8+Market!W$10</f>
        <v/>
      </c>
      <c r="X411" s="32">
        <f>Market!X$7*(1+sw_hub)*Market!X$8+Market!X$10</f>
        <v/>
      </c>
      <c r="Y411" s="32">
        <f>Market!Y$7*(1+sw_hub)*Market!Y$8+Market!Y$10</f>
        <v/>
      </c>
      <c r="Z411" s="32">
        <f>Market!Z$7*(1+sw_hub)*Market!Z$8+Market!Z$10</f>
        <v/>
      </c>
      <c r="AA411" s="32">
        <f>Market!AA$7*(1+sw_hub)*Market!AA$8+Market!AA$10</f>
        <v/>
      </c>
      <c r="AB411" s="32">
        <f>Market!AB$7*(1+sw_hub)*Market!AB$8+Market!AB$10</f>
        <v/>
      </c>
      <c r="AC411" s="32">
        <f>Market!AC$7*(1+sw_hub)*Market!AC$8+Market!AC$10</f>
        <v/>
      </c>
      <c r="AD411" s="32">
        <f>Market!AD$7*(1+sw_hub)*Market!AD$8+Market!AD$10</f>
        <v/>
      </c>
      <c r="AE411" s="32">
        <f>Market!AE$7*(1+sw_hub)*Market!AE$8+Market!AE$10</f>
        <v/>
      </c>
      <c r="AF411" s="32">
        <f>Market!AF$7*(1+sw_hub)*Market!AF$8+Market!AF$10</f>
        <v/>
      </c>
      <c r="AG411" s="32">
        <f>Market!AG$7*(1+sw_hub)*Market!AG$8+Market!AG$10</f>
        <v/>
      </c>
      <c r="AH411" s="32">
        <f>Market!AH$7*(1+sw_hub)*Market!AH$8+Market!AH$10</f>
        <v/>
      </c>
      <c r="AI411" s="32">
        <f>Market!AI$7*(1+sw_hub)*Market!AI$8+Market!AI$10</f>
        <v/>
      </c>
      <c r="AJ411" s="32">
        <f>Market!AJ$7*(1+sw_hub)*Market!AJ$8+Market!AJ$10</f>
        <v/>
      </c>
      <c r="AK411" s="32">
        <f>Market!AK$7*(1+sw_hub)*Market!AK$8+Market!AK$10</f>
        <v/>
      </c>
      <c r="AL411" s="32">
        <f>Market!AL$7*(1+sw_hub)*Market!AL$8+Market!AL$10</f>
        <v/>
      </c>
    </row>
    <row r="412">
      <c r="B412" s="7" t="inlineStr">
        <is>
          <t>Contracted revenue ($)</t>
        </is>
      </c>
      <c r="D412" s="25">
        <f>IF(D$5&lt;u_years,D410*u_price*(1+u_esc)^D$5,0)</f>
        <v/>
      </c>
      <c r="E412" s="25">
        <f>IF(E$5&lt;u_years,E410*u_price*(1+u_esc)^E$5,0)</f>
        <v/>
      </c>
      <c r="F412" s="25">
        <f>IF(F$5&lt;u_years,F410*u_price*(1+u_esc)^F$5,0)</f>
        <v/>
      </c>
      <c r="G412" s="25">
        <f>IF(G$5&lt;u_years,G410*u_price*(1+u_esc)^G$5,0)</f>
        <v/>
      </c>
      <c r="H412" s="25">
        <f>IF(H$5&lt;u_years,H410*u_price*(1+u_esc)^H$5,0)</f>
        <v/>
      </c>
      <c r="I412" s="25">
        <f>IF(I$5&lt;u_years,I410*u_price*(1+u_esc)^I$5,0)</f>
        <v/>
      </c>
      <c r="J412" s="25">
        <f>IF(J$5&lt;u_years,J410*u_price*(1+u_esc)^J$5,0)</f>
        <v/>
      </c>
      <c r="K412" s="25">
        <f>IF(K$5&lt;u_years,K410*u_price*(1+u_esc)^K$5,0)</f>
        <v/>
      </c>
      <c r="L412" s="25">
        <f>IF(L$5&lt;u_years,L410*u_price*(1+u_esc)^L$5,0)</f>
        <v/>
      </c>
      <c r="M412" s="25">
        <f>IF(M$5&lt;u_years,M410*u_price*(1+u_esc)^M$5,0)</f>
        <v/>
      </c>
      <c r="N412" s="25">
        <f>IF(N$5&lt;u_years,N410*u_price*(1+u_esc)^N$5,0)</f>
        <v/>
      </c>
      <c r="O412" s="25">
        <f>IF(O$5&lt;u_years,O410*u_price*(1+u_esc)^O$5,0)</f>
        <v/>
      </c>
      <c r="P412" s="25">
        <f>IF(P$5&lt;u_years,P410*u_price*(1+u_esc)^P$5,0)</f>
        <v/>
      </c>
      <c r="Q412" s="25">
        <f>IF(Q$5&lt;u_years,Q410*u_price*(1+u_esc)^Q$5,0)</f>
        <v/>
      </c>
      <c r="R412" s="25">
        <f>IF(R$5&lt;u_years,R410*u_price*(1+u_esc)^R$5,0)</f>
        <v/>
      </c>
      <c r="S412" s="25">
        <f>IF(S$5&lt;u_years,S410*u_price*(1+u_esc)^S$5,0)</f>
        <v/>
      </c>
      <c r="T412" s="25">
        <f>IF(T$5&lt;u_years,T410*u_price*(1+u_esc)^T$5,0)</f>
        <v/>
      </c>
      <c r="U412" s="25">
        <f>IF(U$5&lt;u_years,U410*u_price*(1+u_esc)^U$5,0)</f>
        <v/>
      </c>
      <c r="V412" s="25">
        <f>IF(V$5&lt;u_years,V410*u_price*(1+u_esc)^V$5,0)</f>
        <v/>
      </c>
      <c r="W412" s="25">
        <f>IF(W$5&lt;u_years,W410*u_price*(1+u_esc)^W$5,0)</f>
        <v/>
      </c>
      <c r="X412" s="25">
        <f>IF(X$5&lt;u_years,X410*u_price*(1+u_esc)^X$5,0)</f>
        <v/>
      </c>
      <c r="Y412" s="25">
        <f>IF(Y$5&lt;u_years,Y410*u_price*(1+u_esc)^Y$5,0)</f>
        <v/>
      </c>
      <c r="Z412" s="25">
        <f>IF(Z$5&lt;u_years,Z410*u_price*(1+u_esc)^Z$5,0)</f>
        <v/>
      </c>
      <c r="AA412" s="25">
        <f>IF(AA$5&lt;u_years,AA410*u_price*(1+u_esc)^AA$5,0)</f>
        <v/>
      </c>
      <c r="AB412" s="25">
        <f>IF(AB$5&lt;u_years,AB410*u_price*(1+u_esc)^AB$5,0)</f>
        <v/>
      </c>
      <c r="AC412" s="25">
        <f>IF(AC$5&lt;u_years,AC410*u_price*(1+u_esc)^AC$5,0)</f>
        <v/>
      </c>
      <c r="AD412" s="25">
        <f>IF(AD$5&lt;u_years,AD410*u_price*(1+u_esc)^AD$5,0)</f>
        <v/>
      </c>
      <c r="AE412" s="25">
        <f>IF(AE$5&lt;u_years,AE410*u_price*(1+u_esc)^AE$5,0)</f>
        <v/>
      </c>
      <c r="AF412" s="25">
        <f>IF(AF$5&lt;u_years,AF410*u_price*(1+u_esc)^AF$5,0)</f>
        <v/>
      </c>
      <c r="AG412" s="25">
        <f>IF(AG$5&lt;u_years,AG410*u_price*(1+u_esc)^AG$5,0)</f>
        <v/>
      </c>
      <c r="AH412" s="25">
        <f>IF(AH$5&lt;u_years,AH410*u_price*(1+u_esc)^AH$5,0)</f>
        <v/>
      </c>
      <c r="AI412" s="25">
        <f>IF(AI$5&lt;u_years,AI410*u_price*(1+u_esc)^AI$5,0)</f>
        <v/>
      </c>
      <c r="AJ412" s="25">
        <f>IF(AJ$5&lt;u_years,AJ410*u_price*(1+u_esc)^AJ$5,0)</f>
        <v/>
      </c>
      <c r="AK412" s="25">
        <f>IF(AK$5&lt;u_years,AK410*u_price*(1+u_esc)^AK$5,0)</f>
        <v/>
      </c>
      <c r="AL412" s="25">
        <f>IF(AL$5&lt;u_years,AL410*u_price*(1+u_esc)^AL$5,0)</f>
        <v/>
      </c>
    </row>
    <row r="413">
      <c r="B413" s="7" t="inlineStr">
        <is>
          <t>Merchant revenue ($)</t>
        </is>
      </c>
      <c r="D413" s="25">
        <f>IF(D$5&lt;u_years,0,D410*(D411+rec_price)+Market!D$13)</f>
        <v/>
      </c>
      <c r="E413" s="25">
        <f>IF(E$5&lt;u_years,0,E410*(E411+rec_price)+Market!E$13)</f>
        <v/>
      </c>
      <c r="F413" s="25">
        <f>IF(F$5&lt;u_years,0,F410*(F411+rec_price)+Market!F$13)</f>
        <v/>
      </c>
      <c r="G413" s="25">
        <f>IF(G$5&lt;u_years,0,G410*(G411+rec_price)+Market!G$13)</f>
        <v/>
      </c>
      <c r="H413" s="25">
        <f>IF(H$5&lt;u_years,0,H410*(H411+rec_price)+Market!H$13)</f>
        <v/>
      </c>
      <c r="I413" s="25">
        <f>IF(I$5&lt;u_years,0,I410*(I411+rec_price)+Market!I$13)</f>
        <v/>
      </c>
      <c r="J413" s="25">
        <f>IF(J$5&lt;u_years,0,J410*(J411+rec_price)+Market!J$13)</f>
        <v/>
      </c>
      <c r="K413" s="25">
        <f>IF(K$5&lt;u_years,0,K410*(K411+rec_price)+Market!K$13)</f>
        <v/>
      </c>
      <c r="L413" s="25">
        <f>IF(L$5&lt;u_years,0,L410*(L411+rec_price)+Market!L$13)</f>
        <v/>
      </c>
      <c r="M413" s="25">
        <f>IF(M$5&lt;u_years,0,M410*(M411+rec_price)+Market!M$13)</f>
        <v/>
      </c>
      <c r="N413" s="25">
        <f>IF(N$5&lt;u_years,0,N410*(N411+rec_price)+Market!N$13)</f>
        <v/>
      </c>
      <c r="O413" s="25">
        <f>IF(O$5&lt;u_years,0,O410*(O411+rec_price)+Market!O$13)</f>
        <v/>
      </c>
      <c r="P413" s="25">
        <f>IF(P$5&lt;u_years,0,P410*(P411+rec_price)+Market!P$13)</f>
        <v/>
      </c>
      <c r="Q413" s="25">
        <f>IF(Q$5&lt;u_years,0,Q410*(Q411+rec_price)+Market!Q$13)</f>
        <v/>
      </c>
      <c r="R413" s="25">
        <f>IF(R$5&lt;u_years,0,R410*(R411+rec_price)+Market!R$13)</f>
        <v/>
      </c>
      <c r="S413" s="25">
        <f>IF(S$5&lt;u_years,0,S410*(S411+rec_price)+Market!S$13)</f>
        <v/>
      </c>
      <c r="T413" s="25">
        <f>IF(T$5&lt;u_years,0,T410*(T411+rec_price)+Market!T$13)</f>
        <v/>
      </c>
      <c r="U413" s="25">
        <f>IF(U$5&lt;u_years,0,U410*(U411+rec_price)+Market!U$13)</f>
        <v/>
      </c>
      <c r="V413" s="25">
        <f>IF(V$5&lt;u_years,0,V410*(V411+rec_price)+Market!V$13)</f>
        <v/>
      </c>
      <c r="W413" s="25">
        <f>IF(W$5&lt;u_years,0,W410*(W411+rec_price)+Market!W$13)</f>
        <v/>
      </c>
      <c r="X413" s="25">
        <f>IF(X$5&lt;u_years,0,X410*(X411+rec_price)+Market!X$13)</f>
        <v/>
      </c>
      <c r="Y413" s="25">
        <f>IF(Y$5&lt;u_years,0,Y410*(Y411+rec_price)+Market!Y$13)</f>
        <v/>
      </c>
      <c r="Z413" s="25">
        <f>IF(Z$5&lt;u_years,0,Z410*(Z411+rec_price)+Market!Z$13)</f>
        <v/>
      </c>
      <c r="AA413" s="25">
        <f>IF(AA$5&lt;u_years,0,AA410*(AA411+rec_price)+Market!AA$13)</f>
        <v/>
      </c>
      <c r="AB413" s="25">
        <f>IF(AB$5&lt;u_years,0,AB410*(AB411+rec_price)+Market!AB$13)</f>
        <v/>
      </c>
      <c r="AC413" s="25">
        <f>IF(AC$5&lt;u_years,0,AC410*(AC411+rec_price)+Market!AC$13)</f>
        <v/>
      </c>
      <c r="AD413" s="25">
        <f>IF(AD$5&lt;u_years,0,AD410*(AD411+rec_price)+Market!AD$13)</f>
        <v/>
      </c>
      <c r="AE413" s="25">
        <f>IF(AE$5&lt;u_years,0,AE410*(AE411+rec_price)+Market!AE$13)</f>
        <v/>
      </c>
      <c r="AF413" s="25">
        <f>IF(AF$5&lt;u_years,0,AF410*(AF411+rec_price)+Market!AF$13)</f>
        <v/>
      </c>
      <c r="AG413" s="25">
        <f>IF(AG$5&lt;u_years,0,AG410*(AG411+rec_price)+Market!AG$13)</f>
        <v/>
      </c>
      <c r="AH413" s="25">
        <f>IF(AH$5&lt;u_years,0,AH410*(AH411+rec_price)+Market!AH$13)</f>
        <v/>
      </c>
      <c r="AI413" s="25">
        <f>IF(AI$5&lt;u_years,0,AI410*(AI411+rec_price)+Market!AI$13)</f>
        <v/>
      </c>
      <c r="AJ413" s="25">
        <f>IF(AJ$5&lt;u_years,0,AJ410*(AJ411+rec_price)+Market!AJ$13)</f>
        <v/>
      </c>
      <c r="AK413" s="25">
        <f>IF(AK$5&lt;u_years,0,AK410*(AK411+rec_price)+Market!AK$13)</f>
        <v/>
      </c>
      <c r="AL413" s="25">
        <f>IF(AL$5&lt;u_years,0,AL410*(AL411+rec_price)+Market!AL$13)</f>
        <v/>
      </c>
    </row>
    <row r="414">
      <c r="B414" s="7" t="inlineStr">
        <is>
          <t>Basis cost kept by the project ($)</t>
        </is>
      </c>
      <c r="D414" s="25" t="n">
        <v>0</v>
      </c>
      <c r="E414" s="25" t="n">
        <v>0</v>
      </c>
      <c r="F414" s="25" t="n">
        <v>0</v>
      </c>
      <c r="G414" s="25" t="n">
        <v>0</v>
      </c>
      <c r="H414" s="25" t="n">
        <v>0</v>
      </c>
      <c r="I414" s="25" t="n">
        <v>0</v>
      </c>
      <c r="J414" s="25" t="n">
        <v>0</v>
      </c>
      <c r="K414" s="25" t="n">
        <v>0</v>
      </c>
      <c r="L414" s="25" t="n">
        <v>0</v>
      </c>
      <c r="M414" s="25" t="n">
        <v>0</v>
      </c>
      <c r="N414" s="25" t="n">
        <v>0</v>
      </c>
      <c r="O414" s="25" t="n">
        <v>0</v>
      </c>
      <c r="P414" s="25" t="n">
        <v>0</v>
      </c>
      <c r="Q414" s="25" t="n">
        <v>0</v>
      </c>
      <c r="R414" s="25" t="n">
        <v>0</v>
      </c>
      <c r="S414" s="25" t="n">
        <v>0</v>
      </c>
      <c r="T414" s="25" t="n">
        <v>0</v>
      </c>
      <c r="U414" s="25" t="n">
        <v>0</v>
      </c>
      <c r="V414" s="25" t="n">
        <v>0</v>
      </c>
      <c r="W414" s="25" t="n">
        <v>0</v>
      </c>
      <c r="X414" s="25" t="n">
        <v>0</v>
      </c>
      <c r="Y414" s="25" t="n">
        <v>0</v>
      </c>
      <c r="Z414" s="25" t="n">
        <v>0</v>
      </c>
      <c r="AA414" s="25" t="n">
        <v>0</v>
      </c>
      <c r="AB414" s="25" t="n">
        <v>0</v>
      </c>
      <c r="AC414" s="25" t="n">
        <v>0</v>
      </c>
      <c r="AD414" s="25" t="n">
        <v>0</v>
      </c>
      <c r="AE414" s="25" t="n">
        <v>0</v>
      </c>
      <c r="AF414" s="25" t="n">
        <v>0</v>
      </c>
      <c r="AG414" s="25" t="n">
        <v>0</v>
      </c>
      <c r="AH414" s="25" t="n">
        <v>0</v>
      </c>
      <c r="AI414" s="25" t="n">
        <v>0</v>
      </c>
      <c r="AJ414" s="25" t="n">
        <v>0</v>
      </c>
      <c r="AK414" s="25" t="n">
        <v>0</v>
      </c>
      <c r="AL414" s="25" t="n">
        <v>0</v>
      </c>
    </row>
    <row r="415">
      <c r="B415" s="7" t="inlineStr">
        <is>
          <t>Operating cost ($)</t>
        </is>
      </c>
      <c r="D415" s="25">
        <f>(om_kw*mwac*1000+ins_rate*$C$407+am_cost+prop_tax+misc_cost)*Opex!D$7+rent_acre*acres_lease*Opex!D$8</f>
        <v/>
      </c>
      <c r="E415" s="25">
        <f>(om_kw*mwac*1000+ins_rate*$C$407+am_cost+prop_tax+misc_cost)*Opex!E$7+rent_acre*acres_lease*Opex!E$8</f>
        <v/>
      </c>
      <c r="F415" s="25">
        <f>(om_kw*mwac*1000+ins_rate*$C$407+am_cost+prop_tax+misc_cost)*Opex!F$7+rent_acre*acres_lease*Opex!F$8</f>
        <v/>
      </c>
      <c r="G415" s="25">
        <f>(om_kw*mwac*1000+ins_rate*$C$407+am_cost+prop_tax+misc_cost)*Opex!G$7+rent_acre*acres_lease*Opex!G$8</f>
        <v/>
      </c>
      <c r="H415" s="25">
        <f>(om_kw*mwac*1000+ins_rate*$C$407+am_cost+prop_tax+misc_cost)*Opex!H$7+rent_acre*acres_lease*Opex!H$8</f>
        <v/>
      </c>
      <c r="I415" s="25">
        <f>(om_kw*mwac*1000+ins_rate*$C$407+am_cost+prop_tax+misc_cost)*Opex!I$7+rent_acre*acres_lease*Opex!I$8</f>
        <v/>
      </c>
      <c r="J415" s="25">
        <f>(om_kw*mwac*1000+ins_rate*$C$407+am_cost+prop_tax+misc_cost)*Opex!J$7+rent_acre*acres_lease*Opex!J$8</f>
        <v/>
      </c>
      <c r="K415" s="25">
        <f>(om_kw*mwac*1000+ins_rate*$C$407+am_cost+prop_tax+misc_cost)*Opex!K$7+rent_acre*acres_lease*Opex!K$8</f>
        <v/>
      </c>
      <c r="L415" s="25">
        <f>(om_kw*mwac*1000+ins_rate*$C$407+am_cost+prop_tax+misc_cost)*Opex!L$7+rent_acre*acres_lease*Opex!L$8</f>
        <v/>
      </c>
      <c r="M415" s="25">
        <f>(om_kw*mwac*1000+ins_rate*$C$407+am_cost+prop_tax+misc_cost)*Opex!M$7+rent_acre*acres_lease*Opex!M$8</f>
        <v/>
      </c>
      <c r="N415" s="25">
        <f>(om_kw*mwac*1000+ins_rate*$C$407+am_cost+prop_tax+misc_cost)*Opex!N$7+rent_acre*acres_lease*Opex!N$8</f>
        <v/>
      </c>
      <c r="O415" s="25">
        <f>(om_kw*mwac*1000+ins_rate*$C$407+am_cost+prop_tax+misc_cost)*Opex!O$7+rent_acre*acres_lease*Opex!O$8</f>
        <v/>
      </c>
      <c r="P415" s="25">
        <f>(om_kw*mwac*1000+ins_rate*$C$407+am_cost+prop_tax+misc_cost)*Opex!P$7+rent_acre*acres_lease*Opex!P$8</f>
        <v/>
      </c>
      <c r="Q415" s="25">
        <f>(om_kw*mwac*1000+ins_rate*$C$407+am_cost+prop_tax+misc_cost)*Opex!Q$7+rent_acre*acres_lease*Opex!Q$8</f>
        <v/>
      </c>
      <c r="R415" s="25">
        <f>(om_kw*mwac*1000+ins_rate*$C$407+am_cost+prop_tax+misc_cost)*Opex!R$7+rent_acre*acres_lease*Opex!R$8</f>
        <v/>
      </c>
      <c r="S415" s="25">
        <f>(om_kw*mwac*1000+ins_rate*$C$407+am_cost+prop_tax+misc_cost)*Opex!S$7+rent_acre*acres_lease*Opex!S$8</f>
        <v/>
      </c>
      <c r="T415" s="25">
        <f>(om_kw*mwac*1000+ins_rate*$C$407+am_cost+prop_tax+misc_cost)*Opex!T$7+rent_acre*acres_lease*Opex!T$8</f>
        <v/>
      </c>
      <c r="U415" s="25">
        <f>(om_kw*mwac*1000+ins_rate*$C$407+am_cost+prop_tax+misc_cost)*Opex!U$7+rent_acre*acres_lease*Opex!U$8</f>
        <v/>
      </c>
      <c r="V415" s="25">
        <f>(om_kw*mwac*1000+ins_rate*$C$407+am_cost+prop_tax+misc_cost)*Opex!V$7+rent_acre*acres_lease*Opex!V$8</f>
        <v/>
      </c>
      <c r="W415" s="25">
        <f>(om_kw*mwac*1000+ins_rate*$C$407+am_cost+prop_tax+misc_cost)*Opex!W$7+rent_acre*acres_lease*Opex!W$8</f>
        <v/>
      </c>
      <c r="X415" s="25">
        <f>(om_kw*mwac*1000+ins_rate*$C$407+am_cost+prop_tax+misc_cost)*Opex!X$7+rent_acre*acres_lease*Opex!X$8</f>
        <v/>
      </c>
      <c r="Y415" s="25">
        <f>(om_kw*mwac*1000+ins_rate*$C$407+am_cost+prop_tax+misc_cost)*Opex!Y$7+rent_acre*acres_lease*Opex!Y$8</f>
        <v/>
      </c>
      <c r="Z415" s="25">
        <f>(om_kw*mwac*1000+ins_rate*$C$407+am_cost+prop_tax+misc_cost)*Opex!Z$7+rent_acre*acres_lease*Opex!Z$8</f>
        <v/>
      </c>
      <c r="AA415" s="25">
        <f>(om_kw*mwac*1000+ins_rate*$C$407+am_cost+prop_tax+misc_cost)*Opex!AA$7+rent_acre*acres_lease*Opex!AA$8</f>
        <v/>
      </c>
      <c r="AB415" s="25">
        <f>(om_kw*mwac*1000+ins_rate*$C$407+am_cost+prop_tax+misc_cost)*Opex!AB$7+rent_acre*acres_lease*Opex!AB$8</f>
        <v/>
      </c>
      <c r="AC415" s="25">
        <f>(om_kw*mwac*1000+ins_rate*$C$407+am_cost+prop_tax+misc_cost)*Opex!AC$7+rent_acre*acres_lease*Opex!AC$8</f>
        <v/>
      </c>
      <c r="AD415" s="25">
        <f>(om_kw*mwac*1000+ins_rate*$C$407+am_cost+prop_tax+misc_cost)*Opex!AD$7+rent_acre*acres_lease*Opex!AD$8</f>
        <v/>
      </c>
      <c r="AE415" s="25">
        <f>(om_kw*mwac*1000+ins_rate*$C$407+am_cost+prop_tax+misc_cost)*Opex!AE$7+rent_acre*acres_lease*Opex!AE$8</f>
        <v/>
      </c>
      <c r="AF415" s="25">
        <f>(om_kw*mwac*1000+ins_rate*$C$407+am_cost+prop_tax+misc_cost)*Opex!AF$7+rent_acre*acres_lease*Opex!AF$8</f>
        <v/>
      </c>
      <c r="AG415" s="25">
        <f>(om_kw*mwac*1000+ins_rate*$C$407+am_cost+prop_tax+misc_cost)*Opex!AG$7+rent_acre*acres_lease*Opex!AG$8</f>
        <v/>
      </c>
      <c r="AH415" s="25">
        <f>(om_kw*mwac*1000+ins_rate*$C$407+am_cost+prop_tax+misc_cost)*Opex!AH$7+rent_acre*acres_lease*Opex!AH$8</f>
        <v/>
      </c>
      <c r="AI415" s="25">
        <f>(om_kw*mwac*1000+ins_rate*$C$407+am_cost+prop_tax+misc_cost)*Opex!AI$7+rent_acre*acres_lease*Opex!AI$8</f>
        <v/>
      </c>
      <c r="AJ415" s="25">
        <f>(om_kw*mwac*1000+ins_rate*$C$407+am_cost+prop_tax+misc_cost)*Opex!AJ$7+rent_acre*acres_lease*Opex!AJ$8</f>
        <v/>
      </c>
      <c r="AK415" s="25">
        <f>(om_kw*mwac*1000+ins_rate*$C$407+am_cost+prop_tax+misc_cost)*Opex!AK$7+rent_acre*acres_lease*Opex!AK$8</f>
        <v/>
      </c>
      <c r="AL415" s="25">
        <f>(om_kw*mwac*1000+ins_rate*$C$407+am_cost+prop_tax+misc_cost)*Opex!AL$7+rent_acre*acres_lease*Opex!AL$8</f>
        <v/>
      </c>
    </row>
    <row r="416">
      <c r="B416" s="7" t="inlineStr">
        <is>
          <t>Credit cash ($)</t>
        </is>
      </c>
      <c r="D416" s="25">
        <f>IF(sw_credit="PTC",IF(D$5&lt;ptc_years,D410*Credits!D$8*(1+sw_bonus)*transfer_ptc,0),0)+IF(D$5=0,$C$409,0)</f>
        <v/>
      </c>
      <c r="E416" s="25">
        <f>IF(sw_credit="PTC",IF(E$5&lt;ptc_years,E410*Credits!E$8*(1+sw_bonus)*transfer_ptc,0),0)+IF(E$5=0,$C$409,0)</f>
        <v/>
      </c>
      <c r="F416" s="25">
        <f>IF(sw_credit="PTC",IF(F$5&lt;ptc_years,F410*Credits!F$8*(1+sw_bonus)*transfer_ptc,0),0)+IF(F$5=0,$C$409,0)</f>
        <v/>
      </c>
      <c r="G416" s="25">
        <f>IF(sw_credit="PTC",IF(G$5&lt;ptc_years,G410*Credits!G$8*(1+sw_bonus)*transfer_ptc,0),0)+IF(G$5=0,$C$409,0)</f>
        <v/>
      </c>
      <c r="H416" s="25">
        <f>IF(sw_credit="PTC",IF(H$5&lt;ptc_years,H410*Credits!H$8*(1+sw_bonus)*transfer_ptc,0),0)+IF(H$5=0,$C$409,0)</f>
        <v/>
      </c>
      <c r="I416" s="25">
        <f>IF(sw_credit="PTC",IF(I$5&lt;ptc_years,I410*Credits!I$8*(1+sw_bonus)*transfer_ptc,0),0)+IF(I$5=0,$C$409,0)</f>
        <v/>
      </c>
      <c r="J416" s="25">
        <f>IF(sw_credit="PTC",IF(J$5&lt;ptc_years,J410*Credits!J$8*(1+sw_bonus)*transfer_ptc,0),0)+IF(J$5=0,$C$409,0)</f>
        <v/>
      </c>
      <c r="K416" s="25">
        <f>IF(sw_credit="PTC",IF(K$5&lt;ptc_years,K410*Credits!K$8*(1+sw_bonus)*transfer_ptc,0),0)+IF(K$5=0,$C$409,0)</f>
        <v/>
      </c>
      <c r="L416" s="25">
        <f>IF(sw_credit="PTC",IF(L$5&lt;ptc_years,L410*Credits!L$8*(1+sw_bonus)*transfer_ptc,0),0)+IF(L$5=0,$C$409,0)</f>
        <v/>
      </c>
      <c r="M416" s="25">
        <f>IF(sw_credit="PTC",IF(M$5&lt;ptc_years,M410*Credits!M$8*(1+sw_bonus)*transfer_ptc,0),0)+IF(M$5=0,$C$409,0)</f>
        <v/>
      </c>
      <c r="N416" s="25">
        <f>IF(sw_credit="PTC",IF(N$5&lt;ptc_years,N410*Credits!N$8*(1+sw_bonus)*transfer_ptc,0),0)+IF(N$5=0,$C$409,0)</f>
        <v/>
      </c>
      <c r="O416" s="25">
        <f>IF(sw_credit="PTC",IF(O$5&lt;ptc_years,O410*Credits!O$8*(1+sw_bonus)*transfer_ptc,0),0)+IF(O$5=0,$C$409,0)</f>
        <v/>
      </c>
      <c r="P416" s="25">
        <f>IF(sw_credit="PTC",IF(P$5&lt;ptc_years,P410*Credits!P$8*(1+sw_bonus)*transfer_ptc,0),0)+IF(P$5=0,$C$409,0)</f>
        <v/>
      </c>
      <c r="Q416" s="25">
        <f>IF(sw_credit="PTC",IF(Q$5&lt;ptc_years,Q410*Credits!Q$8*(1+sw_bonus)*transfer_ptc,0),0)+IF(Q$5=0,$C$409,0)</f>
        <v/>
      </c>
      <c r="R416" s="25">
        <f>IF(sw_credit="PTC",IF(R$5&lt;ptc_years,R410*Credits!R$8*(1+sw_bonus)*transfer_ptc,0),0)+IF(R$5=0,$C$409,0)</f>
        <v/>
      </c>
      <c r="S416" s="25">
        <f>IF(sw_credit="PTC",IF(S$5&lt;ptc_years,S410*Credits!S$8*(1+sw_bonus)*transfer_ptc,0),0)+IF(S$5=0,$C$409,0)</f>
        <v/>
      </c>
      <c r="T416" s="25">
        <f>IF(sw_credit="PTC",IF(T$5&lt;ptc_years,T410*Credits!T$8*(1+sw_bonus)*transfer_ptc,0),0)+IF(T$5=0,$C$409,0)</f>
        <v/>
      </c>
      <c r="U416" s="25">
        <f>IF(sw_credit="PTC",IF(U$5&lt;ptc_years,U410*Credits!U$8*(1+sw_bonus)*transfer_ptc,0),0)+IF(U$5=0,$C$409,0)</f>
        <v/>
      </c>
      <c r="V416" s="25">
        <f>IF(sw_credit="PTC",IF(V$5&lt;ptc_years,V410*Credits!V$8*(1+sw_bonus)*transfer_ptc,0),0)+IF(V$5=0,$C$409,0)</f>
        <v/>
      </c>
      <c r="W416" s="25">
        <f>IF(sw_credit="PTC",IF(W$5&lt;ptc_years,W410*Credits!W$8*(1+sw_bonus)*transfer_ptc,0),0)+IF(W$5=0,$C$409,0)</f>
        <v/>
      </c>
      <c r="X416" s="25">
        <f>IF(sw_credit="PTC",IF(X$5&lt;ptc_years,X410*Credits!X$8*(1+sw_bonus)*transfer_ptc,0),0)+IF(X$5=0,$C$409,0)</f>
        <v/>
      </c>
      <c r="Y416" s="25">
        <f>IF(sw_credit="PTC",IF(Y$5&lt;ptc_years,Y410*Credits!Y$8*(1+sw_bonus)*transfer_ptc,0),0)+IF(Y$5=0,$C$409,0)</f>
        <v/>
      </c>
      <c r="Z416" s="25">
        <f>IF(sw_credit="PTC",IF(Z$5&lt;ptc_years,Z410*Credits!Z$8*(1+sw_bonus)*transfer_ptc,0),0)+IF(Z$5=0,$C$409,0)</f>
        <v/>
      </c>
      <c r="AA416" s="25">
        <f>IF(sw_credit="PTC",IF(AA$5&lt;ptc_years,AA410*Credits!AA$8*(1+sw_bonus)*transfer_ptc,0),0)+IF(AA$5=0,$C$409,0)</f>
        <v/>
      </c>
      <c r="AB416" s="25">
        <f>IF(sw_credit="PTC",IF(AB$5&lt;ptc_years,AB410*Credits!AB$8*(1+sw_bonus)*transfer_ptc,0),0)+IF(AB$5=0,$C$409,0)</f>
        <v/>
      </c>
      <c r="AC416" s="25">
        <f>IF(sw_credit="PTC",IF(AC$5&lt;ptc_years,AC410*Credits!AC$8*(1+sw_bonus)*transfer_ptc,0),0)+IF(AC$5=0,$C$409,0)</f>
        <v/>
      </c>
      <c r="AD416" s="25">
        <f>IF(sw_credit="PTC",IF(AD$5&lt;ptc_years,AD410*Credits!AD$8*(1+sw_bonus)*transfer_ptc,0),0)+IF(AD$5=0,$C$409,0)</f>
        <v/>
      </c>
      <c r="AE416" s="25">
        <f>IF(sw_credit="PTC",IF(AE$5&lt;ptc_years,AE410*Credits!AE$8*(1+sw_bonus)*transfer_ptc,0),0)+IF(AE$5=0,$C$409,0)</f>
        <v/>
      </c>
      <c r="AF416" s="25">
        <f>IF(sw_credit="PTC",IF(AF$5&lt;ptc_years,AF410*Credits!AF$8*(1+sw_bonus)*transfer_ptc,0),0)+IF(AF$5=0,$C$409,0)</f>
        <v/>
      </c>
      <c r="AG416" s="25">
        <f>IF(sw_credit="PTC",IF(AG$5&lt;ptc_years,AG410*Credits!AG$8*(1+sw_bonus)*transfer_ptc,0),0)+IF(AG$5=0,$C$409,0)</f>
        <v/>
      </c>
      <c r="AH416" s="25">
        <f>IF(sw_credit="PTC",IF(AH$5&lt;ptc_years,AH410*Credits!AH$8*(1+sw_bonus)*transfer_ptc,0),0)+IF(AH$5=0,$C$409,0)</f>
        <v/>
      </c>
      <c r="AI416" s="25">
        <f>IF(sw_credit="PTC",IF(AI$5&lt;ptc_years,AI410*Credits!AI$8*(1+sw_bonus)*transfer_ptc,0),0)+IF(AI$5=0,$C$409,0)</f>
        <v/>
      </c>
      <c r="AJ416" s="25">
        <f>IF(sw_credit="PTC",IF(AJ$5&lt;ptc_years,AJ410*Credits!AJ$8*(1+sw_bonus)*transfer_ptc,0),0)+IF(AJ$5=0,$C$409,0)</f>
        <v/>
      </c>
      <c r="AK416" s="25">
        <f>IF(sw_credit="PTC",IF(AK$5&lt;ptc_years,AK410*Credits!AK$8*(1+sw_bonus)*transfer_ptc,0),0)+IF(AK$5=0,$C$409,0)</f>
        <v/>
      </c>
      <c r="AL416" s="25">
        <f>IF(sw_credit="PTC",IF(AL$5&lt;ptc_years,AL410*Credits!AL$8*(1+sw_bonus)*transfer_ptc,0),0)+IF(AL$5=0,$C$409,0)</f>
        <v/>
      </c>
    </row>
    <row r="417">
      <c r="B417" s="14" t="inlineStr">
        <is>
          <t>EBITDA ($)</t>
        </is>
      </c>
      <c r="D417" s="26">
        <f>D412+D413-D414-D415</f>
        <v/>
      </c>
      <c r="E417" s="26">
        <f>E412+E413-E414-E415</f>
        <v/>
      </c>
      <c r="F417" s="26">
        <f>F412+F413-F414-F415</f>
        <v/>
      </c>
      <c r="G417" s="26">
        <f>G412+G413-G414-G415</f>
        <v/>
      </c>
      <c r="H417" s="26">
        <f>H412+H413-H414-H415</f>
        <v/>
      </c>
      <c r="I417" s="26">
        <f>I412+I413-I414-I415</f>
        <v/>
      </c>
      <c r="J417" s="26">
        <f>J412+J413-J414-J415</f>
        <v/>
      </c>
      <c r="K417" s="26">
        <f>K412+K413-K414-K415</f>
        <v/>
      </c>
      <c r="L417" s="26">
        <f>L412+L413-L414-L415</f>
        <v/>
      </c>
      <c r="M417" s="26">
        <f>M412+M413-M414-M415</f>
        <v/>
      </c>
      <c r="N417" s="26">
        <f>N412+N413-N414-N415</f>
        <v/>
      </c>
      <c r="O417" s="26">
        <f>O412+O413-O414-O415</f>
        <v/>
      </c>
      <c r="P417" s="26">
        <f>P412+P413-P414-P415</f>
        <v/>
      </c>
      <c r="Q417" s="26">
        <f>Q412+Q413-Q414-Q415</f>
        <v/>
      </c>
      <c r="R417" s="26">
        <f>R412+R413-R414-R415</f>
        <v/>
      </c>
      <c r="S417" s="26">
        <f>S412+S413-S414-S415</f>
        <v/>
      </c>
      <c r="T417" s="26">
        <f>T412+T413-T414-T415</f>
        <v/>
      </c>
      <c r="U417" s="26">
        <f>U412+U413-U414-U415</f>
        <v/>
      </c>
      <c r="V417" s="26">
        <f>V412+V413-V414-V415</f>
        <v/>
      </c>
      <c r="W417" s="26">
        <f>W412+W413-W414-W415</f>
        <v/>
      </c>
      <c r="X417" s="26">
        <f>X412+X413-X414-X415</f>
        <v/>
      </c>
      <c r="Y417" s="26">
        <f>Y412+Y413-Y414-Y415</f>
        <v/>
      </c>
      <c r="Z417" s="26">
        <f>Z412+Z413-Z414-Z415</f>
        <v/>
      </c>
      <c r="AA417" s="26">
        <f>AA412+AA413-AA414-AA415</f>
        <v/>
      </c>
      <c r="AB417" s="26">
        <f>AB412+AB413-AB414-AB415</f>
        <v/>
      </c>
      <c r="AC417" s="26">
        <f>AC412+AC413-AC414-AC415</f>
        <v/>
      </c>
      <c r="AD417" s="26">
        <f>AD412+AD413-AD414-AD415</f>
        <v/>
      </c>
      <c r="AE417" s="26">
        <f>AE412+AE413-AE414-AE415</f>
        <v/>
      </c>
      <c r="AF417" s="26">
        <f>AF412+AF413-AF414-AF415</f>
        <v/>
      </c>
      <c r="AG417" s="26">
        <f>AG412+AG413-AG414-AG415</f>
        <v/>
      </c>
      <c r="AH417" s="26">
        <f>AH412+AH413-AH414-AH415</f>
        <v/>
      </c>
      <c r="AI417" s="26">
        <f>AI412+AI413-AI414-AI415</f>
        <v/>
      </c>
      <c r="AJ417" s="26">
        <f>AJ412+AJ413-AJ414-AJ415</f>
        <v/>
      </c>
      <c r="AK417" s="26">
        <f>AK412+AK413-AK414-AK415</f>
        <v/>
      </c>
      <c r="AL417" s="26">
        <f>AL412+AL413-AL414-AL415</f>
        <v/>
      </c>
    </row>
    <row r="418">
      <c r="B418" s="7" t="inlineStr">
        <is>
          <t>Discount factor to 1 January 2027, contracted rate</t>
        </is>
      </c>
      <c r="D418" s="22">
        <f>1/(1+x_rc)^(D$5+2)</f>
        <v/>
      </c>
      <c r="E418" s="22">
        <f>1/(1+x_rc)^(E$5+2)</f>
        <v/>
      </c>
      <c r="F418" s="22">
        <f>1/(1+x_rc)^(F$5+2)</f>
        <v/>
      </c>
      <c r="G418" s="22">
        <f>1/(1+x_rc)^(G$5+2)</f>
        <v/>
      </c>
      <c r="H418" s="22">
        <f>1/(1+x_rc)^(H$5+2)</f>
        <v/>
      </c>
      <c r="I418" s="22">
        <f>1/(1+x_rc)^(I$5+2)</f>
        <v/>
      </c>
      <c r="J418" s="22">
        <f>1/(1+x_rc)^(J$5+2)</f>
        <v/>
      </c>
      <c r="K418" s="22">
        <f>1/(1+x_rc)^(K$5+2)</f>
        <v/>
      </c>
      <c r="L418" s="22">
        <f>1/(1+x_rc)^(L$5+2)</f>
        <v/>
      </c>
      <c r="M418" s="22">
        <f>1/(1+x_rc)^(M$5+2)</f>
        <v/>
      </c>
      <c r="N418" s="22">
        <f>1/(1+x_rc)^(N$5+2)</f>
        <v/>
      </c>
      <c r="O418" s="22">
        <f>1/(1+x_rc)^(O$5+2)</f>
        <v/>
      </c>
      <c r="P418" s="22">
        <f>1/(1+x_rc)^(P$5+2)</f>
        <v/>
      </c>
      <c r="Q418" s="22">
        <f>1/(1+x_rc)^(Q$5+2)</f>
        <v/>
      </c>
      <c r="R418" s="22">
        <f>1/(1+x_rc)^(R$5+2)</f>
        <v/>
      </c>
      <c r="S418" s="22">
        <f>1/(1+x_rc)^(S$5+2)</f>
        <v/>
      </c>
      <c r="T418" s="22">
        <f>1/(1+x_rc)^(T$5+2)</f>
        <v/>
      </c>
      <c r="U418" s="22">
        <f>1/(1+x_rc)^(U$5+2)</f>
        <v/>
      </c>
      <c r="V418" s="22">
        <f>1/(1+x_rc)^(V$5+2)</f>
        <v/>
      </c>
      <c r="W418" s="22">
        <f>1/(1+x_rc)^(W$5+2)</f>
        <v/>
      </c>
      <c r="X418" s="22">
        <f>1/(1+x_rc)^(X$5+2)</f>
        <v/>
      </c>
      <c r="Y418" s="22">
        <f>1/(1+x_rc)^(Y$5+2)</f>
        <v/>
      </c>
      <c r="Z418" s="22">
        <f>1/(1+x_rc)^(Z$5+2)</f>
        <v/>
      </c>
      <c r="AA418" s="22">
        <f>1/(1+x_rc)^(AA$5+2)</f>
        <v/>
      </c>
      <c r="AB418" s="22">
        <f>1/(1+x_rc)^(AB$5+2)</f>
        <v/>
      </c>
      <c r="AC418" s="22">
        <f>1/(1+x_rc)^(AC$5+2)</f>
        <v/>
      </c>
      <c r="AD418" s="22">
        <f>1/(1+x_rc)^(AD$5+2)</f>
        <v/>
      </c>
      <c r="AE418" s="22">
        <f>1/(1+x_rc)^(AE$5+2)</f>
        <v/>
      </c>
      <c r="AF418" s="22">
        <f>1/(1+x_rc)^(AF$5+2)</f>
        <v/>
      </c>
      <c r="AG418" s="22">
        <f>1/(1+x_rc)^(AG$5+2)</f>
        <v/>
      </c>
      <c r="AH418" s="22">
        <f>1/(1+x_rc)^(AH$5+2)</f>
        <v/>
      </c>
      <c r="AI418" s="22">
        <f>1/(1+x_rc)^(AI$5+2)</f>
        <v/>
      </c>
      <c r="AJ418" s="22">
        <f>1/(1+x_rc)^(AJ$5+2)</f>
        <v/>
      </c>
      <c r="AK418" s="22">
        <f>1/(1+x_rc)^(AK$5+2)</f>
        <v/>
      </c>
      <c r="AL418" s="22">
        <f>1/(1+x_rc)^(AL$5+2)</f>
        <v/>
      </c>
    </row>
    <row r="419">
      <c r="B419" s="7" t="inlineStr">
        <is>
          <t>Discount factor to 1 January 2027, merchant rate</t>
        </is>
      </c>
      <c r="D419" s="22">
        <f>1/(1+x_rm)^(D$5+2)</f>
        <v/>
      </c>
      <c r="E419" s="22">
        <f>1/(1+x_rm)^(E$5+2)</f>
        <v/>
      </c>
      <c r="F419" s="22">
        <f>1/(1+x_rm)^(F$5+2)</f>
        <v/>
      </c>
      <c r="G419" s="22">
        <f>1/(1+x_rm)^(G$5+2)</f>
        <v/>
      </c>
      <c r="H419" s="22">
        <f>1/(1+x_rm)^(H$5+2)</f>
        <v/>
      </c>
      <c r="I419" s="22">
        <f>1/(1+x_rm)^(I$5+2)</f>
        <v/>
      </c>
      <c r="J419" s="22">
        <f>1/(1+x_rm)^(J$5+2)</f>
        <v/>
      </c>
      <c r="K419" s="22">
        <f>1/(1+x_rm)^(K$5+2)</f>
        <v/>
      </c>
      <c r="L419" s="22">
        <f>1/(1+x_rm)^(L$5+2)</f>
        <v/>
      </c>
      <c r="M419" s="22">
        <f>1/(1+x_rm)^(M$5+2)</f>
        <v/>
      </c>
      <c r="N419" s="22">
        <f>1/(1+x_rm)^(N$5+2)</f>
        <v/>
      </c>
      <c r="O419" s="22">
        <f>1/(1+x_rm)^(O$5+2)</f>
        <v/>
      </c>
      <c r="P419" s="22">
        <f>1/(1+x_rm)^(P$5+2)</f>
        <v/>
      </c>
      <c r="Q419" s="22">
        <f>1/(1+x_rm)^(Q$5+2)</f>
        <v/>
      </c>
      <c r="R419" s="22">
        <f>1/(1+x_rm)^(R$5+2)</f>
        <v/>
      </c>
      <c r="S419" s="22">
        <f>1/(1+x_rm)^(S$5+2)</f>
        <v/>
      </c>
      <c r="T419" s="22">
        <f>1/(1+x_rm)^(T$5+2)</f>
        <v/>
      </c>
      <c r="U419" s="22">
        <f>1/(1+x_rm)^(U$5+2)</f>
        <v/>
      </c>
      <c r="V419" s="22">
        <f>1/(1+x_rm)^(V$5+2)</f>
        <v/>
      </c>
      <c r="W419" s="22">
        <f>1/(1+x_rm)^(W$5+2)</f>
        <v/>
      </c>
      <c r="X419" s="22">
        <f>1/(1+x_rm)^(X$5+2)</f>
        <v/>
      </c>
      <c r="Y419" s="22">
        <f>1/(1+x_rm)^(Y$5+2)</f>
        <v/>
      </c>
      <c r="Z419" s="22">
        <f>1/(1+x_rm)^(Z$5+2)</f>
        <v/>
      </c>
      <c r="AA419" s="22">
        <f>1/(1+x_rm)^(AA$5+2)</f>
        <v/>
      </c>
      <c r="AB419" s="22">
        <f>1/(1+x_rm)^(AB$5+2)</f>
        <v/>
      </c>
      <c r="AC419" s="22">
        <f>1/(1+x_rm)^(AC$5+2)</f>
        <v/>
      </c>
      <c r="AD419" s="22">
        <f>1/(1+x_rm)^(AD$5+2)</f>
        <v/>
      </c>
      <c r="AE419" s="22">
        <f>1/(1+x_rm)^(AE$5+2)</f>
        <v/>
      </c>
      <c r="AF419" s="22">
        <f>1/(1+x_rm)^(AF$5+2)</f>
        <v/>
      </c>
      <c r="AG419" s="22">
        <f>1/(1+x_rm)^(AG$5+2)</f>
        <v/>
      </c>
      <c r="AH419" s="22">
        <f>1/(1+x_rm)^(AH$5+2)</f>
        <v/>
      </c>
      <c r="AI419" s="22">
        <f>1/(1+x_rm)^(AI$5+2)</f>
        <v/>
      </c>
      <c r="AJ419" s="22">
        <f>1/(1+x_rm)^(AJ$5+2)</f>
        <v/>
      </c>
      <c r="AK419" s="22">
        <f>1/(1+x_rm)^(AK$5+2)</f>
        <v/>
      </c>
      <c r="AL419" s="22">
        <f>1/(1+x_rm)^(AL$5+2)</f>
        <v/>
      </c>
    </row>
    <row r="420">
      <c r="B420" s="7" t="inlineStr">
        <is>
          <t>Value on 1 January 2027 of the flows from 2028 (split rates) ($)</t>
        </is>
      </c>
      <c r="C420" s="25">
        <f>SUMPRODUCT($D$412:$AL$412,$D$418:$AL$418)+SUMPRODUCT($D$416:$AL$416,$D$418:$AL$418)-SUMPRODUCT($D$414:$AL$414,$D$418:$AL$418)-SUMPRODUCT($D$415:$AL$415,$D$418:$AL$418)+SUMPRODUCT($D$413:$AL$413,$D$419:$AL$419)-decom_end/(1+x_rc)^(life_years+1)</f>
        <v/>
      </c>
    </row>
    <row r="421">
      <c r="B421" s="14" t="inlineStr">
        <is>
          <t>Development value on 1 January 2027: value less the capital cost ($)</t>
        </is>
      </c>
      <c r="C421" s="26">
        <f>C420-C407/(1+x_rc)</f>
        <v/>
      </c>
    </row>
    <row r="422">
      <c r="B422" s="7" t="inlineStr">
        <is>
          <t>Highest premium Ashgrove can pay at NTP ($)</t>
        </is>
      </c>
      <c r="C422" s="25">
        <f>C421-reimb+reimb/(1+x_rc)</f>
        <v/>
      </c>
    </row>
    <row r="425">
      <c r="B425" s="6" t="inlineStr">
        <is>
          <t>Rent +20%, case U</t>
        </is>
      </c>
    </row>
    <row r="426">
      <c r="B426" s="7" t="inlineStr">
        <is>
          <t>Capital cost ($)</t>
        </is>
      </c>
      <c r="C426" s="25">
        <f>((x_module+x_tracker+x_bos)*mwdc*1000000+x_inverter*mwac*1000000+x_sub)*(1+contingency)+x_ic+owner</f>
        <v/>
      </c>
    </row>
    <row r="427">
      <c r="B427" s="7" t="inlineStr">
        <is>
          <t>ITC eligible basis ($)</t>
        </is>
      </c>
      <c r="C427" s="25">
        <f>((x_module+x_tracker+x_bos)*mwdc*1000000+x_inverter*mwac*1000000+x_sub)*(1+contingency)-gentie_share*x_sub</f>
        <v/>
      </c>
    </row>
    <row r="428">
      <c r="B428" s="7" t="inlineStr">
        <is>
          <t>ITC cash at the end of 2028, if elected ($)</t>
        </is>
      </c>
      <c r="C428" s="25">
        <f>IF(sw_credit="ITC",C427*(itc_rate+sw_bonus)*transfer_itc,0)</f>
        <v/>
      </c>
    </row>
    <row r="429">
      <c r="B429" s="7" t="inlineStr">
        <is>
          <t>Energy (MWh)</t>
        </is>
      </c>
      <c r="D429" s="23">
        <f>mwac*hours*cf_p50*Energy!D$7*x_scale</f>
        <v/>
      </c>
      <c r="E429" s="23">
        <f>mwac*hours*cf_p50*Energy!E$7*x_scale</f>
        <v/>
      </c>
      <c r="F429" s="23">
        <f>mwac*hours*cf_p50*Energy!F$7*x_scale</f>
        <v/>
      </c>
      <c r="G429" s="23">
        <f>mwac*hours*cf_p50*Energy!G$7*x_scale</f>
        <v/>
      </c>
      <c r="H429" s="23">
        <f>mwac*hours*cf_p50*Energy!H$7*x_scale</f>
        <v/>
      </c>
      <c r="I429" s="23">
        <f>mwac*hours*cf_p50*Energy!I$7*x_scale</f>
        <v/>
      </c>
      <c r="J429" s="23">
        <f>mwac*hours*cf_p50*Energy!J$7*x_scale</f>
        <v/>
      </c>
      <c r="K429" s="23">
        <f>mwac*hours*cf_p50*Energy!K$7*x_scale</f>
        <v/>
      </c>
      <c r="L429" s="23">
        <f>mwac*hours*cf_p50*Energy!L$7*x_scale</f>
        <v/>
      </c>
      <c r="M429" s="23">
        <f>mwac*hours*cf_p50*Energy!M$7*x_scale</f>
        <v/>
      </c>
      <c r="N429" s="23">
        <f>mwac*hours*cf_p50*Energy!N$7*x_scale</f>
        <v/>
      </c>
      <c r="O429" s="23">
        <f>mwac*hours*cf_p50*Energy!O$7*x_scale</f>
        <v/>
      </c>
      <c r="P429" s="23">
        <f>mwac*hours*cf_p50*Energy!P$7*x_scale</f>
        <v/>
      </c>
      <c r="Q429" s="23">
        <f>mwac*hours*cf_p50*Energy!Q$7*x_scale</f>
        <v/>
      </c>
      <c r="R429" s="23">
        <f>mwac*hours*cf_p50*Energy!R$7*x_scale</f>
        <v/>
      </c>
      <c r="S429" s="23">
        <f>mwac*hours*cf_p50*Energy!S$7*x_scale</f>
        <v/>
      </c>
      <c r="T429" s="23">
        <f>mwac*hours*cf_p50*Energy!T$7*x_scale</f>
        <v/>
      </c>
      <c r="U429" s="23">
        <f>mwac*hours*cf_p50*Energy!U$7*x_scale</f>
        <v/>
      </c>
      <c r="V429" s="23">
        <f>mwac*hours*cf_p50*Energy!V$7*x_scale</f>
        <v/>
      </c>
      <c r="W429" s="23">
        <f>mwac*hours*cf_p50*Energy!W$7*x_scale</f>
        <v/>
      </c>
      <c r="X429" s="23">
        <f>mwac*hours*cf_p50*Energy!X$7*x_scale</f>
        <v/>
      </c>
      <c r="Y429" s="23">
        <f>mwac*hours*cf_p50*Energy!Y$7*x_scale</f>
        <v/>
      </c>
      <c r="Z429" s="23">
        <f>mwac*hours*cf_p50*Energy!Z$7*x_scale</f>
        <v/>
      </c>
      <c r="AA429" s="23">
        <f>mwac*hours*cf_p50*Energy!AA$7*x_scale</f>
        <v/>
      </c>
      <c r="AB429" s="23">
        <f>mwac*hours*cf_p50*Energy!AB$7*x_scale</f>
        <v/>
      </c>
      <c r="AC429" s="23">
        <f>mwac*hours*cf_p50*Energy!AC$7*x_scale</f>
        <v/>
      </c>
      <c r="AD429" s="23">
        <f>mwac*hours*cf_p50*Energy!AD$7*x_scale</f>
        <v/>
      </c>
      <c r="AE429" s="23">
        <f>mwac*hours*cf_p50*Energy!AE$7*x_scale</f>
        <v/>
      </c>
      <c r="AF429" s="23">
        <f>mwac*hours*cf_p50*Energy!AF$7*x_scale</f>
        <v/>
      </c>
      <c r="AG429" s="23">
        <f>mwac*hours*cf_p50*Energy!AG$7*x_scale</f>
        <v/>
      </c>
      <c r="AH429" s="23">
        <f>mwac*hours*cf_p50*Energy!AH$7*x_scale</f>
        <v/>
      </c>
      <c r="AI429" s="23">
        <f>mwac*hours*cf_p50*Energy!AI$7*x_scale</f>
        <v/>
      </c>
      <c r="AJ429" s="23">
        <f>mwac*hours*cf_p50*Energy!AJ$7*x_scale</f>
        <v/>
      </c>
      <c r="AK429" s="23">
        <f>mwac*hours*cf_p50*Energy!AK$7*x_scale</f>
        <v/>
      </c>
      <c r="AL429" s="23">
        <f>mwac*hours*cf_p50*Energy!AL$7*x_scale</f>
        <v/>
      </c>
    </row>
    <row r="430">
      <c r="B430" s="7" t="inlineStr">
        <is>
          <t>Node price, hub switch applied ($/MWh)</t>
        </is>
      </c>
      <c r="D430" s="32">
        <f>Market!D$7*(1+sw_hub)*Market!D$8+Market!D$10</f>
        <v/>
      </c>
      <c r="E430" s="32">
        <f>Market!E$7*(1+sw_hub)*Market!E$8+Market!E$10</f>
        <v/>
      </c>
      <c r="F430" s="32">
        <f>Market!F$7*(1+sw_hub)*Market!F$8+Market!F$10</f>
        <v/>
      </c>
      <c r="G430" s="32">
        <f>Market!G$7*(1+sw_hub)*Market!G$8+Market!G$10</f>
        <v/>
      </c>
      <c r="H430" s="32">
        <f>Market!H$7*(1+sw_hub)*Market!H$8+Market!H$10</f>
        <v/>
      </c>
      <c r="I430" s="32">
        <f>Market!I$7*(1+sw_hub)*Market!I$8+Market!I$10</f>
        <v/>
      </c>
      <c r="J430" s="32">
        <f>Market!J$7*(1+sw_hub)*Market!J$8+Market!J$10</f>
        <v/>
      </c>
      <c r="K430" s="32">
        <f>Market!K$7*(1+sw_hub)*Market!K$8+Market!K$10</f>
        <v/>
      </c>
      <c r="L430" s="32">
        <f>Market!L$7*(1+sw_hub)*Market!L$8+Market!L$10</f>
        <v/>
      </c>
      <c r="M430" s="32">
        <f>Market!M$7*(1+sw_hub)*Market!M$8+Market!M$10</f>
        <v/>
      </c>
      <c r="N430" s="32">
        <f>Market!N$7*(1+sw_hub)*Market!N$8+Market!N$10</f>
        <v/>
      </c>
      <c r="O430" s="32">
        <f>Market!O$7*(1+sw_hub)*Market!O$8+Market!O$10</f>
        <v/>
      </c>
      <c r="P430" s="32">
        <f>Market!P$7*(1+sw_hub)*Market!P$8+Market!P$10</f>
        <v/>
      </c>
      <c r="Q430" s="32">
        <f>Market!Q$7*(1+sw_hub)*Market!Q$8+Market!Q$10</f>
        <v/>
      </c>
      <c r="R430" s="32">
        <f>Market!R$7*(1+sw_hub)*Market!R$8+Market!R$10</f>
        <v/>
      </c>
      <c r="S430" s="32">
        <f>Market!S$7*(1+sw_hub)*Market!S$8+Market!S$10</f>
        <v/>
      </c>
      <c r="T430" s="32">
        <f>Market!T$7*(1+sw_hub)*Market!T$8+Market!T$10</f>
        <v/>
      </c>
      <c r="U430" s="32">
        <f>Market!U$7*(1+sw_hub)*Market!U$8+Market!U$10</f>
        <v/>
      </c>
      <c r="V430" s="32">
        <f>Market!V$7*(1+sw_hub)*Market!V$8+Market!V$10</f>
        <v/>
      </c>
      <c r="W430" s="32">
        <f>Market!W$7*(1+sw_hub)*Market!W$8+Market!W$10</f>
        <v/>
      </c>
      <c r="X430" s="32">
        <f>Market!X$7*(1+sw_hub)*Market!X$8+Market!X$10</f>
        <v/>
      </c>
      <c r="Y430" s="32">
        <f>Market!Y$7*(1+sw_hub)*Market!Y$8+Market!Y$10</f>
        <v/>
      </c>
      <c r="Z430" s="32">
        <f>Market!Z$7*(1+sw_hub)*Market!Z$8+Market!Z$10</f>
        <v/>
      </c>
      <c r="AA430" s="32">
        <f>Market!AA$7*(1+sw_hub)*Market!AA$8+Market!AA$10</f>
        <v/>
      </c>
      <c r="AB430" s="32">
        <f>Market!AB$7*(1+sw_hub)*Market!AB$8+Market!AB$10</f>
        <v/>
      </c>
      <c r="AC430" s="32">
        <f>Market!AC$7*(1+sw_hub)*Market!AC$8+Market!AC$10</f>
        <v/>
      </c>
      <c r="AD430" s="32">
        <f>Market!AD$7*(1+sw_hub)*Market!AD$8+Market!AD$10</f>
        <v/>
      </c>
      <c r="AE430" s="32">
        <f>Market!AE$7*(1+sw_hub)*Market!AE$8+Market!AE$10</f>
        <v/>
      </c>
      <c r="AF430" s="32">
        <f>Market!AF$7*(1+sw_hub)*Market!AF$8+Market!AF$10</f>
        <v/>
      </c>
      <c r="AG430" s="32">
        <f>Market!AG$7*(1+sw_hub)*Market!AG$8+Market!AG$10</f>
        <v/>
      </c>
      <c r="AH430" s="32">
        <f>Market!AH$7*(1+sw_hub)*Market!AH$8+Market!AH$10</f>
        <v/>
      </c>
      <c r="AI430" s="32">
        <f>Market!AI$7*(1+sw_hub)*Market!AI$8+Market!AI$10</f>
        <v/>
      </c>
      <c r="AJ430" s="32">
        <f>Market!AJ$7*(1+sw_hub)*Market!AJ$8+Market!AJ$10</f>
        <v/>
      </c>
      <c r="AK430" s="32">
        <f>Market!AK$7*(1+sw_hub)*Market!AK$8+Market!AK$10</f>
        <v/>
      </c>
      <c r="AL430" s="32">
        <f>Market!AL$7*(1+sw_hub)*Market!AL$8+Market!AL$10</f>
        <v/>
      </c>
    </row>
    <row r="431">
      <c r="B431" s="7" t="inlineStr">
        <is>
          <t>Contracted revenue ($)</t>
        </is>
      </c>
      <c r="D431" s="25">
        <f>IF(D$5&lt;u_years,D429*u_price*(1+u_esc)^D$5,0)</f>
        <v/>
      </c>
      <c r="E431" s="25">
        <f>IF(E$5&lt;u_years,E429*u_price*(1+u_esc)^E$5,0)</f>
        <v/>
      </c>
      <c r="F431" s="25">
        <f>IF(F$5&lt;u_years,F429*u_price*(1+u_esc)^F$5,0)</f>
        <v/>
      </c>
      <c r="G431" s="25">
        <f>IF(G$5&lt;u_years,G429*u_price*(1+u_esc)^G$5,0)</f>
        <v/>
      </c>
      <c r="H431" s="25">
        <f>IF(H$5&lt;u_years,H429*u_price*(1+u_esc)^H$5,0)</f>
        <v/>
      </c>
      <c r="I431" s="25">
        <f>IF(I$5&lt;u_years,I429*u_price*(1+u_esc)^I$5,0)</f>
        <v/>
      </c>
      <c r="J431" s="25">
        <f>IF(J$5&lt;u_years,J429*u_price*(1+u_esc)^J$5,0)</f>
        <v/>
      </c>
      <c r="K431" s="25">
        <f>IF(K$5&lt;u_years,K429*u_price*(1+u_esc)^K$5,0)</f>
        <v/>
      </c>
      <c r="L431" s="25">
        <f>IF(L$5&lt;u_years,L429*u_price*(1+u_esc)^L$5,0)</f>
        <v/>
      </c>
      <c r="M431" s="25">
        <f>IF(M$5&lt;u_years,M429*u_price*(1+u_esc)^M$5,0)</f>
        <v/>
      </c>
      <c r="N431" s="25">
        <f>IF(N$5&lt;u_years,N429*u_price*(1+u_esc)^N$5,0)</f>
        <v/>
      </c>
      <c r="O431" s="25">
        <f>IF(O$5&lt;u_years,O429*u_price*(1+u_esc)^O$5,0)</f>
        <v/>
      </c>
      <c r="P431" s="25">
        <f>IF(P$5&lt;u_years,P429*u_price*(1+u_esc)^P$5,0)</f>
        <v/>
      </c>
      <c r="Q431" s="25">
        <f>IF(Q$5&lt;u_years,Q429*u_price*(1+u_esc)^Q$5,0)</f>
        <v/>
      </c>
      <c r="R431" s="25">
        <f>IF(R$5&lt;u_years,R429*u_price*(1+u_esc)^R$5,0)</f>
        <v/>
      </c>
      <c r="S431" s="25">
        <f>IF(S$5&lt;u_years,S429*u_price*(1+u_esc)^S$5,0)</f>
        <v/>
      </c>
      <c r="T431" s="25">
        <f>IF(T$5&lt;u_years,T429*u_price*(1+u_esc)^T$5,0)</f>
        <v/>
      </c>
      <c r="U431" s="25">
        <f>IF(U$5&lt;u_years,U429*u_price*(1+u_esc)^U$5,0)</f>
        <v/>
      </c>
      <c r="V431" s="25">
        <f>IF(V$5&lt;u_years,V429*u_price*(1+u_esc)^V$5,0)</f>
        <v/>
      </c>
      <c r="W431" s="25">
        <f>IF(W$5&lt;u_years,W429*u_price*(1+u_esc)^W$5,0)</f>
        <v/>
      </c>
      <c r="X431" s="25">
        <f>IF(X$5&lt;u_years,X429*u_price*(1+u_esc)^X$5,0)</f>
        <v/>
      </c>
      <c r="Y431" s="25">
        <f>IF(Y$5&lt;u_years,Y429*u_price*(1+u_esc)^Y$5,0)</f>
        <v/>
      </c>
      <c r="Z431" s="25">
        <f>IF(Z$5&lt;u_years,Z429*u_price*(1+u_esc)^Z$5,0)</f>
        <v/>
      </c>
      <c r="AA431" s="25">
        <f>IF(AA$5&lt;u_years,AA429*u_price*(1+u_esc)^AA$5,0)</f>
        <v/>
      </c>
      <c r="AB431" s="25">
        <f>IF(AB$5&lt;u_years,AB429*u_price*(1+u_esc)^AB$5,0)</f>
        <v/>
      </c>
      <c r="AC431" s="25">
        <f>IF(AC$5&lt;u_years,AC429*u_price*(1+u_esc)^AC$5,0)</f>
        <v/>
      </c>
      <c r="AD431" s="25">
        <f>IF(AD$5&lt;u_years,AD429*u_price*(1+u_esc)^AD$5,0)</f>
        <v/>
      </c>
      <c r="AE431" s="25">
        <f>IF(AE$5&lt;u_years,AE429*u_price*(1+u_esc)^AE$5,0)</f>
        <v/>
      </c>
      <c r="AF431" s="25">
        <f>IF(AF$5&lt;u_years,AF429*u_price*(1+u_esc)^AF$5,0)</f>
        <v/>
      </c>
      <c r="AG431" s="25">
        <f>IF(AG$5&lt;u_years,AG429*u_price*(1+u_esc)^AG$5,0)</f>
        <v/>
      </c>
      <c r="AH431" s="25">
        <f>IF(AH$5&lt;u_years,AH429*u_price*(1+u_esc)^AH$5,0)</f>
        <v/>
      </c>
      <c r="AI431" s="25">
        <f>IF(AI$5&lt;u_years,AI429*u_price*(1+u_esc)^AI$5,0)</f>
        <v/>
      </c>
      <c r="AJ431" s="25">
        <f>IF(AJ$5&lt;u_years,AJ429*u_price*(1+u_esc)^AJ$5,0)</f>
        <v/>
      </c>
      <c r="AK431" s="25">
        <f>IF(AK$5&lt;u_years,AK429*u_price*(1+u_esc)^AK$5,0)</f>
        <v/>
      </c>
      <c r="AL431" s="25">
        <f>IF(AL$5&lt;u_years,AL429*u_price*(1+u_esc)^AL$5,0)</f>
        <v/>
      </c>
    </row>
    <row r="432">
      <c r="B432" s="7" t="inlineStr">
        <is>
          <t>Merchant revenue ($)</t>
        </is>
      </c>
      <c r="D432" s="25">
        <f>IF(D$5&lt;u_years,0,D429*(D430+rec_price)+Market!D$13)</f>
        <v/>
      </c>
      <c r="E432" s="25">
        <f>IF(E$5&lt;u_years,0,E429*(E430+rec_price)+Market!E$13)</f>
        <v/>
      </c>
      <c r="F432" s="25">
        <f>IF(F$5&lt;u_years,0,F429*(F430+rec_price)+Market!F$13)</f>
        <v/>
      </c>
      <c r="G432" s="25">
        <f>IF(G$5&lt;u_years,0,G429*(G430+rec_price)+Market!G$13)</f>
        <v/>
      </c>
      <c r="H432" s="25">
        <f>IF(H$5&lt;u_years,0,H429*(H430+rec_price)+Market!H$13)</f>
        <v/>
      </c>
      <c r="I432" s="25">
        <f>IF(I$5&lt;u_years,0,I429*(I430+rec_price)+Market!I$13)</f>
        <v/>
      </c>
      <c r="J432" s="25">
        <f>IF(J$5&lt;u_years,0,J429*(J430+rec_price)+Market!J$13)</f>
        <v/>
      </c>
      <c r="K432" s="25">
        <f>IF(K$5&lt;u_years,0,K429*(K430+rec_price)+Market!K$13)</f>
        <v/>
      </c>
      <c r="L432" s="25">
        <f>IF(L$5&lt;u_years,0,L429*(L430+rec_price)+Market!L$13)</f>
        <v/>
      </c>
      <c r="M432" s="25">
        <f>IF(M$5&lt;u_years,0,M429*(M430+rec_price)+Market!M$13)</f>
        <v/>
      </c>
      <c r="N432" s="25">
        <f>IF(N$5&lt;u_years,0,N429*(N430+rec_price)+Market!N$13)</f>
        <v/>
      </c>
      <c r="O432" s="25">
        <f>IF(O$5&lt;u_years,0,O429*(O430+rec_price)+Market!O$13)</f>
        <v/>
      </c>
      <c r="P432" s="25">
        <f>IF(P$5&lt;u_years,0,P429*(P430+rec_price)+Market!P$13)</f>
        <v/>
      </c>
      <c r="Q432" s="25">
        <f>IF(Q$5&lt;u_years,0,Q429*(Q430+rec_price)+Market!Q$13)</f>
        <v/>
      </c>
      <c r="R432" s="25">
        <f>IF(R$5&lt;u_years,0,R429*(R430+rec_price)+Market!R$13)</f>
        <v/>
      </c>
      <c r="S432" s="25">
        <f>IF(S$5&lt;u_years,0,S429*(S430+rec_price)+Market!S$13)</f>
        <v/>
      </c>
      <c r="T432" s="25">
        <f>IF(T$5&lt;u_years,0,T429*(T430+rec_price)+Market!T$13)</f>
        <v/>
      </c>
      <c r="U432" s="25">
        <f>IF(U$5&lt;u_years,0,U429*(U430+rec_price)+Market!U$13)</f>
        <v/>
      </c>
      <c r="V432" s="25">
        <f>IF(V$5&lt;u_years,0,V429*(V430+rec_price)+Market!V$13)</f>
        <v/>
      </c>
      <c r="W432" s="25">
        <f>IF(W$5&lt;u_years,0,W429*(W430+rec_price)+Market!W$13)</f>
        <v/>
      </c>
      <c r="X432" s="25">
        <f>IF(X$5&lt;u_years,0,X429*(X430+rec_price)+Market!X$13)</f>
        <v/>
      </c>
      <c r="Y432" s="25">
        <f>IF(Y$5&lt;u_years,0,Y429*(Y430+rec_price)+Market!Y$13)</f>
        <v/>
      </c>
      <c r="Z432" s="25">
        <f>IF(Z$5&lt;u_years,0,Z429*(Z430+rec_price)+Market!Z$13)</f>
        <v/>
      </c>
      <c r="AA432" s="25">
        <f>IF(AA$5&lt;u_years,0,AA429*(AA430+rec_price)+Market!AA$13)</f>
        <v/>
      </c>
      <c r="AB432" s="25">
        <f>IF(AB$5&lt;u_years,0,AB429*(AB430+rec_price)+Market!AB$13)</f>
        <v/>
      </c>
      <c r="AC432" s="25">
        <f>IF(AC$5&lt;u_years,0,AC429*(AC430+rec_price)+Market!AC$13)</f>
        <v/>
      </c>
      <c r="AD432" s="25">
        <f>IF(AD$5&lt;u_years,0,AD429*(AD430+rec_price)+Market!AD$13)</f>
        <v/>
      </c>
      <c r="AE432" s="25">
        <f>IF(AE$5&lt;u_years,0,AE429*(AE430+rec_price)+Market!AE$13)</f>
        <v/>
      </c>
      <c r="AF432" s="25">
        <f>IF(AF$5&lt;u_years,0,AF429*(AF430+rec_price)+Market!AF$13)</f>
        <v/>
      </c>
      <c r="AG432" s="25">
        <f>IF(AG$5&lt;u_years,0,AG429*(AG430+rec_price)+Market!AG$13)</f>
        <v/>
      </c>
      <c r="AH432" s="25">
        <f>IF(AH$5&lt;u_years,0,AH429*(AH430+rec_price)+Market!AH$13)</f>
        <v/>
      </c>
      <c r="AI432" s="25">
        <f>IF(AI$5&lt;u_years,0,AI429*(AI430+rec_price)+Market!AI$13)</f>
        <v/>
      </c>
      <c r="AJ432" s="25">
        <f>IF(AJ$5&lt;u_years,0,AJ429*(AJ430+rec_price)+Market!AJ$13)</f>
        <v/>
      </c>
      <c r="AK432" s="25">
        <f>IF(AK$5&lt;u_years,0,AK429*(AK430+rec_price)+Market!AK$13)</f>
        <v/>
      </c>
      <c r="AL432" s="25">
        <f>IF(AL$5&lt;u_years,0,AL429*(AL430+rec_price)+Market!AL$13)</f>
        <v/>
      </c>
    </row>
    <row r="433">
      <c r="B433" s="7" t="inlineStr">
        <is>
          <t>Basis cost kept by the project ($)</t>
        </is>
      </c>
      <c r="D433" s="25" t="n">
        <v>0</v>
      </c>
      <c r="E433" s="25" t="n">
        <v>0</v>
      </c>
      <c r="F433" s="25" t="n">
        <v>0</v>
      </c>
      <c r="G433" s="25" t="n">
        <v>0</v>
      </c>
      <c r="H433" s="25" t="n">
        <v>0</v>
      </c>
      <c r="I433" s="25" t="n">
        <v>0</v>
      </c>
      <c r="J433" s="25" t="n">
        <v>0</v>
      </c>
      <c r="K433" s="25" t="n">
        <v>0</v>
      </c>
      <c r="L433" s="25" t="n">
        <v>0</v>
      </c>
      <c r="M433" s="25" t="n">
        <v>0</v>
      </c>
      <c r="N433" s="25" t="n">
        <v>0</v>
      </c>
      <c r="O433" s="25" t="n">
        <v>0</v>
      </c>
      <c r="P433" s="25" t="n">
        <v>0</v>
      </c>
      <c r="Q433" s="25" t="n">
        <v>0</v>
      </c>
      <c r="R433" s="25" t="n">
        <v>0</v>
      </c>
      <c r="S433" s="25" t="n">
        <v>0</v>
      </c>
      <c r="T433" s="25" t="n">
        <v>0</v>
      </c>
      <c r="U433" s="25" t="n">
        <v>0</v>
      </c>
      <c r="V433" s="25" t="n">
        <v>0</v>
      </c>
      <c r="W433" s="25" t="n">
        <v>0</v>
      </c>
      <c r="X433" s="25" t="n">
        <v>0</v>
      </c>
      <c r="Y433" s="25" t="n">
        <v>0</v>
      </c>
      <c r="Z433" s="25" t="n">
        <v>0</v>
      </c>
      <c r="AA433" s="25" t="n">
        <v>0</v>
      </c>
      <c r="AB433" s="25" t="n">
        <v>0</v>
      </c>
      <c r="AC433" s="25" t="n">
        <v>0</v>
      </c>
      <c r="AD433" s="25" t="n">
        <v>0</v>
      </c>
      <c r="AE433" s="25" t="n">
        <v>0</v>
      </c>
      <c r="AF433" s="25" t="n">
        <v>0</v>
      </c>
      <c r="AG433" s="25" t="n">
        <v>0</v>
      </c>
      <c r="AH433" s="25" t="n">
        <v>0</v>
      </c>
      <c r="AI433" s="25" t="n">
        <v>0</v>
      </c>
      <c r="AJ433" s="25" t="n">
        <v>0</v>
      </c>
      <c r="AK433" s="25" t="n">
        <v>0</v>
      </c>
      <c r="AL433" s="25" t="n">
        <v>0</v>
      </c>
    </row>
    <row r="434">
      <c r="B434" s="7" t="inlineStr">
        <is>
          <t>Operating cost ($)</t>
        </is>
      </c>
      <c r="D434" s="25">
        <f>(om_kw*mwac*1000+ins_rate*$C$426+am_cost+prop_tax+misc_cost)*Opex!D$7+rent_acre*(1+sens_rent)*acres_lease*Opex!D$8</f>
        <v/>
      </c>
      <c r="E434" s="25">
        <f>(om_kw*mwac*1000+ins_rate*$C$426+am_cost+prop_tax+misc_cost)*Opex!E$7+rent_acre*(1+sens_rent)*acres_lease*Opex!E$8</f>
        <v/>
      </c>
      <c r="F434" s="25">
        <f>(om_kw*mwac*1000+ins_rate*$C$426+am_cost+prop_tax+misc_cost)*Opex!F$7+rent_acre*(1+sens_rent)*acres_lease*Opex!F$8</f>
        <v/>
      </c>
      <c r="G434" s="25">
        <f>(om_kw*mwac*1000+ins_rate*$C$426+am_cost+prop_tax+misc_cost)*Opex!G$7+rent_acre*(1+sens_rent)*acres_lease*Opex!G$8</f>
        <v/>
      </c>
      <c r="H434" s="25">
        <f>(om_kw*mwac*1000+ins_rate*$C$426+am_cost+prop_tax+misc_cost)*Opex!H$7+rent_acre*(1+sens_rent)*acres_lease*Opex!H$8</f>
        <v/>
      </c>
      <c r="I434" s="25">
        <f>(om_kw*mwac*1000+ins_rate*$C$426+am_cost+prop_tax+misc_cost)*Opex!I$7+rent_acre*(1+sens_rent)*acres_lease*Opex!I$8</f>
        <v/>
      </c>
      <c r="J434" s="25">
        <f>(om_kw*mwac*1000+ins_rate*$C$426+am_cost+prop_tax+misc_cost)*Opex!J$7+rent_acre*(1+sens_rent)*acres_lease*Opex!J$8</f>
        <v/>
      </c>
      <c r="K434" s="25">
        <f>(om_kw*mwac*1000+ins_rate*$C$426+am_cost+prop_tax+misc_cost)*Opex!K$7+rent_acre*(1+sens_rent)*acres_lease*Opex!K$8</f>
        <v/>
      </c>
      <c r="L434" s="25">
        <f>(om_kw*mwac*1000+ins_rate*$C$426+am_cost+prop_tax+misc_cost)*Opex!L$7+rent_acre*(1+sens_rent)*acres_lease*Opex!L$8</f>
        <v/>
      </c>
      <c r="M434" s="25">
        <f>(om_kw*mwac*1000+ins_rate*$C$426+am_cost+prop_tax+misc_cost)*Opex!M$7+rent_acre*(1+sens_rent)*acres_lease*Opex!M$8</f>
        <v/>
      </c>
      <c r="N434" s="25">
        <f>(om_kw*mwac*1000+ins_rate*$C$426+am_cost+prop_tax+misc_cost)*Opex!N$7+rent_acre*(1+sens_rent)*acres_lease*Opex!N$8</f>
        <v/>
      </c>
      <c r="O434" s="25">
        <f>(om_kw*mwac*1000+ins_rate*$C$426+am_cost+prop_tax+misc_cost)*Opex!O$7+rent_acre*(1+sens_rent)*acres_lease*Opex!O$8</f>
        <v/>
      </c>
      <c r="P434" s="25">
        <f>(om_kw*mwac*1000+ins_rate*$C$426+am_cost+prop_tax+misc_cost)*Opex!P$7+rent_acre*(1+sens_rent)*acres_lease*Opex!P$8</f>
        <v/>
      </c>
      <c r="Q434" s="25">
        <f>(om_kw*mwac*1000+ins_rate*$C$426+am_cost+prop_tax+misc_cost)*Opex!Q$7+rent_acre*(1+sens_rent)*acres_lease*Opex!Q$8</f>
        <v/>
      </c>
      <c r="R434" s="25">
        <f>(om_kw*mwac*1000+ins_rate*$C$426+am_cost+prop_tax+misc_cost)*Opex!R$7+rent_acre*(1+sens_rent)*acres_lease*Opex!R$8</f>
        <v/>
      </c>
      <c r="S434" s="25">
        <f>(om_kw*mwac*1000+ins_rate*$C$426+am_cost+prop_tax+misc_cost)*Opex!S$7+rent_acre*(1+sens_rent)*acres_lease*Opex!S$8</f>
        <v/>
      </c>
      <c r="T434" s="25">
        <f>(om_kw*mwac*1000+ins_rate*$C$426+am_cost+prop_tax+misc_cost)*Opex!T$7+rent_acre*(1+sens_rent)*acres_lease*Opex!T$8</f>
        <v/>
      </c>
      <c r="U434" s="25">
        <f>(om_kw*mwac*1000+ins_rate*$C$426+am_cost+prop_tax+misc_cost)*Opex!U$7+rent_acre*(1+sens_rent)*acres_lease*Opex!U$8</f>
        <v/>
      </c>
      <c r="V434" s="25">
        <f>(om_kw*mwac*1000+ins_rate*$C$426+am_cost+prop_tax+misc_cost)*Opex!V$7+rent_acre*(1+sens_rent)*acres_lease*Opex!V$8</f>
        <v/>
      </c>
      <c r="W434" s="25">
        <f>(om_kw*mwac*1000+ins_rate*$C$426+am_cost+prop_tax+misc_cost)*Opex!W$7+rent_acre*(1+sens_rent)*acres_lease*Opex!W$8</f>
        <v/>
      </c>
      <c r="X434" s="25">
        <f>(om_kw*mwac*1000+ins_rate*$C$426+am_cost+prop_tax+misc_cost)*Opex!X$7+rent_acre*(1+sens_rent)*acres_lease*Opex!X$8</f>
        <v/>
      </c>
      <c r="Y434" s="25">
        <f>(om_kw*mwac*1000+ins_rate*$C$426+am_cost+prop_tax+misc_cost)*Opex!Y$7+rent_acre*(1+sens_rent)*acres_lease*Opex!Y$8</f>
        <v/>
      </c>
      <c r="Z434" s="25">
        <f>(om_kw*mwac*1000+ins_rate*$C$426+am_cost+prop_tax+misc_cost)*Opex!Z$7+rent_acre*(1+sens_rent)*acres_lease*Opex!Z$8</f>
        <v/>
      </c>
      <c r="AA434" s="25">
        <f>(om_kw*mwac*1000+ins_rate*$C$426+am_cost+prop_tax+misc_cost)*Opex!AA$7+rent_acre*(1+sens_rent)*acres_lease*Opex!AA$8</f>
        <v/>
      </c>
      <c r="AB434" s="25">
        <f>(om_kw*mwac*1000+ins_rate*$C$426+am_cost+prop_tax+misc_cost)*Opex!AB$7+rent_acre*(1+sens_rent)*acres_lease*Opex!AB$8</f>
        <v/>
      </c>
      <c r="AC434" s="25">
        <f>(om_kw*mwac*1000+ins_rate*$C$426+am_cost+prop_tax+misc_cost)*Opex!AC$7+rent_acre*(1+sens_rent)*acres_lease*Opex!AC$8</f>
        <v/>
      </c>
      <c r="AD434" s="25">
        <f>(om_kw*mwac*1000+ins_rate*$C$426+am_cost+prop_tax+misc_cost)*Opex!AD$7+rent_acre*(1+sens_rent)*acres_lease*Opex!AD$8</f>
        <v/>
      </c>
      <c r="AE434" s="25">
        <f>(om_kw*mwac*1000+ins_rate*$C$426+am_cost+prop_tax+misc_cost)*Opex!AE$7+rent_acre*(1+sens_rent)*acres_lease*Opex!AE$8</f>
        <v/>
      </c>
      <c r="AF434" s="25">
        <f>(om_kw*mwac*1000+ins_rate*$C$426+am_cost+prop_tax+misc_cost)*Opex!AF$7+rent_acre*(1+sens_rent)*acres_lease*Opex!AF$8</f>
        <v/>
      </c>
      <c r="AG434" s="25">
        <f>(om_kw*mwac*1000+ins_rate*$C$426+am_cost+prop_tax+misc_cost)*Opex!AG$7+rent_acre*(1+sens_rent)*acres_lease*Opex!AG$8</f>
        <v/>
      </c>
      <c r="AH434" s="25">
        <f>(om_kw*mwac*1000+ins_rate*$C$426+am_cost+prop_tax+misc_cost)*Opex!AH$7+rent_acre*(1+sens_rent)*acres_lease*Opex!AH$8</f>
        <v/>
      </c>
      <c r="AI434" s="25">
        <f>(om_kw*mwac*1000+ins_rate*$C$426+am_cost+prop_tax+misc_cost)*Opex!AI$7+rent_acre*(1+sens_rent)*acres_lease*Opex!AI$8</f>
        <v/>
      </c>
      <c r="AJ434" s="25">
        <f>(om_kw*mwac*1000+ins_rate*$C$426+am_cost+prop_tax+misc_cost)*Opex!AJ$7+rent_acre*(1+sens_rent)*acres_lease*Opex!AJ$8</f>
        <v/>
      </c>
      <c r="AK434" s="25">
        <f>(om_kw*mwac*1000+ins_rate*$C$426+am_cost+prop_tax+misc_cost)*Opex!AK$7+rent_acre*(1+sens_rent)*acres_lease*Opex!AK$8</f>
        <v/>
      </c>
      <c r="AL434" s="25">
        <f>(om_kw*mwac*1000+ins_rate*$C$426+am_cost+prop_tax+misc_cost)*Opex!AL$7+rent_acre*(1+sens_rent)*acres_lease*Opex!AL$8</f>
        <v/>
      </c>
    </row>
    <row r="435">
      <c r="B435" s="7" t="inlineStr">
        <is>
          <t>Credit cash ($)</t>
        </is>
      </c>
      <c r="D435" s="25">
        <f>IF(sw_credit="PTC",IF(D$5&lt;ptc_years,D429*Credits!D$8*(1+sw_bonus)*transfer_ptc,0),0)+IF(D$5=0,$C$428,0)</f>
        <v/>
      </c>
      <c r="E435" s="25">
        <f>IF(sw_credit="PTC",IF(E$5&lt;ptc_years,E429*Credits!E$8*(1+sw_bonus)*transfer_ptc,0),0)+IF(E$5=0,$C$428,0)</f>
        <v/>
      </c>
      <c r="F435" s="25">
        <f>IF(sw_credit="PTC",IF(F$5&lt;ptc_years,F429*Credits!F$8*(1+sw_bonus)*transfer_ptc,0),0)+IF(F$5=0,$C$428,0)</f>
        <v/>
      </c>
      <c r="G435" s="25">
        <f>IF(sw_credit="PTC",IF(G$5&lt;ptc_years,G429*Credits!G$8*(1+sw_bonus)*transfer_ptc,0),0)+IF(G$5=0,$C$428,0)</f>
        <v/>
      </c>
      <c r="H435" s="25">
        <f>IF(sw_credit="PTC",IF(H$5&lt;ptc_years,H429*Credits!H$8*(1+sw_bonus)*transfer_ptc,0),0)+IF(H$5=0,$C$428,0)</f>
        <v/>
      </c>
      <c r="I435" s="25">
        <f>IF(sw_credit="PTC",IF(I$5&lt;ptc_years,I429*Credits!I$8*(1+sw_bonus)*transfer_ptc,0),0)+IF(I$5=0,$C$428,0)</f>
        <v/>
      </c>
      <c r="J435" s="25">
        <f>IF(sw_credit="PTC",IF(J$5&lt;ptc_years,J429*Credits!J$8*(1+sw_bonus)*transfer_ptc,0),0)+IF(J$5=0,$C$428,0)</f>
        <v/>
      </c>
      <c r="K435" s="25">
        <f>IF(sw_credit="PTC",IF(K$5&lt;ptc_years,K429*Credits!K$8*(1+sw_bonus)*transfer_ptc,0),0)+IF(K$5=0,$C$428,0)</f>
        <v/>
      </c>
      <c r="L435" s="25">
        <f>IF(sw_credit="PTC",IF(L$5&lt;ptc_years,L429*Credits!L$8*(1+sw_bonus)*transfer_ptc,0),0)+IF(L$5=0,$C$428,0)</f>
        <v/>
      </c>
      <c r="M435" s="25">
        <f>IF(sw_credit="PTC",IF(M$5&lt;ptc_years,M429*Credits!M$8*(1+sw_bonus)*transfer_ptc,0),0)+IF(M$5=0,$C$428,0)</f>
        <v/>
      </c>
      <c r="N435" s="25">
        <f>IF(sw_credit="PTC",IF(N$5&lt;ptc_years,N429*Credits!N$8*(1+sw_bonus)*transfer_ptc,0),0)+IF(N$5=0,$C$428,0)</f>
        <v/>
      </c>
      <c r="O435" s="25">
        <f>IF(sw_credit="PTC",IF(O$5&lt;ptc_years,O429*Credits!O$8*(1+sw_bonus)*transfer_ptc,0),0)+IF(O$5=0,$C$428,0)</f>
        <v/>
      </c>
      <c r="P435" s="25">
        <f>IF(sw_credit="PTC",IF(P$5&lt;ptc_years,P429*Credits!P$8*(1+sw_bonus)*transfer_ptc,0),0)+IF(P$5=0,$C$428,0)</f>
        <v/>
      </c>
      <c r="Q435" s="25">
        <f>IF(sw_credit="PTC",IF(Q$5&lt;ptc_years,Q429*Credits!Q$8*(1+sw_bonus)*transfer_ptc,0),0)+IF(Q$5=0,$C$428,0)</f>
        <v/>
      </c>
      <c r="R435" s="25">
        <f>IF(sw_credit="PTC",IF(R$5&lt;ptc_years,R429*Credits!R$8*(1+sw_bonus)*transfer_ptc,0),0)+IF(R$5=0,$C$428,0)</f>
        <v/>
      </c>
      <c r="S435" s="25">
        <f>IF(sw_credit="PTC",IF(S$5&lt;ptc_years,S429*Credits!S$8*(1+sw_bonus)*transfer_ptc,0),0)+IF(S$5=0,$C$428,0)</f>
        <v/>
      </c>
      <c r="T435" s="25">
        <f>IF(sw_credit="PTC",IF(T$5&lt;ptc_years,T429*Credits!T$8*(1+sw_bonus)*transfer_ptc,0),0)+IF(T$5=0,$C$428,0)</f>
        <v/>
      </c>
      <c r="U435" s="25">
        <f>IF(sw_credit="PTC",IF(U$5&lt;ptc_years,U429*Credits!U$8*(1+sw_bonus)*transfer_ptc,0),0)+IF(U$5=0,$C$428,0)</f>
        <v/>
      </c>
      <c r="V435" s="25">
        <f>IF(sw_credit="PTC",IF(V$5&lt;ptc_years,V429*Credits!V$8*(1+sw_bonus)*transfer_ptc,0),0)+IF(V$5=0,$C$428,0)</f>
        <v/>
      </c>
      <c r="W435" s="25">
        <f>IF(sw_credit="PTC",IF(W$5&lt;ptc_years,W429*Credits!W$8*(1+sw_bonus)*transfer_ptc,0),0)+IF(W$5=0,$C$428,0)</f>
        <v/>
      </c>
      <c r="X435" s="25">
        <f>IF(sw_credit="PTC",IF(X$5&lt;ptc_years,X429*Credits!X$8*(1+sw_bonus)*transfer_ptc,0),0)+IF(X$5=0,$C$428,0)</f>
        <v/>
      </c>
      <c r="Y435" s="25">
        <f>IF(sw_credit="PTC",IF(Y$5&lt;ptc_years,Y429*Credits!Y$8*(1+sw_bonus)*transfer_ptc,0),0)+IF(Y$5=0,$C$428,0)</f>
        <v/>
      </c>
      <c r="Z435" s="25">
        <f>IF(sw_credit="PTC",IF(Z$5&lt;ptc_years,Z429*Credits!Z$8*(1+sw_bonus)*transfer_ptc,0),0)+IF(Z$5=0,$C$428,0)</f>
        <v/>
      </c>
      <c r="AA435" s="25">
        <f>IF(sw_credit="PTC",IF(AA$5&lt;ptc_years,AA429*Credits!AA$8*(1+sw_bonus)*transfer_ptc,0),0)+IF(AA$5=0,$C$428,0)</f>
        <v/>
      </c>
      <c r="AB435" s="25">
        <f>IF(sw_credit="PTC",IF(AB$5&lt;ptc_years,AB429*Credits!AB$8*(1+sw_bonus)*transfer_ptc,0),0)+IF(AB$5=0,$C$428,0)</f>
        <v/>
      </c>
      <c r="AC435" s="25">
        <f>IF(sw_credit="PTC",IF(AC$5&lt;ptc_years,AC429*Credits!AC$8*(1+sw_bonus)*transfer_ptc,0),0)+IF(AC$5=0,$C$428,0)</f>
        <v/>
      </c>
      <c r="AD435" s="25">
        <f>IF(sw_credit="PTC",IF(AD$5&lt;ptc_years,AD429*Credits!AD$8*(1+sw_bonus)*transfer_ptc,0),0)+IF(AD$5=0,$C$428,0)</f>
        <v/>
      </c>
      <c r="AE435" s="25">
        <f>IF(sw_credit="PTC",IF(AE$5&lt;ptc_years,AE429*Credits!AE$8*(1+sw_bonus)*transfer_ptc,0),0)+IF(AE$5=0,$C$428,0)</f>
        <v/>
      </c>
      <c r="AF435" s="25">
        <f>IF(sw_credit="PTC",IF(AF$5&lt;ptc_years,AF429*Credits!AF$8*(1+sw_bonus)*transfer_ptc,0),0)+IF(AF$5=0,$C$428,0)</f>
        <v/>
      </c>
      <c r="AG435" s="25">
        <f>IF(sw_credit="PTC",IF(AG$5&lt;ptc_years,AG429*Credits!AG$8*(1+sw_bonus)*transfer_ptc,0),0)+IF(AG$5=0,$C$428,0)</f>
        <v/>
      </c>
      <c r="AH435" s="25">
        <f>IF(sw_credit="PTC",IF(AH$5&lt;ptc_years,AH429*Credits!AH$8*(1+sw_bonus)*transfer_ptc,0),0)+IF(AH$5=0,$C$428,0)</f>
        <v/>
      </c>
      <c r="AI435" s="25">
        <f>IF(sw_credit="PTC",IF(AI$5&lt;ptc_years,AI429*Credits!AI$8*(1+sw_bonus)*transfer_ptc,0),0)+IF(AI$5=0,$C$428,0)</f>
        <v/>
      </c>
      <c r="AJ435" s="25">
        <f>IF(sw_credit="PTC",IF(AJ$5&lt;ptc_years,AJ429*Credits!AJ$8*(1+sw_bonus)*transfer_ptc,0),0)+IF(AJ$5=0,$C$428,0)</f>
        <v/>
      </c>
      <c r="AK435" s="25">
        <f>IF(sw_credit="PTC",IF(AK$5&lt;ptc_years,AK429*Credits!AK$8*(1+sw_bonus)*transfer_ptc,0),0)+IF(AK$5=0,$C$428,0)</f>
        <v/>
      </c>
      <c r="AL435" s="25">
        <f>IF(sw_credit="PTC",IF(AL$5&lt;ptc_years,AL429*Credits!AL$8*(1+sw_bonus)*transfer_ptc,0),0)+IF(AL$5=0,$C$428,0)</f>
        <v/>
      </c>
    </row>
    <row r="436">
      <c r="B436" s="14" t="inlineStr">
        <is>
          <t>EBITDA ($)</t>
        </is>
      </c>
      <c r="D436" s="26">
        <f>D431+D432-D433-D434</f>
        <v/>
      </c>
      <c r="E436" s="26">
        <f>E431+E432-E433-E434</f>
        <v/>
      </c>
      <c r="F436" s="26">
        <f>F431+F432-F433-F434</f>
        <v/>
      </c>
      <c r="G436" s="26">
        <f>G431+G432-G433-G434</f>
        <v/>
      </c>
      <c r="H436" s="26">
        <f>H431+H432-H433-H434</f>
        <v/>
      </c>
      <c r="I436" s="26">
        <f>I431+I432-I433-I434</f>
        <v/>
      </c>
      <c r="J436" s="26">
        <f>J431+J432-J433-J434</f>
        <v/>
      </c>
      <c r="K436" s="26">
        <f>K431+K432-K433-K434</f>
        <v/>
      </c>
      <c r="L436" s="26">
        <f>L431+L432-L433-L434</f>
        <v/>
      </c>
      <c r="M436" s="26">
        <f>M431+M432-M433-M434</f>
        <v/>
      </c>
      <c r="N436" s="26">
        <f>N431+N432-N433-N434</f>
        <v/>
      </c>
      <c r="O436" s="26">
        <f>O431+O432-O433-O434</f>
        <v/>
      </c>
      <c r="P436" s="26">
        <f>P431+P432-P433-P434</f>
        <v/>
      </c>
      <c r="Q436" s="26">
        <f>Q431+Q432-Q433-Q434</f>
        <v/>
      </c>
      <c r="R436" s="26">
        <f>R431+R432-R433-R434</f>
        <v/>
      </c>
      <c r="S436" s="26">
        <f>S431+S432-S433-S434</f>
        <v/>
      </c>
      <c r="T436" s="26">
        <f>T431+T432-T433-T434</f>
        <v/>
      </c>
      <c r="U436" s="26">
        <f>U431+U432-U433-U434</f>
        <v/>
      </c>
      <c r="V436" s="26">
        <f>V431+V432-V433-V434</f>
        <v/>
      </c>
      <c r="W436" s="26">
        <f>W431+W432-W433-W434</f>
        <v/>
      </c>
      <c r="X436" s="26">
        <f>X431+X432-X433-X434</f>
        <v/>
      </c>
      <c r="Y436" s="26">
        <f>Y431+Y432-Y433-Y434</f>
        <v/>
      </c>
      <c r="Z436" s="26">
        <f>Z431+Z432-Z433-Z434</f>
        <v/>
      </c>
      <c r="AA436" s="26">
        <f>AA431+AA432-AA433-AA434</f>
        <v/>
      </c>
      <c r="AB436" s="26">
        <f>AB431+AB432-AB433-AB434</f>
        <v/>
      </c>
      <c r="AC436" s="26">
        <f>AC431+AC432-AC433-AC434</f>
        <v/>
      </c>
      <c r="AD436" s="26">
        <f>AD431+AD432-AD433-AD434</f>
        <v/>
      </c>
      <c r="AE436" s="26">
        <f>AE431+AE432-AE433-AE434</f>
        <v/>
      </c>
      <c r="AF436" s="26">
        <f>AF431+AF432-AF433-AF434</f>
        <v/>
      </c>
      <c r="AG436" s="26">
        <f>AG431+AG432-AG433-AG434</f>
        <v/>
      </c>
      <c r="AH436" s="26">
        <f>AH431+AH432-AH433-AH434</f>
        <v/>
      </c>
      <c r="AI436" s="26">
        <f>AI431+AI432-AI433-AI434</f>
        <v/>
      </c>
      <c r="AJ436" s="26">
        <f>AJ431+AJ432-AJ433-AJ434</f>
        <v/>
      </c>
      <c r="AK436" s="26">
        <f>AK431+AK432-AK433-AK434</f>
        <v/>
      </c>
      <c r="AL436" s="26">
        <f>AL431+AL432-AL433-AL434</f>
        <v/>
      </c>
    </row>
    <row r="437">
      <c r="B437" s="7" t="inlineStr">
        <is>
          <t>Discount factor to 1 January 2027, contracted rate</t>
        </is>
      </c>
      <c r="D437" s="22">
        <f>1/(1+x_rc)^(D$5+2)</f>
        <v/>
      </c>
      <c r="E437" s="22">
        <f>1/(1+x_rc)^(E$5+2)</f>
        <v/>
      </c>
      <c r="F437" s="22">
        <f>1/(1+x_rc)^(F$5+2)</f>
        <v/>
      </c>
      <c r="G437" s="22">
        <f>1/(1+x_rc)^(G$5+2)</f>
        <v/>
      </c>
      <c r="H437" s="22">
        <f>1/(1+x_rc)^(H$5+2)</f>
        <v/>
      </c>
      <c r="I437" s="22">
        <f>1/(1+x_rc)^(I$5+2)</f>
        <v/>
      </c>
      <c r="J437" s="22">
        <f>1/(1+x_rc)^(J$5+2)</f>
        <v/>
      </c>
      <c r="K437" s="22">
        <f>1/(1+x_rc)^(K$5+2)</f>
        <v/>
      </c>
      <c r="L437" s="22">
        <f>1/(1+x_rc)^(L$5+2)</f>
        <v/>
      </c>
      <c r="M437" s="22">
        <f>1/(1+x_rc)^(M$5+2)</f>
        <v/>
      </c>
      <c r="N437" s="22">
        <f>1/(1+x_rc)^(N$5+2)</f>
        <v/>
      </c>
      <c r="O437" s="22">
        <f>1/(1+x_rc)^(O$5+2)</f>
        <v/>
      </c>
      <c r="P437" s="22">
        <f>1/(1+x_rc)^(P$5+2)</f>
        <v/>
      </c>
      <c r="Q437" s="22">
        <f>1/(1+x_rc)^(Q$5+2)</f>
        <v/>
      </c>
      <c r="R437" s="22">
        <f>1/(1+x_rc)^(R$5+2)</f>
        <v/>
      </c>
      <c r="S437" s="22">
        <f>1/(1+x_rc)^(S$5+2)</f>
        <v/>
      </c>
      <c r="T437" s="22">
        <f>1/(1+x_rc)^(T$5+2)</f>
        <v/>
      </c>
      <c r="U437" s="22">
        <f>1/(1+x_rc)^(U$5+2)</f>
        <v/>
      </c>
      <c r="V437" s="22">
        <f>1/(1+x_rc)^(V$5+2)</f>
        <v/>
      </c>
      <c r="W437" s="22">
        <f>1/(1+x_rc)^(W$5+2)</f>
        <v/>
      </c>
      <c r="X437" s="22">
        <f>1/(1+x_rc)^(X$5+2)</f>
        <v/>
      </c>
      <c r="Y437" s="22">
        <f>1/(1+x_rc)^(Y$5+2)</f>
        <v/>
      </c>
      <c r="Z437" s="22">
        <f>1/(1+x_rc)^(Z$5+2)</f>
        <v/>
      </c>
      <c r="AA437" s="22">
        <f>1/(1+x_rc)^(AA$5+2)</f>
        <v/>
      </c>
      <c r="AB437" s="22">
        <f>1/(1+x_rc)^(AB$5+2)</f>
        <v/>
      </c>
      <c r="AC437" s="22">
        <f>1/(1+x_rc)^(AC$5+2)</f>
        <v/>
      </c>
      <c r="AD437" s="22">
        <f>1/(1+x_rc)^(AD$5+2)</f>
        <v/>
      </c>
      <c r="AE437" s="22">
        <f>1/(1+x_rc)^(AE$5+2)</f>
        <v/>
      </c>
      <c r="AF437" s="22">
        <f>1/(1+x_rc)^(AF$5+2)</f>
        <v/>
      </c>
      <c r="AG437" s="22">
        <f>1/(1+x_rc)^(AG$5+2)</f>
        <v/>
      </c>
      <c r="AH437" s="22">
        <f>1/(1+x_rc)^(AH$5+2)</f>
        <v/>
      </c>
      <c r="AI437" s="22">
        <f>1/(1+x_rc)^(AI$5+2)</f>
        <v/>
      </c>
      <c r="AJ437" s="22">
        <f>1/(1+x_rc)^(AJ$5+2)</f>
        <v/>
      </c>
      <c r="AK437" s="22">
        <f>1/(1+x_rc)^(AK$5+2)</f>
        <v/>
      </c>
      <c r="AL437" s="22">
        <f>1/(1+x_rc)^(AL$5+2)</f>
        <v/>
      </c>
    </row>
    <row r="438">
      <c r="B438" s="7" t="inlineStr">
        <is>
          <t>Discount factor to 1 January 2027, merchant rate</t>
        </is>
      </c>
      <c r="D438" s="22">
        <f>1/(1+x_rm)^(D$5+2)</f>
        <v/>
      </c>
      <c r="E438" s="22">
        <f>1/(1+x_rm)^(E$5+2)</f>
        <v/>
      </c>
      <c r="F438" s="22">
        <f>1/(1+x_rm)^(F$5+2)</f>
        <v/>
      </c>
      <c r="G438" s="22">
        <f>1/(1+x_rm)^(G$5+2)</f>
        <v/>
      </c>
      <c r="H438" s="22">
        <f>1/(1+x_rm)^(H$5+2)</f>
        <v/>
      </c>
      <c r="I438" s="22">
        <f>1/(1+x_rm)^(I$5+2)</f>
        <v/>
      </c>
      <c r="J438" s="22">
        <f>1/(1+x_rm)^(J$5+2)</f>
        <v/>
      </c>
      <c r="K438" s="22">
        <f>1/(1+x_rm)^(K$5+2)</f>
        <v/>
      </c>
      <c r="L438" s="22">
        <f>1/(1+x_rm)^(L$5+2)</f>
        <v/>
      </c>
      <c r="M438" s="22">
        <f>1/(1+x_rm)^(M$5+2)</f>
        <v/>
      </c>
      <c r="N438" s="22">
        <f>1/(1+x_rm)^(N$5+2)</f>
        <v/>
      </c>
      <c r="O438" s="22">
        <f>1/(1+x_rm)^(O$5+2)</f>
        <v/>
      </c>
      <c r="P438" s="22">
        <f>1/(1+x_rm)^(P$5+2)</f>
        <v/>
      </c>
      <c r="Q438" s="22">
        <f>1/(1+x_rm)^(Q$5+2)</f>
        <v/>
      </c>
      <c r="R438" s="22">
        <f>1/(1+x_rm)^(R$5+2)</f>
        <v/>
      </c>
      <c r="S438" s="22">
        <f>1/(1+x_rm)^(S$5+2)</f>
        <v/>
      </c>
      <c r="T438" s="22">
        <f>1/(1+x_rm)^(T$5+2)</f>
        <v/>
      </c>
      <c r="U438" s="22">
        <f>1/(1+x_rm)^(U$5+2)</f>
        <v/>
      </c>
      <c r="V438" s="22">
        <f>1/(1+x_rm)^(V$5+2)</f>
        <v/>
      </c>
      <c r="W438" s="22">
        <f>1/(1+x_rm)^(W$5+2)</f>
        <v/>
      </c>
      <c r="X438" s="22">
        <f>1/(1+x_rm)^(X$5+2)</f>
        <v/>
      </c>
      <c r="Y438" s="22">
        <f>1/(1+x_rm)^(Y$5+2)</f>
        <v/>
      </c>
      <c r="Z438" s="22">
        <f>1/(1+x_rm)^(Z$5+2)</f>
        <v/>
      </c>
      <c r="AA438" s="22">
        <f>1/(1+x_rm)^(AA$5+2)</f>
        <v/>
      </c>
      <c r="AB438" s="22">
        <f>1/(1+x_rm)^(AB$5+2)</f>
        <v/>
      </c>
      <c r="AC438" s="22">
        <f>1/(1+x_rm)^(AC$5+2)</f>
        <v/>
      </c>
      <c r="AD438" s="22">
        <f>1/(1+x_rm)^(AD$5+2)</f>
        <v/>
      </c>
      <c r="AE438" s="22">
        <f>1/(1+x_rm)^(AE$5+2)</f>
        <v/>
      </c>
      <c r="AF438" s="22">
        <f>1/(1+x_rm)^(AF$5+2)</f>
        <v/>
      </c>
      <c r="AG438" s="22">
        <f>1/(1+x_rm)^(AG$5+2)</f>
        <v/>
      </c>
      <c r="AH438" s="22">
        <f>1/(1+x_rm)^(AH$5+2)</f>
        <v/>
      </c>
      <c r="AI438" s="22">
        <f>1/(1+x_rm)^(AI$5+2)</f>
        <v/>
      </c>
      <c r="AJ438" s="22">
        <f>1/(1+x_rm)^(AJ$5+2)</f>
        <v/>
      </c>
      <c r="AK438" s="22">
        <f>1/(1+x_rm)^(AK$5+2)</f>
        <v/>
      </c>
      <c r="AL438" s="22">
        <f>1/(1+x_rm)^(AL$5+2)</f>
        <v/>
      </c>
    </row>
    <row r="439">
      <c r="B439" s="7" t="inlineStr">
        <is>
          <t>Value on 1 January 2027 of the flows from 2028 (split rates) ($)</t>
        </is>
      </c>
      <c r="C439" s="25">
        <f>SUMPRODUCT($D$431:$AL$431,$D$437:$AL$437)+SUMPRODUCT($D$435:$AL$435,$D$437:$AL$437)-SUMPRODUCT($D$433:$AL$433,$D$437:$AL$437)-SUMPRODUCT($D$434:$AL$434,$D$437:$AL$437)+SUMPRODUCT($D$432:$AL$432,$D$438:$AL$438)-decom_end/(1+x_rc)^(life_years+1)</f>
        <v/>
      </c>
    </row>
    <row r="440">
      <c r="B440" s="14" t="inlineStr">
        <is>
          <t>Development value on 1 January 2027: value less the capital cost ($)</t>
        </is>
      </c>
      <c r="C440" s="26">
        <f>C439-C426/(1+x_rc)</f>
        <v/>
      </c>
    </row>
    <row r="441">
      <c r="B441" s="7" t="inlineStr">
        <is>
          <t>Highest premium Ashgrove can pay at NTP ($)</t>
        </is>
      </c>
      <c r="C441" s="25">
        <f>C440-reimb+reimb/(1+x_rc)</f>
        <v/>
      </c>
    </row>
    <row r="444">
      <c r="B444" s="6" t="inlineStr">
        <is>
          <t>P75 ten-year energy, case U</t>
        </is>
      </c>
    </row>
    <row r="445">
      <c r="B445" s="7" t="inlineStr">
        <is>
          <t>Capital cost ($)</t>
        </is>
      </c>
      <c r="C445" s="25">
        <f>((x_module+x_tracker+x_bos)*mwdc*1000000+x_inverter*mwac*1000000+x_sub)*(1+contingency)+x_ic+owner</f>
        <v/>
      </c>
    </row>
    <row r="446">
      <c r="B446" s="7" t="inlineStr">
        <is>
          <t>ITC eligible basis ($)</t>
        </is>
      </c>
      <c r="C446" s="25">
        <f>((x_module+x_tracker+x_bos)*mwdc*1000000+x_inverter*mwac*1000000+x_sub)*(1+contingency)-gentie_share*x_sub</f>
        <v/>
      </c>
    </row>
    <row r="447">
      <c r="B447" s="7" t="inlineStr">
        <is>
          <t>ITC cash at the end of 2028, if elected ($)</t>
        </is>
      </c>
      <c r="C447" s="25">
        <f>IF(sw_credit="ITC",C446*(itc_rate+sw_bonus)*transfer_itc,0)</f>
        <v/>
      </c>
    </row>
    <row r="448">
      <c r="B448" s="7" t="inlineStr">
        <is>
          <t>Energy (MWh)</t>
        </is>
      </c>
      <c r="D448" s="23">
        <f>mwac*hours*cf_p50*Energy!D$7*p75_10</f>
        <v/>
      </c>
      <c r="E448" s="23">
        <f>mwac*hours*cf_p50*Energy!E$7*p75_10</f>
        <v/>
      </c>
      <c r="F448" s="23">
        <f>mwac*hours*cf_p50*Energy!F$7*p75_10</f>
        <v/>
      </c>
      <c r="G448" s="23">
        <f>mwac*hours*cf_p50*Energy!G$7*p75_10</f>
        <v/>
      </c>
      <c r="H448" s="23">
        <f>mwac*hours*cf_p50*Energy!H$7*p75_10</f>
        <v/>
      </c>
      <c r="I448" s="23">
        <f>mwac*hours*cf_p50*Energy!I$7*p75_10</f>
        <v/>
      </c>
      <c r="J448" s="23">
        <f>mwac*hours*cf_p50*Energy!J$7*p75_10</f>
        <v/>
      </c>
      <c r="K448" s="23">
        <f>mwac*hours*cf_p50*Energy!K$7*p75_10</f>
        <v/>
      </c>
      <c r="L448" s="23">
        <f>mwac*hours*cf_p50*Energy!L$7*p75_10</f>
        <v/>
      </c>
      <c r="M448" s="23">
        <f>mwac*hours*cf_p50*Energy!M$7*p75_10</f>
        <v/>
      </c>
      <c r="N448" s="23">
        <f>mwac*hours*cf_p50*Energy!N$7*p75_10</f>
        <v/>
      </c>
      <c r="O448" s="23">
        <f>mwac*hours*cf_p50*Energy!O$7*p75_10</f>
        <v/>
      </c>
      <c r="P448" s="23">
        <f>mwac*hours*cf_p50*Energy!P$7*p75_10</f>
        <v/>
      </c>
      <c r="Q448" s="23">
        <f>mwac*hours*cf_p50*Energy!Q$7*p75_10</f>
        <v/>
      </c>
      <c r="R448" s="23">
        <f>mwac*hours*cf_p50*Energy!R$7*p75_10</f>
        <v/>
      </c>
      <c r="S448" s="23">
        <f>mwac*hours*cf_p50*Energy!S$7*p75_10</f>
        <v/>
      </c>
      <c r="T448" s="23">
        <f>mwac*hours*cf_p50*Energy!T$7*p75_10</f>
        <v/>
      </c>
      <c r="U448" s="23">
        <f>mwac*hours*cf_p50*Energy!U$7*p75_10</f>
        <v/>
      </c>
      <c r="V448" s="23">
        <f>mwac*hours*cf_p50*Energy!V$7*p75_10</f>
        <v/>
      </c>
      <c r="W448" s="23">
        <f>mwac*hours*cf_p50*Energy!W$7*p75_10</f>
        <v/>
      </c>
      <c r="X448" s="23">
        <f>mwac*hours*cf_p50*Energy!X$7*p75_10</f>
        <v/>
      </c>
      <c r="Y448" s="23">
        <f>mwac*hours*cf_p50*Energy!Y$7*p75_10</f>
        <v/>
      </c>
      <c r="Z448" s="23">
        <f>mwac*hours*cf_p50*Energy!Z$7*p75_10</f>
        <v/>
      </c>
      <c r="AA448" s="23">
        <f>mwac*hours*cf_p50*Energy!AA$7*p75_10</f>
        <v/>
      </c>
      <c r="AB448" s="23">
        <f>mwac*hours*cf_p50*Energy!AB$7*p75_10</f>
        <v/>
      </c>
      <c r="AC448" s="23">
        <f>mwac*hours*cf_p50*Energy!AC$7*p75_10</f>
        <v/>
      </c>
      <c r="AD448" s="23">
        <f>mwac*hours*cf_p50*Energy!AD$7*p75_10</f>
        <v/>
      </c>
      <c r="AE448" s="23">
        <f>mwac*hours*cf_p50*Energy!AE$7*p75_10</f>
        <v/>
      </c>
      <c r="AF448" s="23">
        <f>mwac*hours*cf_p50*Energy!AF$7*p75_10</f>
        <v/>
      </c>
      <c r="AG448" s="23">
        <f>mwac*hours*cf_p50*Energy!AG$7*p75_10</f>
        <v/>
      </c>
      <c r="AH448" s="23">
        <f>mwac*hours*cf_p50*Energy!AH$7*p75_10</f>
        <v/>
      </c>
      <c r="AI448" s="23">
        <f>mwac*hours*cf_p50*Energy!AI$7*p75_10</f>
        <v/>
      </c>
      <c r="AJ448" s="23">
        <f>mwac*hours*cf_p50*Energy!AJ$7*p75_10</f>
        <v/>
      </c>
      <c r="AK448" s="23">
        <f>mwac*hours*cf_p50*Energy!AK$7*p75_10</f>
        <v/>
      </c>
      <c r="AL448" s="23">
        <f>mwac*hours*cf_p50*Energy!AL$7*p75_10</f>
        <v/>
      </c>
    </row>
    <row r="449">
      <c r="B449" s="7" t="inlineStr">
        <is>
          <t>Node price, hub switch applied ($/MWh)</t>
        </is>
      </c>
      <c r="D449" s="32">
        <f>Market!D$7*(1+sw_hub)*Market!D$8+Market!D$10</f>
        <v/>
      </c>
      <c r="E449" s="32">
        <f>Market!E$7*(1+sw_hub)*Market!E$8+Market!E$10</f>
        <v/>
      </c>
      <c r="F449" s="32">
        <f>Market!F$7*(1+sw_hub)*Market!F$8+Market!F$10</f>
        <v/>
      </c>
      <c r="G449" s="32">
        <f>Market!G$7*(1+sw_hub)*Market!G$8+Market!G$10</f>
        <v/>
      </c>
      <c r="H449" s="32">
        <f>Market!H$7*(1+sw_hub)*Market!H$8+Market!H$10</f>
        <v/>
      </c>
      <c r="I449" s="32">
        <f>Market!I$7*(1+sw_hub)*Market!I$8+Market!I$10</f>
        <v/>
      </c>
      <c r="J449" s="32">
        <f>Market!J$7*(1+sw_hub)*Market!J$8+Market!J$10</f>
        <v/>
      </c>
      <c r="K449" s="32">
        <f>Market!K$7*(1+sw_hub)*Market!K$8+Market!K$10</f>
        <v/>
      </c>
      <c r="L449" s="32">
        <f>Market!L$7*(1+sw_hub)*Market!L$8+Market!L$10</f>
        <v/>
      </c>
      <c r="M449" s="32">
        <f>Market!M$7*(1+sw_hub)*Market!M$8+Market!M$10</f>
        <v/>
      </c>
      <c r="N449" s="32">
        <f>Market!N$7*(1+sw_hub)*Market!N$8+Market!N$10</f>
        <v/>
      </c>
      <c r="O449" s="32">
        <f>Market!O$7*(1+sw_hub)*Market!O$8+Market!O$10</f>
        <v/>
      </c>
      <c r="P449" s="32">
        <f>Market!P$7*(1+sw_hub)*Market!P$8+Market!P$10</f>
        <v/>
      </c>
      <c r="Q449" s="32">
        <f>Market!Q$7*(1+sw_hub)*Market!Q$8+Market!Q$10</f>
        <v/>
      </c>
      <c r="R449" s="32">
        <f>Market!R$7*(1+sw_hub)*Market!R$8+Market!R$10</f>
        <v/>
      </c>
      <c r="S449" s="32">
        <f>Market!S$7*(1+sw_hub)*Market!S$8+Market!S$10</f>
        <v/>
      </c>
      <c r="T449" s="32">
        <f>Market!T$7*(1+sw_hub)*Market!T$8+Market!T$10</f>
        <v/>
      </c>
      <c r="U449" s="32">
        <f>Market!U$7*(1+sw_hub)*Market!U$8+Market!U$10</f>
        <v/>
      </c>
      <c r="V449" s="32">
        <f>Market!V$7*(1+sw_hub)*Market!V$8+Market!V$10</f>
        <v/>
      </c>
      <c r="W449" s="32">
        <f>Market!W$7*(1+sw_hub)*Market!W$8+Market!W$10</f>
        <v/>
      </c>
      <c r="X449" s="32">
        <f>Market!X$7*(1+sw_hub)*Market!X$8+Market!X$10</f>
        <v/>
      </c>
      <c r="Y449" s="32">
        <f>Market!Y$7*(1+sw_hub)*Market!Y$8+Market!Y$10</f>
        <v/>
      </c>
      <c r="Z449" s="32">
        <f>Market!Z$7*(1+sw_hub)*Market!Z$8+Market!Z$10</f>
        <v/>
      </c>
      <c r="AA449" s="32">
        <f>Market!AA$7*(1+sw_hub)*Market!AA$8+Market!AA$10</f>
        <v/>
      </c>
      <c r="AB449" s="32">
        <f>Market!AB$7*(1+sw_hub)*Market!AB$8+Market!AB$10</f>
        <v/>
      </c>
      <c r="AC449" s="32">
        <f>Market!AC$7*(1+sw_hub)*Market!AC$8+Market!AC$10</f>
        <v/>
      </c>
      <c r="AD449" s="32">
        <f>Market!AD$7*(1+sw_hub)*Market!AD$8+Market!AD$10</f>
        <v/>
      </c>
      <c r="AE449" s="32">
        <f>Market!AE$7*(1+sw_hub)*Market!AE$8+Market!AE$10</f>
        <v/>
      </c>
      <c r="AF449" s="32">
        <f>Market!AF$7*(1+sw_hub)*Market!AF$8+Market!AF$10</f>
        <v/>
      </c>
      <c r="AG449" s="32">
        <f>Market!AG$7*(1+sw_hub)*Market!AG$8+Market!AG$10</f>
        <v/>
      </c>
      <c r="AH449" s="32">
        <f>Market!AH$7*(1+sw_hub)*Market!AH$8+Market!AH$10</f>
        <v/>
      </c>
      <c r="AI449" s="32">
        <f>Market!AI$7*(1+sw_hub)*Market!AI$8+Market!AI$10</f>
        <v/>
      </c>
      <c r="AJ449" s="32">
        <f>Market!AJ$7*(1+sw_hub)*Market!AJ$8+Market!AJ$10</f>
        <v/>
      </c>
      <c r="AK449" s="32">
        <f>Market!AK$7*(1+sw_hub)*Market!AK$8+Market!AK$10</f>
        <v/>
      </c>
      <c r="AL449" s="32">
        <f>Market!AL$7*(1+sw_hub)*Market!AL$8+Market!AL$10</f>
        <v/>
      </c>
    </row>
    <row r="450">
      <c r="B450" s="7" t="inlineStr">
        <is>
          <t>Contracted revenue ($)</t>
        </is>
      </c>
      <c r="D450" s="25">
        <f>IF(D$5&lt;u_years,D448*u_price*(1+u_esc)^D$5,0)</f>
        <v/>
      </c>
      <c r="E450" s="25">
        <f>IF(E$5&lt;u_years,E448*u_price*(1+u_esc)^E$5,0)</f>
        <v/>
      </c>
      <c r="F450" s="25">
        <f>IF(F$5&lt;u_years,F448*u_price*(1+u_esc)^F$5,0)</f>
        <v/>
      </c>
      <c r="G450" s="25">
        <f>IF(G$5&lt;u_years,G448*u_price*(1+u_esc)^G$5,0)</f>
        <v/>
      </c>
      <c r="H450" s="25">
        <f>IF(H$5&lt;u_years,H448*u_price*(1+u_esc)^H$5,0)</f>
        <v/>
      </c>
      <c r="I450" s="25">
        <f>IF(I$5&lt;u_years,I448*u_price*(1+u_esc)^I$5,0)</f>
        <v/>
      </c>
      <c r="J450" s="25">
        <f>IF(J$5&lt;u_years,J448*u_price*(1+u_esc)^J$5,0)</f>
        <v/>
      </c>
      <c r="K450" s="25">
        <f>IF(K$5&lt;u_years,K448*u_price*(1+u_esc)^K$5,0)</f>
        <v/>
      </c>
      <c r="L450" s="25">
        <f>IF(L$5&lt;u_years,L448*u_price*(1+u_esc)^L$5,0)</f>
        <v/>
      </c>
      <c r="M450" s="25">
        <f>IF(M$5&lt;u_years,M448*u_price*(1+u_esc)^M$5,0)</f>
        <v/>
      </c>
      <c r="N450" s="25">
        <f>IF(N$5&lt;u_years,N448*u_price*(1+u_esc)^N$5,0)</f>
        <v/>
      </c>
      <c r="O450" s="25">
        <f>IF(O$5&lt;u_years,O448*u_price*(1+u_esc)^O$5,0)</f>
        <v/>
      </c>
      <c r="P450" s="25">
        <f>IF(P$5&lt;u_years,P448*u_price*(1+u_esc)^P$5,0)</f>
        <v/>
      </c>
      <c r="Q450" s="25">
        <f>IF(Q$5&lt;u_years,Q448*u_price*(1+u_esc)^Q$5,0)</f>
        <v/>
      </c>
      <c r="R450" s="25">
        <f>IF(R$5&lt;u_years,R448*u_price*(1+u_esc)^R$5,0)</f>
        <v/>
      </c>
      <c r="S450" s="25">
        <f>IF(S$5&lt;u_years,S448*u_price*(1+u_esc)^S$5,0)</f>
        <v/>
      </c>
      <c r="T450" s="25">
        <f>IF(T$5&lt;u_years,T448*u_price*(1+u_esc)^T$5,0)</f>
        <v/>
      </c>
      <c r="U450" s="25">
        <f>IF(U$5&lt;u_years,U448*u_price*(1+u_esc)^U$5,0)</f>
        <v/>
      </c>
      <c r="V450" s="25">
        <f>IF(V$5&lt;u_years,V448*u_price*(1+u_esc)^V$5,0)</f>
        <v/>
      </c>
      <c r="W450" s="25">
        <f>IF(W$5&lt;u_years,W448*u_price*(1+u_esc)^W$5,0)</f>
        <v/>
      </c>
      <c r="X450" s="25">
        <f>IF(X$5&lt;u_years,X448*u_price*(1+u_esc)^X$5,0)</f>
        <v/>
      </c>
      <c r="Y450" s="25">
        <f>IF(Y$5&lt;u_years,Y448*u_price*(1+u_esc)^Y$5,0)</f>
        <v/>
      </c>
      <c r="Z450" s="25">
        <f>IF(Z$5&lt;u_years,Z448*u_price*(1+u_esc)^Z$5,0)</f>
        <v/>
      </c>
      <c r="AA450" s="25">
        <f>IF(AA$5&lt;u_years,AA448*u_price*(1+u_esc)^AA$5,0)</f>
        <v/>
      </c>
      <c r="AB450" s="25">
        <f>IF(AB$5&lt;u_years,AB448*u_price*(1+u_esc)^AB$5,0)</f>
        <v/>
      </c>
      <c r="AC450" s="25">
        <f>IF(AC$5&lt;u_years,AC448*u_price*(1+u_esc)^AC$5,0)</f>
        <v/>
      </c>
      <c r="AD450" s="25">
        <f>IF(AD$5&lt;u_years,AD448*u_price*(1+u_esc)^AD$5,0)</f>
        <v/>
      </c>
      <c r="AE450" s="25">
        <f>IF(AE$5&lt;u_years,AE448*u_price*(1+u_esc)^AE$5,0)</f>
        <v/>
      </c>
      <c r="AF450" s="25">
        <f>IF(AF$5&lt;u_years,AF448*u_price*(1+u_esc)^AF$5,0)</f>
        <v/>
      </c>
      <c r="AG450" s="25">
        <f>IF(AG$5&lt;u_years,AG448*u_price*(1+u_esc)^AG$5,0)</f>
        <v/>
      </c>
      <c r="AH450" s="25">
        <f>IF(AH$5&lt;u_years,AH448*u_price*(1+u_esc)^AH$5,0)</f>
        <v/>
      </c>
      <c r="AI450" s="25">
        <f>IF(AI$5&lt;u_years,AI448*u_price*(1+u_esc)^AI$5,0)</f>
        <v/>
      </c>
      <c r="AJ450" s="25">
        <f>IF(AJ$5&lt;u_years,AJ448*u_price*(1+u_esc)^AJ$5,0)</f>
        <v/>
      </c>
      <c r="AK450" s="25">
        <f>IF(AK$5&lt;u_years,AK448*u_price*(1+u_esc)^AK$5,0)</f>
        <v/>
      </c>
      <c r="AL450" s="25">
        <f>IF(AL$5&lt;u_years,AL448*u_price*(1+u_esc)^AL$5,0)</f>
        <v/>
      </c>
    </row>
    <row r="451">
      <c r="B451" s="7" t="inlineStr">
        <is>
          <t>Merchant revenue ($)</t>
        </is>
      </c>
      <c r="D451" s="25">
        <f>IF(D$5&lt;u_years,0,D448*(D449+rec_price)+Market!D$13)</f>
        <v/>
      </c>
      <c r="E451" s="25">
        <f>IF(E$5&lt;u_years,0,E448*(E449+rec_price)+Market!E$13)</f>
        <v/>
      </c>
      <c r="F451" s="25">
        <f>IF(F$5&lt;u_years,0,F448*(F449+rec_price)+Market!F$13)</f>
        <v/>
      </c>
      <c r="G451" s="25">
        <f>IF(G$5&lt;u_years,0,G448*(G449+rec_price)+Market!G$13)</f>
        <v/>
      </c>
      <c r="H451" s="25">
        <f>IF(H$5&lt;u_years,0,H448*(H449+rec_price)+Market!H$13)</f>
        <v/>
      </c>
      <c r="I451" s="25">
        <f>IF(I$5&lt;u_years,0,I448*(I449+rec_price)+Market!I$13)</f>
        <v/>
      </c>
      <c r="J451" s="25">
        <f>IF(J$5&lt;u_years,0,J448*(J449+rec_price)+Market!J$13)</f>
        <v/>
      </c>
      <c r="K451" s="25">
        <f>IF(K$5&lt;u_years,0,K448*(K449+rec_price)+Market!K$13)</f>
        <v/>
      </c>
      <c r="L451" s="25">
        <f>IF(L$5&lt;u_years,0,L448*(L449+rec_price)+Market!L$13)</f>
        <v/>
      </c>
      <c r="M451" s="25">
        <f>IF(M$5&lt;u_years,0,M448*(M449+rec_price)+Market!M$13)</f>
        <v/>
      </c>
      <c r="N451" s="25">
        <f>IF(N$5&lt;u_years,0,N448*(N449+rec_price)+Market!N$13)</f>
        <v/>
      </c>
      <c r="O451" s="25">
        <f>IF(O$5&lt;u_years,0,O448*(O449+rec_price)+Market!O$13)</f>
        <v/>
      </c>
      <c r="P451" s="25">
        <f>IF(P$5&lt;u_years,0,P448*(P449+rec_price)+Market!P$13)</f>
        <v/>
      </c>
      <c r="Q451" s="25">
        <f>IF(Q$5&lt;u_years,0,Q448*(Q449+rec_price)+Market!Q$13)</f>
        <v/>
      </c>
      <c r="R451" s="25">
        <f>IF(R$5&lt;u_years,0,R448*(R449+rec_price)+Market!R$13)</f>
        <v/>
      </c>
      <c r="S451" s="25">
        <f>IF(S$5&lt;u_years,0,S448*(S449+rec_price)+Market!S$13)</f>
        <v/>
      </c>
      <c r="T451" s="25">
        <f>IF(T$5&lt;u_years,0,T448*(T449+rec_price)+Market!T$13)</f>
        <v/>
      </c>
      <c r="U451" s="25">
        <f>IF(U$5&lt;u_years,0,U448*(U449+rec_price)+Market!U$13)</f>
        <v/>
      </c>
      <c r="V451" s="25">
        <f>IF(V$5&lt;u_years,0,V448*(V449+rec_price)+Market!V$13)</f>
        <v/>
      </c>
      <c r="W451" s="25">
        <f>IF(W$5&lt;u_years,0,W448*(W449+rec_price)+Market!W$13)</f>
        <v/>
      </c>
      <c r="X451" s="25">
        <f>IF(X$5&lt;u_years,0,X448*(X449+rec_price)+Market!X$13)</f>
        <v/>
      </c>
      <c r="Y451" s="25">
        <f>IF(Y$5&lt;u_years,0,Y448*(Y449+rec_price)+Market!Y$13)</f>
        <v/>
      </c>
      <c r="Z451" s="25">
        <f>IF(Z$5&lt;u_years,0,Z448*(Z449+rec_price)+Market!Z$13)</f>
        <v/>
      </c>
      <c r="AA451" s="25">
        <f>IF(AA$5&lt;u_years,0,AA448*(AA449+rec_price)+Market!AA$13)</f>
        <v/>
      </c>
      <c r="AB451" s="25">
        <f>IF(AB$5&lt;u_years,0,AB448*(AB449+rec_price)+Market!AB$13)</f>
        <v/>
      </c>
      <c r="AC451" s="25">
        <f>IF(AC$5&lt;u_years,0,AC448*(AC449+rec_price)+Market!AC$13)</f>
        <v/>
      </c>
      <c r="AD451" s="25">
        <f>IF(AD$5&lt;u_years,0,AD448*(AD449+rec_price)+Market!AD$13)</f>
        <v/>
      </c>
      <c r="AE451" s="25">
        <f>IF(AE$5&lt;u_years,0,AE448*(AE449+rec_price)+Market!AE$13)</f>
        <v/>
      </c>
      <c r="AF451" s="25">
        <f>IF(AF$5&lt;u_years,0,AF448*(AF449+rec_price)+Market!AF$13)</f>
        <v/>
      </c>
      <c r="AG451" s="25">
        <f>IF(AG$5&lt;u_years,0,AG448*(AG449+rec_price)+Market!AG$13)</f>
        <v/>
      </c>
      <c r="AH451" s="25">
        <f>IF(AH$5&lt;u_years,0,AH448*(AH449+rec_price)+Market!AH$13)</f>
        <v/>
      </c>
      <c r="AI451" s="25">
        <f>IF(AI$5&lt;u_years,0,AI448*(AI449+rec_price)+Market!AI$13)</f>
        <v/>
      </c>
      <c r="AJ451" s="25">
        <f>IF(AJ$5&lt;u_years,0,AJ448*(AJ449+rec_price)+Market!AJ$13)</f>
        <v/>
      </c>
      <c r="AK451" s="25">
        <f>IF(AK$5&lt;u_years,0,AK448*(AK449+rec_price)+Market!AK$13)</f>
        <v/>
      </c>
      <c r="AL451" s="25">
        <f>IF(AL$5&lt;u_years,0,AL448*(AL449+rec_price)+Market!AL$13)</f>
        <v/>
      </c>
    </row>
    <row r="452">
      <c r="B452" s="7" t="inlineStr">
        <is>
          <t>Basis cost kept by the project ($)</t>
        </is>
      </c>
      <c r="D452" s="25" t="n">
        <v>0</v>
      </c>
      <c r="E452" s="25" t="n">
        <v>0</v>
      </c>
      <c r="F452" s="25" t="n">
        <v>0</v>
      </c>
      <c r="G452" s="25" t="n">
        <v>0</v>
      </c>
      <c r="H452" s="25" t="n">
        <v>0</v>
      </c>
      <c r="I452" s="25" t="n">
        <v>0</v>
      </c>
      <c r="J452" s="25" t="n">
        <v>0</v>
      </c>
      <c r="K452" s="25" t="n">
        <v>0</v>
      </c>
      <c r="L452" s="25" t="n">
        <v>0</v>
      </c>
      <c r="M452" s="25" t="n">
        <v>0</v>
      </c>
      <c r="N452" s="25" t="n">
        <v>0</v>
      </c>
      <c r="O452" s="25" t="n">
        <v>0</v>
      </c>
      <c r="P452" s="25" t="n">
        <v>0</v>
      </c>
      <c r="Q452" s="25" t="n">
        <v>0</v>
      </c>
      <c r="R452" s="25" t="n">
        <v>0</v>
      </c>
      <c r="S452" s="25" t="n">
        <v>0</v>
      </c>
      <c r="T452" s="25" t="n">
        <v>0</v>
      </c>
      <c r="U452" s="25" t="n">
        <v>0</v>
      </c>
      <c r="V452" s="25" t="n">
        <v>0</v>
      </c>
      <c r="W452" s="25" t="n">
        <v>0</v>
      </c>
      <c r="X452" s="25" t="n">
        <v>0</v>
      </c>
      <c r="Y452" s="25" t="n">
        <v>0</v>
      </c>
      <c r="Z452" s="25" t="n">
        <v>0</v>
      </c>
      <c r="AA452" s="25" t="n">
        <v>0</v>
      </c>
      <c r="AB452" s="25" t="n">
        <v>0</v>
      </c>
      <c r="AC452" s="25" t="n">
        <v>0</v>
      </c>
      <c r="AD452" s="25" t="n">
        <v>0</v>
      </c>
      <c r="AE452" s="25" t="n">
        <v>0</v>
      </c>
      <c r="AF452" s="25" t="n">
        <v>0</v>
      </c>
      <c r="AG452" s="25" t="n">
        <v>0</v>
      </c>
      <c r="AH452" s="25" t="n">
        <v>0</v>
      </c>
      <c r="AI452" s="25" t="n">
        <v>0</v>
      </c>
      <c r="AJ452" s="25" t="n">
        <v>0</v>
      </c>
      <c r="AK452" s="25" t="n">
        <v>0</v>
      </c>
      <c r="AL452" s="25" t="n">
        <v>0</v>
      </c>
    </row>
    <row r="453">
      <c r="B453" s="7" t="inlineStr">
        <is>
          <t>Operating cost ($)</t>
        </is>
      </c>
      <c r="D453" s="25">
        <f>(om_kw*mwac*1000+ins_rate*$C$445+am_cost+prop_tax+misc_cost)*Opex!D$7+rent_acre*acres_lease*Opex!D$8</f>
        <v/>
      </c>
      <c r="E453" s="25">
        <f>(om_kw*mwac*1000+ins_rate*$C$445+am_cost+prop_tax+misc_cost)*Opex!E$7+rent_acre*acres_lease*Opex!E$8</f>
        <v/>
      </c>
      <c r="F453" s="25">
        <f>(om_kw*mwac*1000+ins_rate*$C$445+am_cost+prop_tax+misc_cost)*Opex!F$7+rent_acre*acres_lease*Opex!F$8</f>
        <v/>
      </c>
      <c r="G453" s="25">
        <f>(om_kw*mwac*1000+ins_rate*$C$445+am_cost+prop_tax+misc_cost)*Opex!G$7+rent_acre*acres_lease*Opex!G$8</f>
        <v/>
      </c>
      <c r="H453" s="25">
        <f>(om_kw*mwac*1000+ins_rate*$C$445+am_cost+prop_tax+misc_cost)*Opex!H$7+rent_acre*acres_lease*Opex!H$8</f>
        <v/>
      </c>
      <c r="I453" s="25">
        <f>(om_kw*mwac*1000+ins_rate*$C$445+am_cost+prop_tax+misc_cost)*Opex!I$7+rent_acre*acres_lease*Opex!I$8</f>
        <v/>
      </c>
      <c r="J453" s="25">
        <f>(om_kw*mwac*1000+ins_rate*$C$445+am_cost+prop_tax+misc_cost)*Opex!J$7+rent_acre*acres_lease*Opex!J$8</f>
        <v/>
      </c>
      <c r="K453" s="25">
        <f>(om_kw*mwac*1000+ins_rate*$C$445+am_cost+prop_tax+misc_cost)*Opex!K$7+rent_acre*acres_lease*Opex!K$8</f>
        <v/>
      </c>
      <c r="L453" s="25">
        <f>(om_kw*mwac*1000+ins_rate*$C$445+am_cost+prop_tax+misc_cost)*Opex!L$7+rent_acre*acres_lease*Opex!L$8</f>
        <v/>
      </c>
      <c r="M453" s="25">
        <f>(om_kw*mwac*1000+ins_rate*$C$445+am_cost+prop_tax+misc_cost)*Opex!M$7+rent_acre*acres_lease*Opex!M$8</f>
        <v/>
      </c>
      <c r="N453" s="25">
        <f>(om_kw*mwac*1000+ins_rate*$C$445+am_cost+prop_tax+misc_cost)*Opex!N$7+rent_acre*acres_lease*Opex!N$8</f>
        <v/>
      </c>
      <c r="O453" s="25">
        <f>(om_kw*mwac*1000+ins_rate*$C$445+am_cost+prop_tax+misc_cost)*Opex!O$7+rent_acre*acres_lease*Opex!O$8</f>
        <v/>
      </c>
      <c r="P453" s="25">
        <f>(om_kw*mwac*1000+ins_rate*$C$445+am_cost+prop_tax+misc_cost)*Opex!P$7+rent_acre*acres_lease*Opex!P$8</f>
        <v/>
      </c>
      <c r="Q453" s="25">
        <f>(om_kw*mwac*1000+ins_rate*$C$445+am_cost+prop_tax+misc_cost)*Opex!Q$7+rent_acre*acres_lease*Opex!Q$8</f>
        <v/>
      </c>
      <c r="R453" s="25">
        <f>(om_kw*mwac*1000+ins_rate*$C$445+am_cost+prop_tax+misc_cost)*Opex!R$7+rent_acre*acres_lease*Opex!R$8</f>
        <v/>
      </c>
      <c r="S453" s="25">
        <f>(om_kw*mwac*1000+ins_rate*$C$445+am_cost+prop_tax+misc_cost)*Opex!S$7+rent_acre*acres_lease*Opex!S$8</f>
        <v/>
      </c>
      <c r="T453" s="25">
        <f>(om_kw*mwac*1000+ins_rate*$C$445+am_cost+prop_tax+misc_cost)*Opex!T$7+rent_acre*acres_lease*Opex!T$8</f>
        <v/>
      </c>
      <c r="U453" s="25">
        <f>(om_kw*mwac*1000+ins_rate*$C$445+am_cost+prop_tax+misc_cost)*Opex!U$7+rent_acre*acres_lease*Opex!U$8</f>
        <v/>
      </c>
      <c r="V453" s="25">
        <f>(om_kw*mwac*1000+ins_rate*$C$445+am_cost+prop_tax+misc_cost)*Opex!V$7+rent_acre*acres_lease*Opex!V$8</f>
        <v/>
      </c>
      <c r="W453" s="25">
        <f>(om_kw*mwac*1000+ins_rate*$C$445+am_cost+prop_tax+misc_cost)*Opex!W$7+rent_acre*acres_lease*Opex!W$8</f>
        <v/>
      </c>
      <c r="X453" s="25">
        <f>(om_kw*mwac*1000+ins_rate*$C$445+am_cost+prop_tax+misc_cost)*Opex!X$7+rent_acre*acres_lease*Opex!X$8</f>
        <v/>
      </c>
      <c r="Y453" s="25">
        <f>(om_kw*mwac*1000+ins_rate*$C$445+am_cost+prop_tax+misc_cost)*Opex!Y$7+rent_acre*acres_lease*Opex!Y$8</f>
        <v/>
      </c>
      <c r="Z453" s="25">
        <f>(om_kw*mwac*1000+ins_rate*$C$445+am_cost+prop_tax+misc_cost)*Opex!Z$7+rent_acre*acres_lease*Opex!Z$8</f>
        <v/>
      </c>
      <c r="AA453" s="25">
        <f>(om_kw*mwac*1000+ins_rate*$C$445+am_cost+prop_tax+misc_cost)*Opex!AA$7+rent_acre*acres_lease*Opex!AA$8</f>
        <v/>
      </c>
      <c r="AB453" s="25">
        <f>(om_kw*mwac*1000+ins_rate*$C$445+am_cost+prop_tax+misc_cost)*Opex!AB$7+rent_acre*acres_lease*Opex!AB$8</f>
        <v/>
      </c>
      <c r="AC453" s="25">
        <f>(om_kw*mwac*1000+ins_rate*$C$445+am_cost+prop_tax+misc_cost)*Opex!AC$7+rent_acre*acres_lease*Opex!AC$8</f>
        <v/>
      </c>
      <c r="AD453" s="25">
        <f>(om_kw*mwac*1000+ins_rate*$C$445+am_cost+prop_tax+misc_cost)*Opex!AD$7+rent_acre*acres_lease*Opex!AD$8</f>
        <v/>
      </c>
      <c r="AE453" s="25">
        <f>(om_kw*mwac*1000+ins_rate*$C$445+am_cost+prop_tax+misc_cost)*Opex!AE$7+rent_acre*acres_lease*Opex!AE$8</f>
        <v/>
      </c>
      <c r="AF453" s="25">
        <f>(om_kw*mwac*1000+ins_rate*$C$445+am_cost+prop_tax+misc_cost)*Opex!AF$7+rent_acre*acres_lease*Opex!AF$8</f>
        <v/>
      </c>
      <c r="AG453" s="25">
        <f>(om_kw*mwac*1000+ins_rate*$C$445+am_cost+prop_tax+misc_cost)*Opex!AG$7+rent_acre*acres_lease*Opex!AG$8</f>
        <v/>
      </c>
      <c r="AH453" s="25">
        <f>(om_kw*mwac*1000+ins_rate*$C$445+am_cost+prop_tax+misc_cost)*Opex!AH$7+rent_acre*acres_lease*Opex!AH$8</f>
        <v/>
      </c>
      <c r="AI453" s="25">
        <f>(om_kw*mwac*1000+ins_rate*$C$445+am_cost+prop_tax+misc_cost)*Opex!AI$7+rent_acre*acres_lease*Opex!AI$8</f>
        <v/>
      </c>
      <c r="AJ453" s="25">
        <f>(om_kw*mwac*1000+ins_rate*$C$445+am_cost+prop_tax+misc_cost)*Opex!AJ$7+rent_acre*acres_lease*Opex!AJ$8</f>
        <v/>
      </c>
      <c r="AK453" s="25">
        <f>(om_kw*mwac*1000+ins_rate*$C$445+am_cost+prop_tax+misc_cost)*Opex!AK$7+rent_acre*acres_lease*Opex!AK$8</f>
        <v/>
      </c>
      <c r="AL453" s="25">
        <f>(om_kw*mwac*1000+ins_rate*$C$445+am_cost+prop_tax+misc_cost)*Opex!AL$7+rent_acre*acres_lease*Opex!AL$8</f>
        <v/>
      </c>
    </row>
    <row r="454">
      <c r="B454" s="7" t="inlineStr">
        <is>
          <t>Credit cash ($)</t>
        </is>
      </c>
      <c r="D454" s="25">
        <f>IF(sw_credit="PTC",IF(D$5&lt;ptc_years,D448*Credits!D$8*(1+sw_bonus)*transfer_ptc,0),0)+IF(D$5=0,$C$447,0)</f>
        <v/>
      </c>
      <c r="E454" s="25">
        <f>IF(sw_credit="PTC",IF(E$5&lt;ptc_years,E448*Credits!E$8*(1+sw_bonus)*transfer_ptc,0),0)+IF(E$5=0,$C$447,0)</f>
        <v/>
      </c>
      <c r="F454" s="25">
        <f>IF(sw_credit="PTC",IF(F$5&lt;ptc_years,F448*Credits!F$8*(1+sw_bonus)*transfer_ptc,0),0)+IF(F$5=0,$C$447,0)</f>
        <v/>
      </c>
      <c r="G454" s="25">
        <f>IF(sw_credit="PTC",IF(G$5&lt;ptc_years,G448*Credits!G$8*(1+sw_bonus)*transfer_ptc,0),0)+IF(G$5=0,$C$447,0)</f>
        <v/>
      </c>
      <c r="H454" s="25">
        <f>IF(sw_credit="PTC",IF(H$5&lt;ptc_years,H448*Credits!H$8*(1+sw_bonus)*transfer_ptc,0),0)+IF(H$5=0,$C$447,0)</f>
        <v/>
      </c>
      <c r="I454" s="25">
        <f>IF(sw_credit="PTC",IF(I$5&lt;ptc_years,I448*Credits!I$8*(1+sw_bonus)*transfer_ptc,0),0)+IF(I$5=0,$C$447,0)</f>
        <v/>
      </c>
      <c r="J454" s="25">
        <f>IF(sw_credit="PTC",IF(J$5&lt;ptc_years,J448*Credits!J$8*(1+sw_bonus)*transfer_ptc,0),0)+IF(J$5=0,$C$447,0)</f>
        <v/>
      </c>
      <c r="K454" s="25">
        <f>IF(sw_credit="PTC",IF(K$5&lt;ptc_years,K448*Credits!K$8*(1+sw_bonus)*transfer_ptc,0),0)+IF(K$5=0,$C$447,0)</f>
        <v/>
      </c>
      <c r="L454" s="25">
        <f>IF(sw_credit="PTC",IF(L$5&lt;ptc_years,L448*Credits!L$8*(1+sw_bonus)*transfer_ptc,0),0)+IF(L$5=0,$C$447,0)</f>
        <v/>
      </c>
      <c r="M454" s="25">
        <f>IF(sw_credit="PTC",IF(M$5&lt;ptc_years,M448*Credits!M$8*(1+sw_bonus)*transfer_ptc,0),0)+IF(M$5=0,$C$447,0)</f>
        <v/>
      </c>
      <c r="N454" s="25">
        <f>IF(sw_credit="PTC",IF(N$5&lt;ptc_years,N448*Credits!N$8*(1+sw_bonus)*transfer_ptc,0),0)+IF(N$5=0,$C$447,0)</f>
        <v/>
      </c>
      <c r="O454" s="25">
        <f>IF(sw_credit="PTC",IF(O$5&lt;ptc_years,O448*Credits!O$8*(1+sw_bonus)*transfer_ptc,0),0)+IF(O$5=0,$C$447,0)</f>
        <v/>
      </c>
      <c r="P454" s="25">
        <f>IF(sw_credit="PTC",IF(P$5&lt;ptc_years,P448*Credits!P$8*(1+sw_bonus)*transfer_ptc,0),0)+IF(P$5=0,$C$447,0)</f>
        <v/>
      </c>
      <c r="Q454" s="25">
        <f>IF(sw_credit="PTC",IF(Q$5&lt;ptc_years,Q448*Credits!Q$8*(1+sw_bonus)*transfer_ptc,0),0)+IF(Q$5=0,$C$447,0)</f>
        <v/>
      </c>
      <c r="R454" s="25">
        <f>IF(sw_credit="PTC",IF(R$5&lt;ptc_years,R448*Credits!R$8*(1+sw_bonus)*transfer_ptc,0),0)+IF(R$5=0,$C$447,0)</f>
        <v/>
      </c>
      <c r="S454" s="25">
        <f>IF(sw_credit="PTC",IF(S$5&lt;ptc_years,S448*Credits!S$8*(1+sw_bonus)*transfer_ptc,0),0)+IF(S$5=0,$C$447,0)</f>
        <v/>
      </c>
      <c r="T454" s="25">
        <f>IF(sw_credit="PTC",IF(T$5&lt;ptc_years,T448*Credits!T$8*(1+sw_bonus)*transfer_ptc,0),0)+IF(T$5=0,$C$447,0)</f>
        <v/>
      </c>
      <c r="U454" s="25">
        <f>IF(sw_credit="PTC",IF(U$5&lt;ptc_years,U448*Credits!U$8*(1+sw_bonus)*transfer_ptc,0),0)+IF(U$5=0,$C$447,0)</f>
        <v/>
      </c>
      <c r="V454" s="25">
        <f>IF(sw_credit="PTC",IF(V$5&lt;ptc_years,V448*Credits!V$8*(1+sw_bonus)*transfer_ptc,0),0)+IF(V$5=0,$C$447,0)</f>
        <v/>
      </c>
      <c r="W454" s="25">
        <f>IF(sw_credit="PTC",IF(W$5&lt;ptc_years,W448*Credits!W$8*(1+sw_bonus)*transfer_ptc,0),0)+IF(W$5=0,$C$447,0)</f>
        <v/>
      </c>
      <c r="X454" s="25">
        <f>IF(sw_credit="PTC",IF(X$5&lt;ptc_years,X448*Credits!X$8*(1+sw_bonus)*transfer_ptc,0),0)+IF(X$5=0,$C$447,0)</f>
        <v/>
      </c>
      <c r="Y454" s="25">
        <f>IF(sw_credit="PTC",IF(Y$5&lt;ptc_years,Y448*Credits!Y$8*(1+sw_bonus)*transfer_ptc,0),0)+IF(Y$5=0,$C$447,0)</f>
        <v/>
      </c>
      <c r="Z454" s="25">
        <f>IF(sw_credit="PTC",IF(Z$5&lt;ptc_years,Z448*Credits!Z$8*(1+sw_bonus)*transfer_ptc,0),0)+IF(Z$5=0,$C$447,0)</f>
        <v/>
      </c>
      <c r="AA454" s="25">
        <f>IF(sw_credit="PTC",IF(AA$5&lt;ptc_years,AA448*Credits!AA$8*(1+sw_bonus)*transfer_ptc,0),0)+IF(AA$5=0,$C$447,0)</f>
        <v/>
      </c>
      <c r="AB454" s="25">
        <f>IF(sw_credit="PTC",IF(AB$5&lt;ptc_years,AB448*Credits!AB$8*(1+sw_bonus)*transfer_ptc,0),0)+IF(AB$5=0,$C$447,0)</f>
        <v/>
      </c>
      <c r="AC454" s="25">
        <f>IF(sw_credit="PTC",IF(AC$5&lt;ptc_years,AC448*Credits!AC$8*(1+sw_bonus)*transfer_ptc,0),0)+IF(AC$5=0,$C$447,0)</f>
        <v/>
      </c>
      <c r="AD454" s="25">
        <f>IF(sw_credit="PTC",IF(AD$5&lt;ptc_years,AD448*Credits!AD$8*(1+sw_bonus)*transfer_ptc,0),0)+IF(AD$5=0,$C$447,0)</f>
        <v/>
      </c>
      <c r="AE454" s="25">
        <f>IF(sw_credit="PTC",IF(AE$5&lt;ptc_years,AE448*Credits!AE$8*(1+sw_bonus)*transfer_ptc,0),0)+IF(AE$5=0,$C$447,0)</f>
        <v/>
      </c>
      <c r="AF454" s="25">
        <f>IF(sw_credit="PTC",IF(AF$5&lt;ptc_years,AF448*Credits!AF$8*(1+sw_bonus)*transfer_ptc,0),0)+IF(AF$5=0,$C$447,0)</f>
        <v/>
      </c>
      <c r="AG454" s="25">
        <f>IF(sw_credit="PTC",IF(AG$5&lt;ptc_years,AG448*Credits!AG$8*(1+sw_bonus)*transfer_ptc,0),0)+IF(AG$5=0,$C$447,0)</f>
        <v/>
      </c>
      <c r="AH454" s="25">
        <f>IF(sw_credit="PTC",IF(AH$5&lt;ptc_years,AH448*Credits!AH$8*(1+sw_bonus)*transfer_ptc,0),0)+IF(AH$5=0,$C$447,0)</f>
        <v/>
      </c>
      <c r="AI454" s="25">
        <f>IF(sw_credit="PTC",IF(AI$5&lt;ptc_years,AI448*Credits!AI$8*(1+sw_bonus)*transfer_ptc,0),0)+IF(AI$5=0,$C$447,0)</f>
        <v/>
      </c>
      <c r="AJ454" s="25">
        <f>IF(sw_credit="PTC",IF(AJ$5&lt;ptc_years,AJ448*Credits!AJ$8*(1+sw_bonus)*transfer_ptc,0),0)+IF(AJ$5=0,$C$447,0)</f>
        <v/>
      </c>
      <c r="AK454" s="25">
        <f>IF(sw_credit="PTC",IF(AK$5&lt;ptc_years,AK448*Credits!AK$8*(1+sw_bonus)*transfer_ptc,0),0)+IF(AK$5=0,$C$447,0)</f>
        <v/>
      </c>
      <c r="AL454" s="25">
        <f>IF(sw_credit="PTC",IF(AL$5&lt;ptc_years,AL448*Credits!AL$8*(1+sw_bonus)*transfer_ptc,0),0)+IF(AL$5=0,$C$447,0)</f>
        <v/>
      </c>
    </row>
    <row r="455">
      <c r="B455" s="14" t="inlineStr">
        <is>
          <t>EBITDA ($)</t>
        </is>
      </c>
      <c r="D455" s="26">
        <f>D450+D451-D452-D453</f>
        <v/>
      </c>
      <c r="E455" s="26">
        <f>E450+E451-E452-E453</f>
        <v/>
      </c>
      <c r="F455" s="26">
        <f>F450+F451-F452-F453</f>
        <v/>
      </c>
      <c r="G455" s="26">
        <f>G450+G451-G452-G453</f>
        <v/>
      </c>
      <c r="H455" s="26">
        <f>H450+H451-H452-H453</f>
        <v/>
      </c>
      <c r="I455" s="26">
        <f>I450+I451-I452-I453</f>
        <v/>
      </c>
      <c r="J455" s="26">
        <f>J450+J451-J452-J453</f>
        <v/>
      </c>
      <c r="K455" s="26">
        <f>K450+K451-K452-K453</f>
        <v/>
      </c>
      <c r="L455" s="26">
        <f>L450+L451-L452-L453</f>
        <v/>
      </c>
      <c r="M455" s="26">
        <f>M450+M451-M452-M453</f>
        <v/>
      </c>
      <c r="N455" s="26">
        <f>N450+N451-N452-N453</f>
        <v/>
      </c>
      <c r="O455" s="26">
        <f>O450+O451-O452-O453</f>
        <v/>
      </c>
      <c r="P455" s="26">
        <f>P450+P451-P452-P453</f>
        <v/>
      </c>
      <c r="Q455" s="26">
        <f>Q450+Q451-Q452-Q453</f>
        <v/>
      </c>
      <c r="R455" s="26">
        <f>R450+R451-R452-R453</f>
        <v/>
      </c>
      <c r="S455" s="26">
        <f>S450+S451-S452-S453</f>
        <v/>
      </c>
      <c r="T455" s="26">
        <f>T450+T451-T452-T453</f>
        <v/>
      </c>
      <c r="U455" s="26">
        <f>U450+U451-U452-U453</f>
        <v/>
      </c>
      <c r="V455" s="26">
        <f>V450+V451-V452-V453</f>
        <v/>
      </c>
      <c r="W455" s="26">
        <f>W450+W451-W452-W453</f>
        <v/>
      </c>
      <c r="X455" s="26">
        <f>X450+X451-X452-X453</f>
        <v/>
      </c>
      <c r="Y455" s="26">
        <f>Y450+Y451-Y452-Y453</f>
        <v/>
      </c>
      <c r="Z455" s="26">
        <f>Z450+Z451-Z452-Z453</f>
        <v/>
      </c>
      <c r="AA455" s="26">
        <f>AA450+AA451-AA452-AA453</f>
        <v/>
      </c>
      <c r="AB455" s="26">
        <f>AB450+AB451-AB452-AB453</f>
        <v/>
      </c>
      <c r="AC455" s="26">
        <f>AC450+AC451-AC452-AC453</f>
        <v/>
      </c>
      <c r="AD455" s="26">
        <f>AD450+AD451-AD452-AD453</f>
        <v/>
      </c>
      <c r="AE455" s="26">
        <f>AE450+AE451-AE452-AE453</f>
        <v/>
      </c>
      <c r="AF455" s="26">
        <f>AF450+AF451-AF452-AF453</f>
        <v/>
      </c>
      <c r="AG455" s="26">
        <f>AG450+AG451-AG452-AG453</f>
        <v/>
      </c>
      <c r="AH455" s="26">
        <f>AH450+AH451-AH452-AH453</f>
        <v/>
      </c>
      <c r="AI455" s="26">
        <f>AI450+AI451-AI452-AI453</f>
        <v/>
      </c>
      <c r="AJ455" s="26">
        <f>AJ450+AJ451-AJ452-AJ453</f>
        <v/>
      </c>
      <c r="AK455" s="26">
        <f>AK450+AK451-AK452-AK453</f>
        <v/>
      </c>
      <c r="AL455" s="26">
        <f>AL450+AL451-AL452-AL453</f>
        <v/>
      </c>
    </row>
    <row r="456">
      <c r="B456" s="7" t="inlineStr">
        <is>
          <t>Discount factor to 1 January 2027, contracted rate</t>
        </is>
      </c>
      <c r="D456" s="22">
        <f>1/(1+x_rc)^(D$5+2)</f>
        <v/>
      </c>
      <c r="E456" s="22">
        <f>1/(1+x_rc)^(E$5+2)</f>
        <v/>
      </c>
      <c r="F456" s="22">
        <f>1/(1+x_rc)^(F$5+2)</f>
        <v/>
      </c>
      <c r="G456" s="22">
        <f>1/(1+x_rc)^(G$5+2)</f>
        <v/>
      </c>
      <c r="H456" s="22">
        <f>1/(1+x_rc)^(H$5+2)</f>
        <v/>
      </c>
      <c r="I456" s="22">
        <f>1/(1+x_rc)^(I$5+2)</f>
        <v/>
      </c>
      <c r="J456" s="22">
        <f>1/(1+x_rc)^(J$5+2)</f>
        <v/>
      </c>
      <c r="K456" s="22">
        <f>1/(1+x_rc)^(K$5+2)</f>
        <v/>
      </c>
      <c r="L456" s="22">
        <f>1/(1+x_rc)^(L$5+2)</f>
        <v/>
      </c>
      <c r="M456" s="22">
        <f>1/(1+x_rc)^(M$5+2)</f>
        <v/>
      </c>
      <c r="N456" s="22">
        <f>1/(1+x_rc)^(N$5+2)</f>
        <v/>
      </c>
      <c r="O456" s="22">
        <f>1/(1+x_rc)^(O$5+2)</f>
        <v/>
      </c>
      <c r="P456" s="22">
        <f>1/(1+x_rc)^(P$5+2)</f>
        <v/>
      </c>
      <c r="Q456" s="22">
        <f>1/(1+x_rc)^(Q$5+2)</f>
        <v/>
      </c>
      <c r="R456" s="22">
        <f>1/(1+x_rc)^(R$5+2)</f>
        <v/>
      </c>
      <c r="S456" s="22">
        <f>1/(1+x_rc)^(S$5+2)</f>
        <v/>
      </c>
      <c r="T456" s="22">
        <f>1/(1+x_rc)^(T$5+2)</f>
        <v/>
      </c>
      <c r="U456" s="22">
        <f>1/(1+x_rc)^(U$5+2)</f>
        <v/>
      </c>
      <c r="V456" s="22">
        <f>1/(1+x_rc)^(V$5+2)</f>
        <v/>
      </c>
      <c r="W456" s="22">
        <f>1/(1+x_rc)^(W$5+2)</f>
        <v/>
      </c>
      <c r="X456" s="22">
        <f>1/(1+x_rc)^(X$5+2)</f>
        <v/>
      </c>
      <c r="Y456" s="22">
        <f>1/(1+x_rc)^(Y$5+2)</f>
        <v/>
      </c>
      <c r="Z456" s="22">
        <f>1/(1+x_rc)^(Z$5+2)</f>
        <v/>
      </c>
      <c r="AA456" s="22">
        <f>1/(1+x_rc)^(AA$5+2)</f>
        <v/>
      </c>
      <c r="AB456" s="22">
        <f>1/(1+x_rc)^(AB$5+2)</f>
        <v/>
      </c>
      <c r="AC456" s="22">
        <f>1/(1+x_rc)^(AC$5+2)</f>
        <v/>
      </c>
      <c r="AD456" s="22">
        <f>1/(1+x_rc)^(AD$5+2)</f>
        <v/>
      </c>
      <c r="AE456" s="22">
        <f>1/(1+x_rc)^(AE$5+2)</f>
        <v/>
      </c>
      <c r="AF456" s="22">
        <f>1/(1+x_rc)^(AF$5+2)</f>
        <v/>
      </c>
      <c r="AG456" s="22">
        <f>1/(1+x_rc)^(AG$5+2)</f>
        <v/>
      </c>
      <c r="AH456" s="22">
        <f>1/(1+x_rc)^(AH$5+2)</f>
        <v/>
      </c>
      <c r="AI456" s="22">
        <f>1/(1+x_rc)^(AI$5+2)</f>
        <v/>
      </c>
      <c r="AJ456" s="22">
        <f>1/(1+x_rc)^(AJ$5+2)</f>
        <v/>
      </c>
      <c r="AK456" s="22">
        <f>1/(1+x_rc)^(AK$5+2)</f>
        <v/>
      </c>
      <c r="AL456" s="22">
        <f>1/(1+x_rc)^(AL$5+2)</f>
        <v/>
      </c>
    </row>
    <row r="457">
      <c r="B457" s="7" t="inlineStr">
        <is>
          <t>Discount factor to 1 January 2027, merchant rate</t>
        </is>
      </c>
      <c r="D457" s="22">
        <f>1/(1+x_rm)^(D$5+2)</f>
        <v/>
      </c>
      <c r="E457" s="22">
        <f>1/(1+x_rm)^(E$5+2)</f>
        <v/>
      </c>
      <c r="F457" s="22">
        <f>1/(1+x_rm)^(F$5+2)</f>
        <v/>
      </c>
      <c r="G457" s="22">
        <f>1/(1+x_rm)^(G$5+2)</f>
        <v/>
      </c>
      <c r="H457" s="22">
        <f>1/(1+x_rm)^(H$5+2)</f>
        <v/>
      </c>
      <c r="I457" s="22">
        <f>1/(1+x_rm)^(I$5+2)</f>
        <v/>
      </c>
      <c r="J457" s="22">
        <f>1/(1+x_rm)^(J$5+2)</f>
        <v/>
      </c>
      <c r="K457" s="22">
        <f>1/(1+x_rm)^(K$5+2)</f>
        <v/>
      </c>
      <c r="L457" s="22">
        <f>1/(1+x_rm)^(L$5+2)</f>
        <v/>
      </c>
      <c r="M457" s="22">
        <f>1/(1+x_rm)^(M$5+2)</f>
        <v/>
      </c>
      <c r="N457" s="22">
        <f>1/(1+x_rm)^(N$5+2)</f>
        <v/>
      </c>
      <c r="O457" s="22">
        <f>1/(1+x_rm)^(O$5+2)</f>
        <v/>
      </c>
      <c r="P457" s="22">
        <f>1/(1+x_rm)^(P$5+2)</f>
        <v/>
      </c>
      <c r="Q457" s="22">
        <f>1/(1+x_rm)^(Q$5+2)</f>
        <v/>
      </c>
      <c r="R457" s="22">
        <f>1/(1+x_rm)^(R$5+2)</f>
        <v/>
      </c>
      <c r="S457" s="22">
        <f>1/(1+x_rm)^(S$5+2)</f>
        <v/>
      </c>
      <c r="T457" s="22">
        <f>1/(1+x_rm)^(T$5+2)</f>
        <v/>
      </c>
      <c r="U457" s="22">
        <f>1/(1+x_rm)^(U$5+2)</f>
        <v/>
      </c>
      <c r="V457" s="22">
        <f>1/(1+x_rm)^(V$5+2)</f>
        <v/>
      </c>
      <c r="W457" s="22">
        <f>1/(1+x_rm)^(W$5+2)</f>
        <v/>
      </c>
      <c r="X457" s="22">
        <f>1/(1+x_rm)^(X$5+2)</f>
        <v/>
      </c>
      <c r="Y457" s="22">
        <f>1/(1+x_rm)^(Y$5+2)</f>
        <v/>
      </c>
      <c r="Z457" s="22">
        <f>1/(1+x_rm)^(Z$5+2)</f>
        <v/>
      </c>
      <c r="AA457" s="22">
        <f>1/(1+x_rm)^(AA$5+2)</f>
        <v/>
      </c>
      <c r="AB457" s="22">
        <f>1/(1+x_rm)^(AB$5+2)</f>
        <v/>
      </c>
      <c r="AC457" s="22">
        <f>1/(1+x_rm)^(AC$5+2)</f>
        <v/>
      </c>
      <c r="AD457" s="22">
        <f>1/(1+x_rm)^(AD$5+2)</f>
        <v/>
      </c>
      <c r="AE457" s="22">
        <f>1/(1+x_rm)^(AE$5+2)</f>
        <v/>
      </c>
      <c r="AF457" s="22">
        <f>1/(1+x_rm)^(AF$5+2)</f>
        <v/>
      </c>
      <c r="AG457" s="22">
        <f>1/(1+x_rm)^(AG$5+2)</f>
        <v/>
      </c>
      <c r="AH457" s="22">
        <f>1/(1+x_rm)^(AH$5+2)</f>
        <v/>
      </c>
      <c r="AI457" s="22">
        <f>1/(1+x_rm)^(AI$5+2)</f>
        <v/>
      </c>
      <c r="AJ457" s="22">
        <f>1/(1+x_rm)^(AJ$5+2)</f>
        <v/>
      </c>
      <c r="AK457" s="22">
        <f>1/(1+x_rm)^(AK$5+2)</f>
        <v/>
      </c>
      <c r="AL457" s="22">
        <f>1/(1+x_rm)^(AL$5+2)</f>
        <v/>
      </c>
    </row>
    <row r="458">
      <c r="B458" s="7" t="inlineStr">
        <is>
          <t>Value on 1 January 2027 of the flows from 2028 (split rates) ($)</t>
        </is>
      </c>
      <c r="C458" s="25">
        <f>SUMPRODUCT($D$450:$AL$450,$D$456:$AL$456)+SUMPRODUCT($D$454:$AL$454,$D$456:$AL$456)-SUMPRODUCT($D$452:$AL$452,$D$456:$AL$456)-SUMPRODUCT($D$453:$AL$453,$D$456:$AL$456)+SUMPRODUCT($D$451:$AL$451,$D$457:$AL$457)-decom_end/(1+x_rc)^(life_years+1)</f>
        <v/>
      </c>
    </row>
    <row r="459">
      <c r="B459" s="14" t="inlineStr">
        <is>
          <t>Development value on 1 January 2027: value less the capital cost ($)</t>
        </is>
      </c>
      <c r="C459" s="26">
        <f>C458-C445/(1+x_rc)</f>
        <v/>
      </c>
    </row>
    <row r="460">
      <c r="B460" s="7" t="inlineStr">
        <is>
          <t>Highest premium Ashgrove can pay at NTP ($)</t>
        </is>
      </c>
      <c r="C460" s="25">
        <f>C459-reimb+reimb/(1+x_rc)</f>
        <v/>
      </c>
    </row>
    <row r="463">
      <c r="B463" s="6" t="inlineStr">
        <is>
          <t>Energy one percent lower, case U</t>
        </is>
      </c>
    </row>
    <row r="464">
      <c r="B464" s="7" t="inlineStr">
        <is>
          <t>Capital cost ($)</t>
        </is>
      </c>
      <c r="C464" s="25">
        <f>((x_module+x_tracker+x_bos)*mwdc*1000000+x_inverter*mwac*1000000+x_sub)*(1+contingency)+x_ic+owner</f>
        <v/>
      </c>
    </row>
    <row r="465">
      <c r="B465" s="7" t="inlineStr">
        <is>
          <t>ITC eligible basis ($)</t>
        </is>
      </c>
      <c r="C465" s="25">
        <f>((x_module+x_tracker+x_bos)*mwdc*1000000+x_inverter*mwac*1000000+x_sub)*(1+contingency)-gentie_share*x_sub</f>
        <v/>
      </c>
    </row>
    <row r="466">
      <c r="B466" s="7" t="inlineStr">
        <is>
          <t>ITC cash at the end of 2028, if elected ($)</t>
        </is>
      </c>
      <c r="C466" s="25">
        <f>IF(sw_credit="ITC",C465*(itc_rate+sw_bonus)*transfer_itc,0)</f>
        <v/>
      </c>
    </row>
    <row r="467">
      <c r="B467" s="7" t="inlineStr">
        <is>
          <t>Energy (MWh)</t>
        </is>
      </c>
      <c r="D467" s="23">
        <f>mwac*hours*cf_p50*Energy!D$7*x_scale*(1-sens_energy_pt)</f>
        <v/>
      </c>
      <c r="E467" s="23">
        <f>mwac*hours*cf_p50*Energy!E$7*x_scale*(1-sens_energy_pt)</f>
        <v/>
      </c>
      <c r="F467" s="23">
        <f>mwac*hours*cf_p50*Energy!F$7*x_scale*(1-sens_energy_pt)</f>
        <v/>
      </c>
      <c r="G467" s="23">
        <f>mwac*hours*cf_p50*Energy!G$7*x_scale*(1-sens_energy_pt)</f>
        <v/>
      </c>
      <c r="H467" s="23">
        <f>mwac*hours*cf_p50*Energy!H$7*x_scale*(1-sens_energy_pt)</f>
        <v/>
      </c>
      <c r="I467" s="23">
        <f>mwac*hours*cf_p50*Energy!I$7*x_scale*(1-sens_energy_pt)</f>
        <v/>
      </c>
      <c r="J467" s="23">
        <f>mwac*hours*cf_p50*Energy!J$7*x_scale*(1-sens_energy_pt)</f>
        <v/>
      </c>
      <c r="K467" s="23">
        <f>mwac*hours*cf_p50*Energy!K$7*x_scale*(1-sens_energy_pt)</f>
        <v/>
      </c>
      <c r="L467" s="23">
        <f>mwac*hours*cf_p50*Energy!L$7*x_scale*(1-sens_energy_pt)</f>
        <v/>
      </c>
      <c r="M467" s="23">
        <f>mwac*hours*cf_p50*Energy!M$7*x_scale*(1-sens_energy_pt)</f>
        <v/>
      </c>
      <c r="N467" s="23">
        <f>mwac*hours*cf_p50*Energy!N$7*x_scale*(1-sens_energy_pt)</f>
        <v/>
      </c>
      <c r="O467" s="23">
        <f>mwac*hours*cf_p50*Energy!O$7*x_scale*(1-sens_energy_pt)</f>
        <v/>
      </c>
      <c r="P467" s="23">
        <f>mwac*hours*cf_p50*Energy!P$7*x_scale*(1-sens_energy_pt)</f>
        <v/>
      </c>
      <c r="Q467" s="23">
        <f>mwac*hours*cf_p50*Energy!Q$7*x_scale*(1-sens_energy_pt)</f>
        <v/>
      </c>
      <c r="R467" s="23">
        <f>mwac*hours*cf_p50*Energy!R$7*x_scale*(1-sens_energy_pt)</f>
        <v/>
      </c>
      <c r="S467" s="23">
        <f>mwac*hours*cf_p50*Energy!S$7*x_scale*(1-sens_energy_pt)</f>
        <v/>
      </c>
      <c r="T467" s="23">
        <f>mwac*hours*cf_p50*Energy!T$7*x_scale*(1-sens_energy_pt)</f>
        <v/>
      </c>
      <c r="U467" s="23">
        <f>mwac*hours*cf_p50*Energy!U$7*x_scale*(1-sens_energy_pt)</f>
        <v/>
      </c>
      <c r="V467" s="23">
        <f>mwac*hours*cf_p50*Energy!V$7*x_scale*(1-sens_energy_pt)</f>
        <v/>
      </c>
      <c r="W467" s="23">
        <f>mwac*hours*cf_p50*Energy!W$7*x_scale*(1-sens_energy_pt)</f>
        <v/>
      </c>
      <c r="X467" s="23">
        <f>mwac*hours*cf_p50*Energy!X$7*x_scale*(1-sens_energy_pt)</f>
        <v/>
      </c>
      <c r="Y467" s="23">
        <f>mwac*hours*cf_p50*Energy!Y$7*x_scale*(1-sens_energy_pt)</f>
        <v/>
      </c>
      <c r="Z467" s="23">
        <f>mwac*hours*cf_p50*Energy!Z$7*x_scale*(1-sens_energy_pt)</f>
        <v/>
      </c>
      <c r="AA467" s="23">
        <f>mwac*hours*cf_p50*Energy!AA$7*x_scale*(1-sens_energy_pt)</f>
        <v/>
      </c>
      <c r="AB467" s="23">
        <f>mwac*hours*cf_p50*Energy!AB$7*x_scale*(1-sens_energy_pt)</f>
        <v/>
      </c>
      <c r="AC467" s="23">
        <f>mwac*hours*cf_p50*Energy!AC$7*x_scale*(1-sens_energy_pt)</f>
        <v/>
      </c>
      <c r="AD467" s="23">
        <f>mwac*hours*cf_p50*Energy!AD$7*x_scale*(1-sens_energy_pt)</f>
        <v/>
      </c>
      <c r="AE467" s="23">
        <f>mwac*hours*cf_p50*Energy!AE$7*x_scale*(1-sens_energy_pt)</f>
        <v/>
      </c>
      <c r="AF467" s="23">
        <f>mwac*hours*cf_p50*Energy!AF$7*x_scale*(1-sens_energy_pt)</f>
        <v/>
      </c>
      <c r="AG467" s="23">
        <f>mwac*hours*cf_p50*Energy!AG$7*x_scale*(1-sens_energy_pt)</f>
        <v/>
      </c>
      <c r="AH467" s="23">
        <f>mwac*hours*cf_p50*Energy!AH$7*x_scale*(1-sens_energy_pt)</f>
        <v/>
      </c>
      <c r="AI467" s="23">
        <f>mwac*hours*cf_p50*Energy!AI$7*x_scale*(1-sens_energy_pt)</f>
        <v/>
      </c>
      <c r="AJ467" s="23">
        <f>mwac*hours*cf_p50*Energy!AJ$7*x_scale*(1-sens_energy_pt)</f>
        <v/>
      </c>
      <c r="AK467" s="23">
        <f>mwac*hours*cf_p50*Energy!AK$7*x_scale*(1-sens_energy_pt)</f>
        <v/>
      </c>
      <c r="AL467" s="23">
        <f>mwac*hours*cf_p50*Energy!AL$7*x_scale*(1-sens_energy_pt)</f>
        <v/>
      </c>
    </row>
    <row r="468">
      <c r="B468" s="7" t="inlineStr">
        <is>
          <t>Node price, hub switch applied ($/MWh)</t>
        </is>
      </c>
      <c r="D468" s="32">
        <f>Market!D$7*(1+sw_hub)*Market!D$8+Market!D$10</f>
        <v/>
      </c>
      <c r="E468" s="32">
        <f>Market!E$7*(1+sw_hub)*Market!E$8+Market!E$10</f>
        <v/>
      </c>
      <c r="F468" s="32">
        <f>Market!F$7*(1+sw_hub)*Market!F$8+Market!F$10</f>
        <v/>
      </c>
      <c r="G468" s="32">
        <f>Market!G$7*(1+sw_hub)*Market!G$8+Market!G$10</f>
        <v/>
      </c>
      <c r="H468" s="32">
        <f>Market!H$7*(1+sw_hub)*Market!H$8+Market!H$10</f>
        <v/>
      </c>
      <c r="I468" s="32">
        <f>Market!I$7*(1+sw_hub)*Market!I$8+Market!I$10</f>
        <v/>
      </c>
      <c r="J468" s="32">
        <f>Market!J$7*(1+sw_hub)*Market!J$8+Market!J$10</f>
        <v/>
      </c>
      <c r="K468" s="32">
        <f>Market!K$7*(1+sw_hub)*Market!K$8+Market!K$10</f>
        <v/>
      </c>
      <c r="L468" s="32">
        <f>Market!L$7*(1+sw_hub)*Market!L$8+Market!L$10</f>
        <v/>
      </c>
      <c r="M468" s="32">
        <f>Market!M$7*(1+sw_hub)*Market!M$8+Market!M$10</f>
        <v/>
      </c>
      <c r="N468" s="32">
        <f>Market!N$7*(1+sw_hub)*Market!N$8+Market!N$10</f>
        <v/>
      </c>
      <c r="O468" s="32">
        <f>Market!O$7*(1+sw_hub)*Market!O$8+Market!O$10</f>
        <v/>
      </c>
      <c r="P468" s="32">
        <f>Market!P$7*(1+sw_hub)*Market!P$8+Market!P$10</f>
        <v/>
      </c>
      <c r="Q468" s="32">
        <f>Market!Q$7*(1+sw_hub)*Market!Q$8+Market!Q$10</f>
        <v/>
      </c>
      <c r="R468" s="32">
        <f>Market!R$7*(1+sw_hub)*Market!R$8+Market!R$10</f>
        <v/>
      </c>
      <c r="S468" s="32">
        <f>Market!S$7*(1+sw_hub)*Market!S$8+Market!S$10</f>
        <v/>
      </c>
      <c r="T468" s="32">
        <f>Market!T$7*(1+sw_hub)*Market!T$8+Market!T$10</f>
        <v/>
      </c>
      <c r="U468" s="32">
        <f>Market!U$7*(1+sw_hub)*Market!U$8+Market!U$10</f>
        <v/>
      </c>
      <c r="V468" s="32">
        <f>Market!V$7*(1+sw_hub)*Market!V$8+Market!V$10</f>
        <v/>
      </c>
      <c r="W468" s="32">
        <f>Market!W$7*(1+sw_hub)*Market!W$8+Market!W$10</f>
        <v/>
      </c>
      <c r="X468" s="32">
        <f>Market!X$7*(1+sw_hub)*Market!X$8+Market!X$10</f>
        <v/>
      </c>
      <c r="Y468" s="32">
        <f>Market!Y$7*(1+sw_hub)*Market!Y$8+Market!Y$10</f>
        <v/>
      </c>
      <c r="Z468" s="32">
        <f>Market!Z$7*(1+sw_hub)*Market!Z$8+Market!Z$10</f>
        <v/>
      </c>
      <c r="AA468" s="32">
        <f>Market!AA$7*(1+sw_hub)*Market!AA$8+Market!AA$10</f>
        <v/>
      </c>
      <c r="AB468" s="32">
        <f>Market!AB$7*(1+sw_hub)*Market!AB$8+Market!AB$10</f>
        <v/>
      </c>
      <c r="AC468" s="32">
        <f>Market!AC$7*(1+sw_hub)*Market!AC$8+Market!AC$10</f>
        <v/>
      </c>
      <c r="AD468" s="32">
        <f>Market!AD$7*(1+sw_hub)*Market!AD$8+Market!AD$10</f>
        <v/>
      </c>
      <c r="AE468" s="32">
        <f>Market!AE$7*(1+sw_hub)*Market!AE$8+Market!AE$10</f>
        <v/>
      </c>
      <c r="AF468" s="32">
        <f>Market!AF$7*(1+sw_hub)*Market!AF$8+Market!AF$10</f>
        <v/>
      </c>
      <c r="AG468" s="32">
        <f>Market!AG$7*(1+sw_hub)*Market!AG$8+Market!AG$10</f>
        <v/>
      </c>
      <c r="AH468" s="32">
        <f>Market!AH$7*(1+sw_hub)*Market!AH$8+Market!AH$10</f>
        <v/>
      </c>
      <c r="AI468" s="32">
        <f>Market!AI$7*(1+sw_hub)*Market!AI$8+Market!AI$10</f>
        <v/>
      </c>
      <c r="AJ468" s="32">
        <f>Market!AJ$7*(1+sw_hub)*Market!AJ$8+Market!AJ$10</f>
        <v/>
      </c>
      <c r="AK468" s="32">
        <f>Market!AK$7*(1+sw_hub)*Market!AK$8+Market!AK$10</f>
        <v/>
      </c>
      <c r="AL468" s="32">
        <f>Market!AL$7*(1+sw_hub)*Market!AL$8+Market!AL$10</f>
        <v/>
      </c>
    </row>
    <row r="469">
      <c r="B469" s="7" t="inlineStr">
        <is>
          <t>Contracted revenue ($)</t>
        </is>
      </c>
      <c r="D469" s="25">
        <f>IF(D$5&lt;u_years,D467*u_price*(1+u_esc)^D$5,0)</f>
        <v/>
      </c>
      <c r="E469" s="25">
        <f>IF(E$5&lt;u_years,E467*u_price*(1+u_esc)^E$5,0)</f>
        <v/>
      </c>
      <c r="F469" s="25">
        <f>IF(F$5&lt;u_years,F467*u_price*(1+u_esc)^F$5,0)</f>
        <v/>
      </c>
      <c r="G469" s="25">
        <f>IF(G$5&lt;u_years,G467*u_price*(1+u_esc)^G$5,0)</f>
        <v/>
      </c>
      <c r="H469" s="25">
        <f>IF(H$5&lt;u_years,H467*u_price*(1+u_esc)^H$5,0)</f>
        <v/>
      </c>
      <c r="I469" s="25">
        <f>IF(I$5&lt;u_years,I467*u_price*(1+u_esc)^I$5,0)</f>
        <v/>
      </c>
      <c r="J469" s="25">
        <f>IF(J$5&lt;u_years,J467*u_price*(1+u_esc)^J$5,0)</f>
        <v/>
      </c>
      <c r="K469" s="25">
        <f>IF(K$5&lt;u_years,K467*u_price*(1+u_esc)^K$5,0)</f>
        <v/>
      </c>
      <c r="L469" s="25">
        <f>IF(L$5&lt;u_years,L467*u_price*(1+u_esc)^L$5,0)</f>
        <v/>
      </c>
      <c r="M469" s="25">
        <f>IF(M$5&lt;u_years,M467*u_price*(1+u_esc)^M$5,0)</f>
        <v/>
      </c>
      <c r="N469" s="25">
        <f>IF(N$5&lt;u_years,N467*u_price*(1+u_esc)^N$5,0)</f>
        <v/>
      </c>
      <c r="O469" s="25">
        <f>IF(O$5&lt;u_years,O467*u_price*(1+u_esc)^O$5,0)</f>
        <v/>
      </c>
      <c r="P469" s="25">
        <f>IF(P$5&lt;u_years,P467*u_price*(1+u_esc)^P$5,0)</f>
        <v/>
      </c>
      <c r="Q469" s="25">
        <f>IF(Q$5&lt;u_years,Q467*u_price*(1+u_esc)^Q$5,0)</f>
        <v/>
      </c>
      <c r="R469" s="25">
        <f>IF(R$5&lt;u_years,R467*u_price*(1+u_esc)^R$5,0)</f>
        <v/>
      </c>
      <c r="S469" s="25">
        <f>IF(S$5&lt;u_years,S467*u_price*(1+u_esc)^S$5,0)</f>
        <v/>
      </c>
      <c r="T469" s="25">
        <f>IF(T$5&lt;u_years,T467*u_price*(1+u_esc)^T$5,0)</f>
        <v/>
      </c>
      <c r="U469" s="25">
        <f>IF(U$5&lt;u_years,U467*u_price*(1+u_esc)^U$5,0)</f>
        <v/>
      </c>
      <c r="V469" s="25">
        <f>IF(V$5&lt;u_years,V467*u_price*(1+u_esc)^V$5,0)</f>
        <v/>
      </c>
      <c r="W469" s="25">
        <f>IF(W$5&lt;u_years,W467*u_price*(1+u_esc)^W$5,0)</f>
        <v/>
      </c>
      <c r="X469" s="25">
        <f>IF(X$5&lt;u_years,X467*u_price*(1+u_esc)^X$5,0)</f>
        <v/>
      </c>
      <c r="Y469" s="25">
        <f>IF(Y$5&lt;u_years,Y467*u_price*(1+u_esc)^Y$5,0)</f>
        <v/>
      </c>
      <c r="Z469" s="25">
        <f>IF(Z$5&lt;u_years,Z467*u_price*(1+u_esc)^Z$5,0)</f>
        <v/>
      </c>
      <c r="AA469" s="25">
        <f>IF(AA$5&lt;u_years,AA467*u_price*(1+u_esc)^AA$5,0)</f>
        <v/>
      </c>
      <c r="AB469" s="25">
        <f>IF(AB$5&lt;u_years,AB467*u_price*(1+u_esc)^AB$5,0)</f>
        <v/>
      </c>
      <c r="AC469" s="25">
        <f>IF(AC$5&lt;u_years,AC467*u_price*(1+u_esc)^AC$5,0)</f>
        <v/>
      </c>
      <c r="AD469" s="25">
        <f>IF(AD$5&lt;u_years,AD467*u_price*(1+u_esc)^AD$5,0)</f>
        <v/>
      </c>
      <c r="AE469" s="25">
        <f>IF(AE$5&lt;u_years,AE467*u_price*(1+u_esc)^AE$5,0)</f>
        <v/>
      </c>
      <c r="AF469" s="25">
        <f>IF(AF$5&lt;u_years,AF467*u_price*(1+u_esc)^AF$5,0)</f>
        <v/>
      </c>
      <c r="AG469" s="25">
        <f>IF(AG$5&lt;u_years,AG467*u_price*(1+u_esc)^AG$5,0)</f>
        <v/>
      </c>
      <c r="AH469" s="25">
        <f>IF(AH$5&lt;u_years,AH467*u_price*(1+u_esc)^AH$5,0)</f>
        <v/>
      </c>
      <c r="AI469" s="25">
        <f>IF(AI$5&lt;u_years,AI467*u_price*(1+u_esc)^AI$5,0)</f>
        <v/>
      </c>
      <c r="AJ469" s="25">
        <f>IF(AJ$5&lt;u_years,AJ467*u_price*(1+u_esc)^AJ$5,0)</f>
        <v/>
      </c>
      <c r="AK469" s="25">
        <f>IF(AK$5&lt;u_years,AK467*u_price*(1+u_esc)^AK$5,0)</f>
        <v/>
      </c>
      <c r="AL469" s="25">
        <f>IF(AL$5&lt;u_years,AL467*u_price*(1+u_esc)^AL$5,0)</f>
        <v/>
      </c>
    </row>
    <row r="470">
      <c r="B470" s="7" t="inlineStr">
        <is>
          <t>Merchant revenue ($)</t>
        </is>
      </c>
      <c r="D470" s="25">
        <f>IF(D$5&lt;u_years,0,D467*(D468+rec_price)+Market!D$13)</f>
        <v/>
      </c>
      <c r="E470" s="25">
        <f>IF(E$5&lt;u_years,0,E467*(E468+rec_price)+Market!E$13)</f>
        <v/>
      </c>
      <c r="F470" s="25">
        <f>IF(F$5&lt;u_years,0,F467*(F468+rec_price)+Market!F$13)</f>
        <v/>
      </c>
      <c r="G470" s="25">
        <f>IF(G$5&lt;u_years,0,G467*(G468+rec_price)+Market!G$13)</f>
        <v/>
      </c>
      <c r="H470" s="25">
        <f>IF(H$5&lt;u_years,0,H467*(H468+rec_price)+Market!H$13)</f>
        <v/>
      </c>
      <c r="I470" s="25">
        <f>IF(I$5&lt;u_years,0,I467*(I468+rec_price)+Market!I$13)</f>
        <v/>
      </c>
      <c r="J470" s="25">
        <f>IF(J$5&lt;u_years,0,J467*(J468+rec_price)+Market!J$13)</f>
        <v/>
      </c>
      <c r="K470" s="25">
        <f>IF(K$5&lt;u_years,0,K467*(K468+rec_price)+Market!K$13)</f>
        <v/>
      </c>
      <c r="L470" s="25">
        <f>IF(L$5&lt;u_years,0,L467*(L468+rec_price)+Market!L$13)</f>
        <v/>
      </c>
      <c r="M470" s="25">
        <f>IF(M$5&lt;u_years,0,M467*(M468+rec_price)+Market!M$13)</f>
        <v/>
      </c>
      <c r="N470" s="25">
        <f>IF(N$5&lt;u_years,0,N467*(N468+rec_price)+Market!N$13)</f>
        <v/>
      </c>
      <c r="O470" s="25">
        <f>IF(O$5&lt;u_years,0,O467*(O468+rec_price)+Market!O$13)</f>
        <v/>
      </c>
      <c r="P470" s="25">
        <f>IF(P$5&lt;u_years,0,P467*(P468+rec_price)+Market!P$13)</f>
        <v/>
      </c>
      <c r="Q470" s="25">
        <f>IF(Q$5&lt;u_years,0,Q467*(Q468+rec_price)+Market!Q$13)</f>
        <v/>
      </c>
      <c r="R470" s="25">
        <f>IF(R$5&lt;u_years,0,R467*(R468+rec_price)+Market!R$13)</f>
        <v/>
      </c>
      <c r="S470" s="25">
        <f>IF(S$5&lt;u_years,0,S467*(S468+rec_price)+Market!S$13)</f>
        <v/>
      </c>
      <c r="T470" s="25">
        <f>IF(T$5&lt;u_years,0,T467*(T468+rec_price)+Market!T$13)</f>
        <v/>
      </c>
      <c r="U470" s="25">
        <f>IF(U$5&lt;u_years,0,U467*(U468+rec_price)+Market!U$13)</f>
        <v/>
      </c>
      <c r="V470" s="25">
        <f>IF(V$5&lt;u_years,0,V467*(V468+rec_price)+Market!V$13)</f>
        <v/>
      </c>
      <c r="W470" s="25">
        <f>IF(W$5&lt;u_years,0,W467*(W468+rec_price)+Market!W$13)</f>
        <v/>
      </c>
      <c r="X470" s="25">
        <f>IF(X$5&lt;u_years,0,X467*(X468+rec_price)+Market!X$13)</f>
        <v/>
      </c>
      <c r="Y470" s="25">
        <f>IF(Y$5&lt;u_years,0,Y467*(Y468+rec_price)+Market!Y$13)</f>
        <v/>
      </c>
      <c r="Z470" s="25">
        <f>IF(Z$5&lt;u_years,0,Z467*(Z468+rec_price)+Market!Z$13)</f>
        <v/>
      </c>
      <c r="AA470" s="25">
        <f>IF(AA$5&lt;u_years,0,AA467*(AA468+rec_price)+Market!AA$13)</f>
        <v/>
      </c>
      <c r="AB470" s="25">
        <f>IF(AB$5&lt;u_years,0,AB467*(AB468+rec_price)+Market!AB$13)</f>
        <v/>
      </c>
      <c r="AC470" s="25">
        <f>IF(AC$5&lt;u_years,0,AC467*(AC468+rec_price)+Market!AC$13)</f>
        <v/>
      </c>
      <c r="AD470" s="25">
        <f>IF(AD$5&lt;u_years,0,AD467*(AD468+rec_price)+Market!AD$13)</f>
        <v/>
      </c>
      <c r="AE470" s="25">
        <f>IF(AE$5&lt;u_years,0,AE467*(AE468+rec_price)+Market!AE$13)</f>
        <v/>
      </c>
      <c r="AF470" s="25">
        <f>IF(AF$5&lt;u_years,0,AF467*(AF468+rec_price)+Market!AF$13)</f>
        <v/>
      </c>
      <c r="AG470" s="25">
        <f>IF(AG$5&lt;u_years,0,AG467*(AG468+rec_price)+Market!AG$13)</f>
        <v/>
      </c>
      <c r="AH470" s="25">
        <f>IF(AH$5&lt;u_years,0,AH467*(AH468+rec_price)+Market!AH$13)</f>
        <v/>
      </c>
      <c r="AI470" s="25">
        <f>IF(AI$5&lt;u_years,0,AI467*(AI468+rec_price)+Market!AI$13)</f>
        <v/>
      </c>
      <c r="AJ470" s="25">
        <f>IF(AJ$5&lt;u_years,0,AJ467*(AJ468+rec_price)+Market!AJ$13)</f>
        <v/>
      </c>
      <c r="AK470" s="25">
        <f>IF(AK$5&lt;u_years,0,AK467*(AK468+rec_price)+Market!AK$13)</f>
        <v/>
      </c>
      <c r="AL470" s="25">
        <f>IF(AL$5&lt;u_years,0,AL467*(AL468+rec_price)+Market!AL$13)</f>
        <v/>
      </c>
    </row>
    <row r="471">
      <c r="B471" s="7" t="inlineStr">
        <is>
          <t>Basis cost kept by the project ($)</t>
        </is>
      </c>
      <c r="D471" s="25" t="n">
        <v>0</v>
      </c>
      <c r="E471" s="25" t="n">
        <v>0</v>
      </c>
      <c r="F471" s="25" t="n">
        <v>0</v>
      </c>
      <c r="G471" s="25" t="n">
        <v>0</v>
      </c>
      <c r="H471" s="25" t="n">
        <v>0</v>
      </c>
      <c r="I471" s="25" t="n">
        <v>0</v>
      </c>
      <c r="J471" s="25" t="n">
        <v>0</v>
      </c>
      <c r="K471" s="25" t="n">
        <v>0</v>
      </c>
      <c r="L471" s="25" t="n">
        <v>0</v>
      </c>
      <c r="M471" s="25" t="n">
        <v>0</v>
      </c>
      <c r="N471" s="25" t="n">
        <v>0</v>
      </c>
      <c r="O471" s="25" t="n">
        <v>0</v>
      </c>
      <c r="P471" s="25" t="n">
        <v>0</v>
      </c>
      <c r="Q471" s="25" t="n">
        <v>0</v>
      </c>
      <c r="R471" s="25" t="n">
        <v>0</v>
      </c>
      <c r="S471" s="25" t="n">
        <v>0</v>
      </c>
      <c r="T471" s="25" t="n">
        <v>0</v>
      </c>
      <c r="U471" s="25" t="n">
        <v>0</v>
      </c>
      <c r="V471" s="25" t="n">
        <v>0</v>
      </c>
      <c r="W471" s="25" t="n">
        <v>0</v>
      </c>
      <c r="X471" s="25" t="n">
        <v>0</v>
      </c>
      <c r="Y471" s="25" t="n">
        <v>0</v>
      </c>
      <c r="Z471" s="25" t="n">
        <v>0</v>
      </c>
      <c r="AA471" s="25" t="n">
        <v>0</v>
      </c>
      <c r="AB471" s="25" t="n">
        <v>0</v>
      </c>
      <c r="AC471" s="25" t="n">
        <v>0</v>
      </c>
      <c r="AD471" s="25" t="n">
        <v>0</v>
      </c>
      <c r="AE471" s="25" t="n">
        <v>0</v>
      </c>
      <c r="AF471" s="25" t="n">
        <v>0</v>
      </c>
      <c r="AG471" s="25" t="n">
        <v>0</v>
      </c>
      <c r="AH471" s="25" t="n">
        <v>0</v>
      </c>
      <c r="AI471" s="25" t="n">
        <v>0</v>
      </c>
      <c r="AJ471" s="25" t="n">
        <v>0</v>
      </c>
      <c r="AK471" s="25" t="n">
        <v>0</v>
      </c>
      <c r="AL471" s="25" t="n">
        <v>0</v>
      </c>
    </row>
    <row r="472">
      <c r="B472" s="7" t="inlineStr">
        <is>
          <t>Operating cost ($)</t>
        </is>
      </c>
      <c r="D472" s="25">
        <f>(om_kw*mwac*1000+ins_rate*$C$464+am_cost+prop_tax+misc_cost)*Opex!D$7+rent_acre*acres_lease*Opex!D$8</f>
        <v/>
      </c>
      <c r="E472" s="25">
        <f>(om_kw*mwac*1000+ins_rate*$C$464+am_cost+prop_tax+misc_cost)*Opex!E$7+rent_acre*acres_lease*Opex!E$8</f>
        <v/>
      </c>
      <c r="F472" s="25">
        <f>(om_kw*mwac*1000+ins_rate*$C$464+am_cost+prop_tax+misc_cost)*Opex!F$7+rent_acre*acres_lease*Opex!F$8</f>
        <v/>
      </c>
      <c r="G472" s="25">
        <f>(om_kw*mwac*1000+ins_rate*$C$464+am_cost+prop_tax+misc_cost)*Opex!G$7+rent_acre*acres_lease*Opex!G$8</f>
        <v/>
      </c>
      <c r="H472" s="25">
        <f>(om_kw*mwac*1000+ins_rate*$C$464+am_cost+prop_tax+misc_cost)*Opex!H$7+rent_acre*acres_lease*Opex!H$8</f>
        <v/>
      </c>
      <c r="I472" s="25">
        <f>(om_kw*mwac*1000+ins_rate*$C$464+am_cost+prop_tax+misc_cost)*Opex!I$7+rent_acre*acres_lease*Opex!I$8</f>
        <v/>
      </c>
      <c r="J472" s="25">
        <f>(om_kw*mwac*1000+ins_rate*$C$464+am_cost+prop_tax+misc_cost)*Opex!J$7+rent_acre*acres_lease*Opex!J$8</f>
        <v/>
      </c>
      <c r="K472" s="25">
        <f>(om_kw*mwac*1000+ins_rate*$C$464+am_cost+prop_tax+misc_cost)*Opex!K$7+rent_acre*acres_lease*Opex!K$8</f>
        <v/>
      </c>
      <c r="L472" s="25">
        <f>(om_kw*mwac*1000+ins_rate*$C$464+am_cost+prop_tax+misc_cost)*Opex!L$7+rent_acre*acres_lease*Opex!L$8</f>
        <v/>
      </c>
      <c r="M472" s="25">
        <f>(om_kw*mwac*1000+ins_rate*$C$464+am_cost+prop_tax+misc_cost)*Opex!M$7+rent_acre*acres_lease*Opex!M$8</f>
        <v/>
      </c>
      <c r="N472" s="25">
        <f>(om_kw*mwac*1000+ins_rate*$C$464+am_cost+prop_tax+misc_cost)*Opex!N$7+rent_acre*acres_lease*Opex!N$8</f>
        <v/>
      </c>
      <c r="O472" s="25">
        <f>(om_kw*mwac*1000+ins_rate*$C$464+am_cost+prop_tax+misc_cost)*Opex!O$7+rent_acre*acres_lease*Opex!O$8</f>
        <v/>
      </c>
      <c r="P472" s="25">
        <f>(om_kw*mwac*1000+ins_rate*$C$464+am_cost+prop_tax+misc_cost)*Opex!P$7+rent_acre*acres_lease*Opex!P$8</f>
        <v/>
      </c>
      <c r="Q472" s="25">
        <f>(om_kw*mwac*1000+ins_rate*$C$464+am_cost+prop_tax+misc_cost)*Opex!Q$7+rent_acre*acres_lease*Opex!Q$8</f>
        <v/>
      </c>
      <c r="R472" s="25">
        <f>(om_kw*mwac*1000+ins_rate*$C$464+am_cost+prop_tax+misc_cost)*Opex!R$7+rent_acre*acres_lease*Opex!R$8</f>
        <v/>
      </c>
      <c r="S472" s="25">
        <f>(om_kw*mwac*1000+ins_rate*$C$464+am_cost+prop_tax+misc_cost)*Opex!S$7+rent_acre*acres_lease*Opex!S$8</f>
        <v/>
      </c>
      <c r="T472" s="25">
        <f>(om_kw*mwac*1000+ins_rate*$C$464+am_cost+prop_tax+misc_cost)*Opex!T$7+rent_acre*acres_lease*Opex!T$8</f>
        <v/>
      </c>
      <c r="U472" s="25">
        <f>(om_kw*mwac*1000+ins_rate*$C$464+am_cost+prop_tax+misc_cost)*Opex!U$7+rent_acre*acres_lease*Opex!U$8</f>
        <v/>
      </c>
      <c r="V472" s="25">
        <f>(om_kw*mwac*1000+ins_rate*$C$464+am_cost+prop_tax+misc_cost)*Opex!V$7+rent_acre*acres_lease*Opex!V$8</f>
        <v/>
      </c>
      <c r="W472" s="25">
        <f>(om_kw*mwac*1000+ins_rate*$C$464+am_cost+prop_tax+misc_cost)*Opex!W$7+rent_acre*acres_lease*Opex!W$8</f>
        <v/>
      </c>
      <c r="X472" s="25">
        <f>(om_kw*mwac*1000+ins_rate*$C$464+am_cost+prop_tax+misc_cost)*Opex!X$7+rent_acre*acres_lease*Opex!X$8</f>
        <v/>
      </c>
      <c r="Y472" s="25">
        <f>(om_kw*mwac*1000+ins_rate*$C$464+am_cost+prop_tax+misc_cost)*Opex!Y$7+rent_acre*acres_lease*Opex!Y$8</f>
        <v/>
      </c>
      <c r="Z472" s="25">
        <f>(om_kw*mwac*1000+ins_rate*$C$464+am_cost+prop_tax+misc_cost)*Opex!Z$7+rent_acre*acres_lease*Opex!Z$8</f>
        <v/>
      </c>
      <c r="AA472" s="25">
        <f>(om_kw*mwac*1000+ins_rate*$C$464+am_cost+prop_tax+misc_cost)*Opex!AA$7+rent_acre*acres_lease*Opex!AA$8</f>
        <v/>
      </c>
      <c r="AB472" s="25">
        <f>(om_kw*mwac*1000+ins_rate*$C$464+am_cost+prop_tax+misc_cost)*Opex!AB$7+rent_acre*acres_lease*Opex!AB$8</f>
        <v/>
      </c>
      <c r="AC472" s="25">
        <f>(om_kw*mwac*1000+ins_rate*$C$464+am_cost+prop_tax+misc_cost)*Opex!AC$7+rent_acre*acres_lease*Opex!AC$8</f>
        <v/>
      </c>
      <c r="AD472" s="25">
        <f>(om_kw*mwac*1000+ins_rate*$C$464+am_cost+prop_tax+misc_cost)*Opex!AD$7+rent_acre*acres_lease*Opex!AD$8</f>
        <v/>
      </c>
      <c r="AE472" s="25">
        <f>(om_kw*mwac*1000+ins_rate*$C$464+am_cost+prop_tax+misc_cost)*Opex!AE$7+rent_acre*acres_lease*Opex!AE$8</f>
        <v/>
      </c>
      <c r="AF472" s="25">
        <f>(om_kw*mwac*1000+ins_rate*$C$464+am_cost+prop_tax+misc_cost)*Opex!AF$7+rent_acre*acres_lease*Opex!AF$8</f>
        <v/>
      </c>
      <c r="AG472" s="25">
        <f>(om_kw*mwac*1000+ins_rate*$C$464+am_cost+prop_tax+misc_cost)*Opex!AG$7+rent_acre*acres_lease*Opex!AG$8</f>
        <v/>
      </c>
      <c r="AH472" s="25">
        <f>(om_kw*mwac*1000+ins_rate*$C$464+am_cost+prop_tax+misc_cost)*Opex!AH$7+rent_acre*acres_lease*Opex!AH$8</f>
        <v/>
      </c>
      <c r="AI472" s="25">
        <f>(om_kw*mwac*1000+ins_rate*$C$464+am_cost+prop_tax+misc_cost)*Opex!AI$7+rent_acre*acres_lease*Opex!AI$8</f>
        <v/>
      </c>
      <c r="AJ472" s="25">
        <f>(om_kw*mwac*1000+ins_rate*$C$464+am_cost+prop_tax+misc_cost)*Opex!AJ$7+rent_acre*acres_lease*Opex!AJ$8</f>
        <v/>
      </c>
      <c r="AK472" s="25">
        <f>(om_kw*mwac*1000+ins_rate*$C$464+am_cost+prop_tax+misc_cost)*Opex!AK$7+rent_acre*acres_lease*Opex!AK$8</f>
        <v/>
      </c>
      <c r="AL472" s="25">
        <f>(om_kw*mwac*1000+ins_rate*$C$464+am_cost+prop_tax+misc_cost)*Opex!AL$7+rent_acre*acres_lease*Opex!AL$8</f>
        <v/>
      </c>
    </row>
    <row r="473">
      <c r="B473" s="7" t="inlineStr">
        <is>
          <t>Credit cash ($)</t>
        </is>
      </c>
      <c r="D473" s="25">
        <f>IF(sw_credit="PTC",IF(D$5&lt;ptc_years,D467*Credits!D$8*(1+sw_bonus)*transfer_ptc,0),0)+IF(D$5=0,$C$466,0)</f>
        <v/>
      </c>
      <c r="E473" s="25">
        <f>IF(sw_credit="PTC",IF(E$5&lt;ptc_years,E467*Credits!E$8*(1+sw_bonus)*transfer_ptc,0),0)+IF(E$5=0,$C$466,0)</f>
        <v/>
      </c>
      <c r="F473" s="25">
        <f>IF(sw_credit="PTC",IF(F$5&lt;ptc_years,F467*Credits!F$8*(1+sw_bonus)*transfer_ptc,0),0)+IF(F$5=0,$C$466,0)</f>
        <v/>
      </c>
      <c r="G473" s="25">
        <f>IF(sw_credit="PTC",IF(G$5&lt;ptc_years,G467*Credits!G$8*(1+sw_bonus)*transfer_ptc,0),0)+IF(G$5=0,$C$466,0)</f>
        <v/>
      </c>
      <c r="H473" s="25">
        <f>IF(sw_credit="PTC",IF(H$5&lt;ptc_years,H467*Credits!H$8*(1+sw_bonus)*transfer_ptc,0),0)+IF(H$5=0,$C$466,0)</f>
        <v/>
      </c>
      <c r="I473" s="25">
        <f>IF(sw_credit="PTC",IF(I$5&lt;ptc_years,I467*Credits!I$8*(1+sw_bonus)*transfer_ptc,0),0)+IF(I$5=0,$C$466,0)</f>
        <v/>
      </c>
      <c r="J473" s="25">
        <f>IF(sw_credit="PTC",IF(J$5&lt;ptc_years,J467*Credits!J$8*(1+sw_bonus)*transfer_ptc,0),0)+IF(J$5=0,$C$466,0)</f>
        <v/>
      </c>
      <c r="K473" s="25">
        <f>IF(sw_credit="PTC",IF(K$5&lt;ptc_years,K467*Credits!K$8*(1+sw_bonus)*transfer_ptc,0),0)+IF(K$5=0,$C$466,0)</f>
        <v/>
      </c>
      <c r="L473" s="25">
        <f>IF(sw_credit="PTC",IF(L$5&lt;ptc_years,L467*Credits!L$8*(1+sw_bonus)*transfer_ptc,0),0)+IF(L$5=0,$C$466,0)</f>
        <v/>
      </c>
      <c r="M473" s="25">
        <f>IF(sw_credit="PTC",IF(M$5&lt;ptc_years,M467*Credits!M$8*(1+sw_bonus)*transfer_ptc,0),0)+IF(M$5=0,$C$466,0)</f>
        <v/>
      </c>
      <c r="N473" s="25">
        <f>IF(sw_credit="PTC",IF(N$5&lt;ptc_years,N467*Credits!N$8*(1+sw_bonus)*transfer_ptc,0),0)+IF(N$5=0,$C$466,0)</f>
        <v/>
      </c>
      <c r="O473" s="25">
        <f>IF(sw_credit="PTC",IF(O$5&lt;ptc_years,O467*Credits!O$8*(1+sw_bonus)*transfer_ptc,0),0)+IF(O$5=0,$C$466,0)</f>
        <v/>
      </c>
      <c r="P473" s="25">
        <f>IF(sw_credit="PTC",IF(P$5&lt;ptc_years,P467*Credits!P$8*(1+sw_bonus)*transfer_ptc,0),0)+IF(P$5=0,$C$466,0)</f>
        <v/>
      </c>
      <c r="Q473" s="25">
        <f>IF(sw_credit="PTC",IF(Q$5&lt;ptc_years,Q467*Credits!Q$8*(1+sw_bonus)*transfer_ptc,0),0)+IF(Q$5=0,$C$466,0)</f>
        <v/>
      </c>
      <c r="R473" s="25">
        <f>IF(sw_credit="PTC",IF(R$5&lt;ptc_years,R467*Credits!R$8*(1+sw_bonus)*transfer_ptc,0),0)+IF(R$5=0,$C$466,0)</f>
        <v/>
      </c>
      <c r="S473" s="25">
        <f>IF(sw_credit="PTC",IF(S$5&lt;ptc_years,S467*Credits!S$8*(1+sw_bonus)*transfer_ptc,0),0)+IF(S$5=0,$C$466,0)</f>
        <v/>
      </c>
      <c r="T473" s="25">
        <f>IF(sw_credit="PTC",IF(T$5&lt;ptc_years,T467*Credits!T$8*(1+sw_bonus)*transfer_ptc,0),0)+IF(T$5=0,$C$466,0)</f>
        <v/>
      </c>
      <c r="U473" s="25">
        <f>IF(sw_credit="PTC",IF(U$5&lt;ptc_years,U467*Credits!U$8*(1+sw_bonus)*transfer_ptc,0),0)+IF(U$5=0,$C$466,0)</f>
        <v/>
      </c>
      <c r="V473" s="25">
        <f>IF(sw_credit="PTC",IF(V$5&lt;ptc_years,V467*Credits!V$8*(1+sw_bonus)*transfer_ptc,0),0)+IF(V$5=0,$C$466,0)</f>
        <v/>
      </c>
      <c r="W473" s="25">
        <f>IF(sw_credit="PTC",IF(W$5&lt;ptc_years,W467*Credits!W$8*(1+sw_bonus)*transfer_ptc,0),0)+IF(W$5=0,$C$466,0)</f>
        <v/>
      </c>
      <c r="X473" s="25">
        <f>IF(sw_credit="PTC",IF(X$5&lt;ptc_years,X467*Credits!X$8*(1+sw_bonus)*transfer_ptc,0),0)+IF(X$5=0,$C$466,0)</f>
        <v/>
      </c>
      <c r="Y473" s="25">
        <f>IF(sw_credit="PTC",IF(Y$5&lt;ptc_years,Y467*Credits!Y$8*(1+sw_bonus)*transfer_ptc,0),0)+IF(Y$5=0,$C$466,0)</f>
        <v/>
      </c>
      <c r="Z473" s="25">
        <f>IF(sw_credit="PTC",IF(Z$5&lt;ptc_years,Z467*Credits!Z$8*(1+sw_bonus)*transfer_ptc,0),0)+IF(Z$5=0,$C$466,0)</f>
        <v/>
      </c>
      <c r="AA473" s="25">
        <f>IF(sw_credit="PTC",IF(AA$5&lt;ptc_years,AA467*Credits!AA$8*(1+sw_bonus)*transfer_ptc,0),0)+IF(AA$5=0,$C$466,0)</f>
        <v/>
      </c>
      <c r="AB473" s="25">
        <f>IF(sw_credit="PTC",IF(AB$5&lt;ptc_years,AB467*Credits!AB$8*(1+sw_bonus)*transfer_ptc,0),0)+IF(AB$5=0,$C$466,0)</f>
        <v/>
      </c>
      <c r="AC473" s="25">
        <f>IF(sw_credit="PTC",IF(AC$5&lt;ptc_years,AC467*Credits!AC$8*(1+sw_bonus)*transfer_ptc,0),0)+IF(AC$5=0,$C$466,0)</f>
        <v/>
      </c>
      <c r="AD473" s="25">
        <f>IF(sw_credit="PTC",IF(AD$5&lt;ptc_years,AD467*Credits!AD$8*(1+sw_bonus)*transfer_ptc,0),0)+IF(AD$5=0,$C$466,0)</f>
        <v/>
      </c>
      <c r="AE473" s="25">
        <f>IF(sw_credit="PTC",IF(AE$5&lt;ptc_years,AE467*Credits!AE$8*(1+sw_bonus)*transfer_ptc,0),0)+IF(AE$5=0,$C$466,0)</f>
        <v/>
      </c>
      <c r="AF473" s="25">
        <f>IF(sw_credit="PTC",IF(AF$5&lt;ptc_years,AF467*Credits!AF$8*(1+sw_bonus)*transfer_ptc,0),0)+IF(AF$5=0,$C$466,0)</f>
        <v/>
      </c>
      <c r="AG473" s="25">
        <f>IF(sw_credit="PTC",IF(AG$5&lt;ptc_years,AG467*Credits!AG$8*(1+sw_bonus)*transfer_ptc,0),0)+IF(AG$5=0,$C$466,0)</f>
        <v/>
      </c>
      <c r="AH473" s="25">
        <f>IF(sw_credit="PTC",IF(AH$5&lt;ptc_years,AH467*Credits!AH$8*(1+sw_bonus)*transfer_ptc,0),0)+IF(AH$5=0,$C$466,0)</f>
        <v/>
      </c>
      <c r="AI473" s="25">
        <f>IF(sw_credit="PTC",IF(AI$5&lt;ptc_years,AI467*Credits!AI$8*(1+sw_bonus)*transfer_ptc,0),0)+IF(AI$5=0,$C$466,0)</f>
        <v/>
      </c>
      <c r="AJ473" s="25">
        <f>IF(sw_credit="PTC",IF(AJ$5&lt;ptc_years,AJ467*Credits!AJ$8*(1+sw_bonus)*transfer_ptc,0),0)+IF(AJ$5=0,$C$466,0)</f>
        <v/>
      </c>
      <c r="AK473" s="25">
        <f>IF(sw_credit="PTC",IF(AK$5&lt;ptc_years,AK467*Credits!AK$8*(1+sw_bonus)*transfer_ptc,0),0)+IF(AK$5=0,$C$466,0)</f>
        <v/>
      </c>
      <c r="AL473" s="25">
        <f>IF(sw_credit="PTC",IF(AL$5&lt;ptc_years,AL467*Credits!AL$8*(1+sw_bonus)*transfer_ptc,0),0)+IF(AL$5=0,$C$466,0)</f>
        <v/>
      </c>
    </row>
    <row r="474">
      <c r="B474" s="14" t="inlineStr">
        <is>
          <t>EBITDA ($)</t>
        </is>
      </c>
      <c r="D474" s="26">
        <f>D469+D470-D471-D472</f>
        <v/>
      </c>
      <c r="E474" s="26">
        <f>E469+E470-E471-E472</f>
        <v/>
      </c>
      <c r="F474" s="26">
        <f>F469+F470-F471-F472</f>
        <v/>
      </c>
      <c r="G474" s="26">
        <f>G469+G470-G471-G472</f>
        <v/>
      </c>
      <c r="H474" s="26">
        <f>H469+H470-H471-H472</f>
        <v/>
      </c>
      <c r="I474" s="26">
        <f>I469+I470-I471-I472</f>
        <v/>
      </c>
      <c r="J474" s="26">
        <f>J469+J470-J471-J472</f>
        <v/>
      </c>
      <c r="K474" s="26">
        <f>K469+K470-K471-K472</f>
        <v/>
      </c>
      <c r="L474" s="26">
        <f>L469+L470-L471-L472</f>
        <v/>
      </c>
      <c r="M474" s="26">
        <f>M469+M470-M471-M472</f>
        <v/>
      </c>
      <c r="N474" s="26">
        <f>N469+N470-N471-N472</f>
        <v/>
      </c>
      <c r="O474" s="26">
        <f>O469+O470-O471-O472</f>
        <v/>
      </c>
      <c r="P474" s="26">
        <f>P469+P470-P471-P472</f>
        <v/>
      </c>
      <c r="Q474" s="26">
        <f>Q469+Q470-Q471-Q472</f>
        <v/>
      </c>
      <c r="R474" s="26">
        <f>R469+R470-R471-R472</f>
        <v/>
      </c>
      <c r="S474" s="26">
        <f>S469+S470-S471-S472</f>
        <v/>
      </c>
      <c r="T474" s="26">
        <f>T469+T470-T471-T472</f>
        <v/>
      </c>
      <c r="U474" s="26">
        <f>U469+U470-U471-U472</f>
        <v/>
      </c>
      <c r="V474" s="26">
        <f>V469+V470-V471-V472</f>
        <v/>
      </c>
      <c r="W474" s="26">
        <f>W469+W470-W471-W472</f>
        <v/>
      </c>
      <c r="X474" s="26">
        <f>X469+X470-X471-X472</f>
        <v/>
      </c>
      <c r="Y474" s="26">
        <f>Y469+Y470-Y471-Y472</f>
        <v/>
      </c>
      <c r="Z474" s="26">
        <f>Z469+Z470-Z471-Z472</f>
        <v/>
      </c>
      <c r="AA474" s="26">
        <f>AA469+AA470-AA471-AA472</f>
        <v/>
      </c>
      <c r="AB474" s="26">
        <f>AB469+AB470-AB471-AB472</f>
        <v/>
      </c>
      <c r="AC474" s="26">
        <f>AC469+AC470-AC471-AC472</f>
        <v/>
      </c>
      <c r="AD474" s="26">
        <f>AD469+AD470-AD471-AD472</f>
        <v/>
      </c>
      <c r="AE474" s="26">
        <f>AE469+AE470-AE471-AE472</f>
        <v/>
      </c>
      <c r="AF474" s="26">
        <f>AF469+AF470-AF471-AF472</f>
        <v/>
      </c>
      <c r="AG474" s="26">
        <f>AG469+AG470-AG471-AG472</f>
        <v/>
      </c>
      <c r="AH474" s="26">
        <f>AH469+AH470-AH471-AH472</f>
        <v/>
      </c>
      <c r="AI474" s="26">
        <f>AI469+AI470-AI471-AI472</f>
        <v/>
      </c>
      <c r="AJ474" s="26">
        <f>AJ469+AJ470-AJ471-AJ472</f>
        <v/>
      </c>
      <c r="AK474" s="26">
        <f>AK469+AK470-AK471-AK472</f>
        <v/>
      </c>
      <c r="AL474" s="26">
        <f>AL469+AL470-AL471-AL472</f>
        <v/>
      </c>
    </row>
    <row r="475">
      <c r="B475" s="7" t="inlineStr">
        <is>
          <t>Discount factor to 1 January 2027, contracted rate</t>
        </is>
      </c>
      <c r="D475" s="22">
        <f>1/(1+x_rc)^(D$5+2)</f>
        <v/>
      </c>
      <c r="E475" s="22">
        <f>1/(1+x_rc)^(E$5+2)</f>
        <v/>
      </c>
      <c r="F475" s="22">
        <f>1/(1+x_rc)^(F$5+2)</f>
        <v/>
      </c>
      <c r="G475" s="22">
        <f>1/(1+x_rc)^(G$5+2)</f>
        <v/>
      </c>
      <c r="H475" s="22">
        <f>1/(1+x_rc)^(H$5+2)</f>
        <v/>
      </c>
      <c r="I475" s="22">
        <f>1/(1+x_rc)^(I$5+2)</f>
        <v/>
      </c>
      <c r="J475" s="22">
        <f>1/(1+x_rc)^(J$5+2)</f>
        <v/>
      </c>
      <c r="K475" s="22">
        <f>1/(1+x_rc)^(K$5+2)</f>
        <v/>
      </c>
      <c r="L475" s="22">
        <f>1/(1+x_rc)^(L$5+2)</f>
        <v/>
      </c>
      <c r="M475" s="22">
        <f>1/(1+x_rc)^(M$5+2)</f>
        <v/>
      </c>
      <c r="N475" s="22">
        <f>1/(1+x_rc)^(N$5+2)</f>
        <v/>
      </c>
      <c r="O475" s="22">
        <f>1/(1+x_rc)^(O$5+2)</f>
        <v/>
      </c>
      <c r="P475" s="22">
        <f>1/(1+x_rc)^(P$5+2)</f>
        <v/>
      </c>
      <c r="Q475" s="22">
        <f>1/(1+x_rc)^(Q$5+2)</f>
        <v/>
      </c>
      <c r="R475" s="22">
        <f>1/(1+x_rc)^(R$5+2)</f>
        <v/>
      </c>
      <c r="S475" s="22">
        <f>1/(1+x_rc)^(S$5+2)</f>
        <v/>
      </c>
      <c r="T475" s="22">
        <f>1/(1+x_rc)^(T$5+2)</f>
        <v/>
      </c>
      <c r="U475" s="22">
        <f>1/(1+x_rc)^(U$5+2)</f>
        <v/>
      </c>
      <c r="V475" s="22">
        <f>1/(1+x_rc)^(V$5+2)</f>
        <v/>
      </c>
      <c r="W475" s="22">
        <f>1/(1+x_rc)^(W$5+2)</f>
        <v/>
      </c>
      <c r="X475" s="22">
        <f>1/(1+x_rc)^(X$5+2)</f>
        <v/>
      </c>
      <c r="Y475" s="22">
        <f>1/(1+x_rc)^(Y$5+2)</f>
        <v/>
      </c>
      <c r="Z475" s="22">
        <f>1/(1+x_rc)^(Z$5+2)</f>
        <v/>
      </c>
      <c r="AA475" s="22">
        <f>1/(1+x_rc)^(AA$5+2)</f>
        <v/>
      </c>
      <c r="AB475" s="22">
        <f>1/(1+x_rc)^(AB$5+2)</f>
        <v/>
      </c>
      <c r="AC475" s="22">
        <f>1/(1+x_rc)^(AC$5+2)</f>
        <v/>
      </c>
      <c r="AD475" s="22">
        <f>1/(1+x_rc)^(AD$5+2)</f>
        <v/>
      </c>
      <c r="AE475" s="22">
        <f>1/(1+x_rc)^(AE$5+2)</f>
        <v/>
      </c>
      <c r="AF475" s="22">
        <f>1/(1+x_rc)^(AF$5+2)</f>
        <v/>
      </c>
      <c r="AG475" s="22">
        <f>1/(1+x_rc)^(AG$5+2)</f>
        <v/>
      </c>
      <c r="AH475" s="22">
        <f>1/(1+x_rc)^(AH$5+2)</f>
        <v/>
      </c>
      <c r="AI475" s="22">
        <f>1/(1+x_rc)^(AI$5+2)</f>
        <v/>
      </c>
      <c r="AJ475" s="22">
        <f>1/(1+x_rc)^(AJ$5+2)</f>
        <v/>
      </c>
      <c r="AK475" s="22">
        <f>1/(1+x_rc)^(AK$5+2)</f>
        <v/>
      </c>
      <c r="AL475" s="22">
        <f>1/(1+x_rc)^(AL$5+2)</f>
        <v/>
      </c>
    </row>
    <row r="476">
      <c r="B476" s="7" t="inlineStr">
        <is>
          <t>Discount factor to 1 January 2027, merchant rate</t>
        </is>
      </c>
      <c r="D476" s="22">
        <f>1/(1+x_rm)^(D$5+2)</f>
        <v/>
      </c>
      <c r="E476" s="22">
        <f>1/(1+x_rm)^(E$5+2)</f>
        <v/>
      </c>
      <c r="F476" s="22">
        <f>1/(1+x_rm)^(F$5+2)</f>
        <v/>
      </c>
      <c r="G476" s="22">
        <f>1/(1+x_rm)^(G$5+2)</f>
        <v/>
      </c>
      <c r="H476" s="22">
        <f>1/(1+x_rm)^(H$5+2)</f>
        <v/>
      </c>
      <c r="I476" s="22">
        <f>1/(1+x_rm)^(I$5+2)</f>
        <v/>
      </c>
      <c r="J476" s="22">
        <f>1/(1+x_rm)^(J$5+2)</f>
        <v/>
      </c>
      <c r="K476" s="22">
        <f>1/(1+x_rm)^(K$5+2)</f>
        <v/>
      </c>
      <c r="L476" s="22">
        <f>1/(1+x_rm)^(L$5+2)</f>
        <v/>
      </c>
      <c r="M476" s="22">
        <f>1/(1+x_rm)^(M$5+2)</f>
        <v/>
      </c>
      <c r="N476" s="22">
        <f>1/(1+x_rm)^(N$5+2)</f>
        <v/>
      </c>
      <c r="O476" s="22">
        <f>1/(1+x_rm)^(O$5+2)</f>
        <v/>
      </c>
      <c r="P476" s="22">
        <f>1/(1+x_rm)^(P$5+2)</f>
        <v/>
      </c>
      <c r="Q476" s="22">
        <f>1/(1+x_rm)^(Q$5+2)</f>
        <v/>
      </c>
      <c r="R476" s="22">
        <f>1/(1+x_rm)^(R$5+2)</f>
        <v/>
      </c>
      <c r="S476" s="22">
        <f>1/(1+x_rm)^(S$5+2)</f>
        <v/>
      </c>
      <c r="T476" s="22">
        <f>1/(1+x_rm)^(T$5+2)</f>
        <v/>
      </c>
      <c r="U476" s="22">
        <f>1/(1+x_rm)^(U$5+2)</f>
        <v/>
      </c>
      <c r="V476" s="22">
        <f>1/(1+x_rm)^(V$5+2)</f>
        <v/>
      </c>
      <c r="W476" s="22">
        <f>1/(1+x_rm)^(W$5+2)</f>
        <v/>
      </c>
      <c r="X476" s="22">
        <f>1/(1+x_rm)^(X$5+2)</f>
        <v/>
      </c>
      <c r="Y476" s="22">
        <f>1/(1+x_rm)^(Y$5+2)</f>
        <v/>
      </c>
      <c r="Z476" s="22">
        <f>1/(1+x_rm)^(Z$5+2)</f>
        <v/>
      </c>
      <c r="AA476" s="22">
        <f>1/(1+x_rm)^(AA$5+2)</f>
        <v/>
      </c>
      <c r="AB476" s="22">
        <f>1/(1+x_rm)^(AB$5+2)</f>
        <v/>
      </c>
      <c r="AC476" s="22">
        <f>1/(1+x_rm)^(AC$5+2)</f>
        <v/>
      </c>
      <c r="AD476" s="22">
        <f>1/(1+x_rm)^(AD$5+2)</f>
        <v/>
      </c>
      <c r="AE476" s="22">
        <f>1/(1+x_rm)^(AE$5+2)</f>
        <v/>
      </c>
      <c r="AF476" s="22">
        <f>1/(1+x_rm)^(AF$5+2)</f>
        <v/>
      </c>
      <c r="AG476" s="22">
        <f>1/(1+x_rm)^(AG$5+2)</f>
        <v/>
      </c>
      <c r="AH476" s="22">
        <f>1/(1+x_rm)^(AH$5+2)</f>
        <v/>
      </c>
      <c r="AI476" s="22">
        <f>1/(1+x_rm)^(AI$5+2)</f>
        <v/>
      </c>
      <c r="AJ476" s="22">
        <f>1/(1+x_rm)^(AJ$5+2)</f>
        <v/>
      </c>
      <c r="AK476" s="22">
        <f>1/(1+x_rm)^(AK$5+2)</f>
        <v/>
      </c>
      <c r="AL476" s="22">
        <f>1/(1+x_rm)^(AL$5+2)</f>
        <v/>
      </c>
    </row>
    <row r="477">
      <c r="B477" s="7" t="inlineStr">
        <is>
          <t>Value on 1 January 2027 of the flows from 2028 (split rates) ($)</t>
        </is>
      </c>
      <c r="C477" s="25">
        <f>SUMPRODUCT($D$469:$AL$469,$D$475:$AL$475)+SUMPRODUCT($D$473:$AL$473,$D$475:$AL$475)-SUMPRODUCT($D$471:$AL$471,$D$475:$AL$475)-SUMPRODUCT($D$472:$AL$472,$D$475:$AL$475)+SUMPRODUCT($D$470:$AL$470,$D$476:$AL$476)-decom_end/(1+x_rc)^(life_years+1)</f>
        <v/>
      </c>
    </row>
    <row r="478">
      <c r="B478" s="14" t="inlineStr">
        <is>
          <t>Development value on 1 January 2027: value less the capital cost ($)</t>
        </is>
      </c>
      <c r="C478" s="26">
        <f>C477-C464/(1+x_rc)</f>
        <v/>
      </c>
    </row>
    <row r="479">
      <c r="B479" s="7" t="inlineStr">
        <is>
          <t>Highest premium Ashgrove can pay at NTP ($)</t>
        </is>
      </c>
      <c r="C479" s="25">
        <f>C478-reimb+reimb/(1+x_rc)</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B2:AL30"/>
  <sheetViews>
    <sheetView showGridLines="0" workbookViewId="0">
      <selection activeCell="A1" sqref="A1"/>
    </sheetView>
  </sheetViews>
  <sheetFormatPr baseColWidth="8" defaultRowHeight="15"/>
  <cols>
    <col width="2" customWidth="1" min="1" max="1"/>
    <col width="62"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Screening: three sites and the wind alternative, levelized cost at 7.0 percent (chapter 2); base inputs, no switch</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Discount factor, base contracted rate</t>
        </is>
      </c>
      <c r="D7" s="22">
        <f>1/(1+r_c)^(D$5+2)</f>
        <v/>
      </c>
      <c r="E7" s="22">
        <f>1/(1+r_c)^(E$5+2)</f>
        <v/>
      </c>
      <c r="F7" s="22">
        <f>1/(1+r_c)^(F$5+2)</f>
        <v/>
      </c>
      <c r="G7" s="22">
        <f>1/(1+r_c)^(G$5+2)</f>
        <v/>
      </c>
      <c r="H7" s="22">
        <f>1/(1+r_c)^(H$5+2)</f>
        <v/>
      </c>
      <c r="I7" s="22">
        <f>1/(1+r_c)^(I$5+2)</f>
        <v/>
      </c>
      <c r="J7" s="22">
        <f>1/(1+r_c)^(J$5+2)</f>
        <v/>
      </c>
      <c r="K7" s="22">
        <f>1/(1+r_c)^(K$5+2)</f>
        <v/>
      </c>
      <c r="L7" s="22">
        <f>1/(1+r_c)^(L$5+2)</f>
        <v/>
      </c>
      <c r="M7" s="22">
        <f>1/(1+r_c)^(M$5+2)</f>
        <v/>
      </c>
      <c r="N7" s="22">
        <f>1/(1+r_c)^(N$5+2)</f>
        <v/>
      </c>
      <c r="O7" s="22">
        <f>1/(1+r_c)^(O$5+2)</f>
        <v/>
      </c>
      <c r="P7" s="22">
        <f>1/(1+r_c)^(P$5+2)</f>
        <v/>
      </c>
      <c r="Q7" s="22">
        <f>1/(1+r_c)^(Q$5+2)</f>
        <v/>
      </c>
      <c r="R7" s="22">
        <f>1/(1+r_c)^(R$5+2)</f>
        <v/>
      </c>
      <c r="S7" s="22">
        <f>1/(1+r_c)^(S$5+2)</f>
        <v/>
      </c>
      <c r="T7" s="22">
        <f>1/(1+r_c)^(T$5+2)</f>
        <v/>
      </c>
      <c r="U7" s="22">
        <f>1/(1+r_c)^(U$5+2)</f>
        <v/>
      </c>
      <c r="V7" s="22">
        <f>1/(1+r_c)^(V$5+2)</f>
        <v/>
      </c>
      <c r="W7" s="22">
        <f>1/(1+r_c)^(W$5+2)</f>
        <v/>
      </c>
      <c r="X7" s="22">
        <f>1/(1+r_c)^(X$5+2)</f>
        <v/>
      </c>
      <c r="Y7" s="22">
        <f>1/(1+r_c)^(Y$5+2)</f>
        <v/>
      </c>
      <c r="Z7" s="22">
        <f>1/(1+r_c)^(Z$5+2)</f>
        <v/>
      </c>
      <c r="AA7" s="22">
        <f>1/(1+r_c)^(AA$5+2)</f>
        <v/>
      </c>
      <c r="AB7" s="22">
        <f>1/(1+r_c)^(AB$5+2)</f>
        <v/>
      </c>
      <c r="AC7" s="22">
        <f>1/(1+r_c)^(AC$5+2)</f>
        <v/>
      </c>
      <c r="AD7" s="22">
        <f>1/(1+r_c)^(AD$5+2)</f>
        <v/>
      </c>
      <c r="AE7" s="22">
        <f>1/(1+r_c)^(AE$5+2)</f>
        <v/>
      </c>
      <c r="AF7" s="22">
        <f>1/(1+r_c)^(AF$5+2)</f>
        <v/>
      </c>
      <c r="AG7" s="22">
        <f>1/(1+r_c)^(AG$5+2)</f>
        <v/>
      </c>
      <c r="AH7" s="22">
        <f>1/(1+r_c)^(AH$5+2)</f>
        <v/>
      </c>
      <c r="AI7" s="22">
        <f>1/(1+r_c)^(AI$5+2)</f>
        <v/>
      </c>
      <c r="AJ7" s="22">
        <f>1/(1+r_c)^(AJ$5+2)</f>
        <v/>
      </c>
      <c r="AK7" s="22">
        <f>1/(1+r_c)^(AK$5+2)</f>
        <v/>
      </c>
      <c r="AL7" s="22">
        <f>1/(1+r_c)^(AL$5+2)</f>
        <v/>
      </c>
    </row>
    <row r="8">
      <c r="B8" s="7" t="inlineStr">
        <is>
          <t>Degradation x discount factor</t>
        </is>
      </c>
      <c r="D8" s="22">
        <f>Energy!D$7*D7</f>
        <v/>
      </c>
      <c r="E8" s="22">
        <f>Energy!E$7*E7</f>
        <v/>
      </c>
      <c r="F8" s="22">
        <f>Energy!F$7*F7</f>
        <v/>
      </c>
      <c r="G8" s="22">
        <f>Energy!G$7*G7</f>
        <v/>
      </c>
      <c r="H8" s="22">
        <f>Energy!H$7*H7</f>
        <v/>
      </c>
      <c r="I8" s="22">
        <f>Energy!I$7*I7</f>
        <v/>
      </c>
      <c r="J8" s="22">
        <f>Energy!J$7*J7</f>
        <v/>
      </c>
      <c r="K8" s="22">
        <f>Energy!K$7*K7</f>
        <v/>
      </c>
      <c r="L8" s="22">
        <f>Energy!L$7*L7</f>
        <v/>
      </c>
      <c r="M8" s="22">
        <f>Energy!M$7*M7</f>
        <v/>
      </c>
      <c r="N8" s="22">
        <f>Energy!N$7*N7</f>
        <v/>
      </c>
      <c r="O8" s="22">
        <f>Energy!O$7*O7</f>
        <v/>
      </c>
      <c r="P8" s="22">
        <f>Energy!P$7*P7</f>
        <v/>
      </c>
      <c r="Q8" s="22">
        <f>Energy!Q$7*Q7</f>
        <v/>
      </c>
      <c r="R8" s="22">
        <f>Energy!R$7*R7</f>
        <v/>
      </c>
      <c r="S8" s="22">
        <f>Energy!S$7*S7</f>
        <v/>
      </c>
      <c r="T8" s="22">
        <f>Energy!T$7*T7</f>
        <v/>
      </c>
      <c r="U8" s="22">
        <f>Energy!U$7*U7</f>
        <v/>
      </c>
      <c r="V8" s="22">
        <f>Energy!V$7*V7</f>
        <v/>
      </c>
      <c r="W8" s="22">
        <f>Energy!W$7*W7</f>
        <v/>
      </c>
      <c r="X8" s="22">
        <f>Energy!X$7*X7</f>
        <v/>
      </c>
      <c r="Y8" s="22">
        <f>Energy!Y$7*Y7</f>
        <v/>
      </c>
      <c r="Z8" s="22">
        <f>Energy!Z$7*Z7</f>
        <v/>
      </c>
      <c r="AA8" s="22">
        <f>Energy!AA$7*AA7</f>
        <v/>
      </c>
      <c r="AB8" s="22">
        <f>Energy!AB$7*AB7</f>
        <v/>
      </c>
      <c r="AC8" s="22">
        <f>Energy!AC$7*AC7</f>
        <v/>
      </c>
      <c r="AD8" s="22">
        <f>Energy!AD$7*AD7</f>
        <v/>
      </c>
      <c r="AE8" s="22">
        <f>Energy!AE$7*AE7</f>
        <v/>
      </c>
      <c r="AF8" s="22">
        <f>Energy!AF$7*AF7</f>
        <v/>
      </c>
      <c r="AG8" s="22">
        <f>Energy!AG$7*AG7</f>
        <v/>
      </c>
      <c r="AH8" s="22">
        <f>Energy!AH$7*AH7</f>
        <v/>
      </c>
      <c r="AI8" s="22">
        <f>Energy!AI$7*AI7</f>
        <v/>
      </c>
      <c r="AJ8" s="22">
        <f>Energy!AJ$7*AJ7</f>
        <v/>
      </c>
      <c r="AK8" s="22">
        <f>Energy!AK$7*AK7</f>
        <v/>
      </c>
      <c r="AL8" s="22">
        <f>Energy!AL$7*AL7</f>
        <v/>
      </c>
    </row>
    <row r="9">
      <c r="B9" s="7" t="inlineStr">
        <is>
          <t>Escalation x discount factor</t>
        </is>
      </c>
      <c r="D9" s="22">
        <f>Opex!D$7*D7</f>
        <v/>
      </c>
      <c r="E9" s="22">
        <f>Opex!E$7*E7</f>
        <v/>
      </c>
      <c r="F9" s="22">
        <f>Opex!F$7*F7</f>
        <v/>
      </c>
      <c r="G9" s="22">
        <f>Opex!G$7*G7</f>
        <v/>
      </c>
      <c r="H9" s="22">
        <f>Opex!H$7*H7</f>
        <v/>
      </c>
      <c r="I9" s="22">
        <f>Opex!I$7*I7</f>
        <v/>
      </c>
      <c r="J9" s="22">
        <f>Opex!J$7*J7</f>
        <v/>
      </c>
      <c r="K9" s="22">
        <f>Opex!K$7*K7</f>
        <v/>
      </c>
      <c r="L9" s="22">
        <f>Opex!L$7*L7</f>
        <v/>
      </c>
      <c r="M9" s="22">
        <f>Opex!M$7*M7</f>
        <v/>
      </c>
      <c r="N9" s="22">
        <f>Opex!N$7*N7</f>
        <v/>
      </c>
      <c r="O9" s="22">
        <f>Opex!O$7*O7</f>
        <v/>
      </c>
      <c r="P9" s="22">
        <f>Opex!P$7*P7</f>
        <v/>
      </c>
      <c r="Q9" s="22">
        <f>Opex!Q$7*Q7</f>
        <v/>
      </c>
      <c r="R9" s="22">
        <f>Opex!R$7*R7</f>
        <v/>
      </c>
      <c r="S9" s="22">
        <f>Opex!S$7*S7</f>
        <v/>
      </c>
      <c r="T9" s="22">
        <f>Opex!T$7*T7</f>
        <v/>
      </c>
      <c r="U9" s="22">
        <f>Opex!U$7*U7</f>
        <v/>
      </c>
      <c r="V9" s="22">
        <f>Opex!V$7*V7</f>
        <v/>
      </c>
      <c r="W9" s="22">
        <f>Opex!W$7*W7</f>
        <v/>
      </c>
      <c r="X9" s="22">
        <f>Opex!X$7*X7</f>
        <v/>
      </c>
      <c r="Y9" s="22">
        <f>Opex!Y$7*Y7</f>
        <v/>
      </c>
      <c r="Z9" s="22">
        <f>Opex!Z$7*Z7</f>
        <v/>
      </c>
      <c r="AA9" s="22">
        <f>Opex!AA$7*AA7</f>
        <v/>
      </c>
      <c r="AB9" s="22">
        <f>Opex!AB$7*AB7</f>
        <v/>
      </c>
      <c r="AC9" s="22">
        <f>Opex!AC$7*AC7</f>
        <v/>
      </c>
      <c r="AD9" s="22">
        <f>Opex!AD$7*AD7</f>
        <v/>
      </c>
      <c r="AE9" s="22">
        <f>Opex!AE$7*AE7</f>
        <v/>
      </c>
      <c r="AF9" s="22">
        <f>Opex!AF$7*AF7</f>
        <v/>
      </c>
      <c r="AG9" s="22">
        <f>Opex!AG$7*AG7</f>
        <v/>
      </c>
      <c r="AH9" s="22">
        <f>Opex!AH$7*AH7</f>
        <v/>
      </c>
      <c r="AI9" s="22">
        <f>Opex!AI$7*AI7</f>
        <v/>
      </c>
      <c r="AJ9" s="22">
        <f>Opex!AJ$7*AJ7</f>
        <v/>
      </c>
      <c r="AK9" s="22">
        <f>Opex!AK$7*AK7</f>
        <v/>
      </c>
      <c r="AL9" s="22">
        <f>Opex!AL$7*AL7</f>
        <v/>
      </c>
    </row>
    <row r="10">
      <c r="B10" s="7" t="inlineStr">
        <is>
          <t>Rent escalation x discount factor</t>
        </is>
      </c>
      <c r="D10" s="22">
        <f>Opex!D$8*D7</f>
        <v/>
      </c>
      <c r="E10" s="22">
        <f>Opex!E$8*E7</f>
        <v/>
      </c>
      <c r="F10" s="22">
        <f>Opex!F$8*F7</f>
        <v/>
      </c>
      <c r="G10" s="22">
        <f>Opex!G$8*G7</f>
        <v/>
      </c>
      <c r="H10" s="22">
        <f>Opex!H$8*H7</f>
        <v/>
      </c>
      <c r="I10" s="22">
        <f>Opex!I$8*I7</f>
        <v/>
      </c>
      <c r="J10" s="22">
        <f>Opex!J$8*J7</f>
        <v/>
      </c>
      <c r="K10" s="22">
        <f>Opex!K$8*K7</f>
        <v/>
      </c>
      <c r="L10" s="22">
        <f>Opex!L$8*L7</f>
        <v/>
      </c>
      <c r="M10" s="22">
        <f>Opex!M$8*M7</f>
        <v/>
      </c>
      <c r="N10" s="22">
        <f>Opex!N$8*N7</f>
        <v/>
      </c>
      <c r="O10" s="22">
        <f>Opex!O$8*O7</f>
        <v/>
      </c>
      <c r="P10" s="22">
        <f>Opex!P$8*P7</f>
        <v/>
      </c>
      <c r="Q10" s="22">
        <f>Opex!Q$8*Q7</f>
        <v/>
      </c>
      <c r="R10" s="22">
        <f>Opex!R$8*R7</f>
        <v/>
      </c>
      <c r="S10" s="22">
        <f>Opex!S$8*S7</f>
        <v/>
      </c>
      <c r="T10" s="22">
        <f>Opex!T$8*T7</f>
        <v/>
      </c>
      <c r="U10" s="22">
        <f>Opex!U$8*U7</f>
        <v/>
      </c>
      <c r="V10" s="22">
        <f>Opex!V$8*V7</f>
        <v/>
      </c>
      <c r="W10" s="22">
        <f>Opex!W$8*W7</f>
        <v/>
      </c>
      <c r="X10" s="22">
        <f>Opex!X$8*X7</f>
        <v/>
      </c>
      <c r="Y10" s="22">
        <f>Opex!Y$8*Y7</f>
        <v/>
      </c>
      <c r="Z10" s="22">
        <f>Opex!Z$8*Z7</f>
        <v/>
      </c>
      <c r="AA10" s="22">
        <f>Opex!AA$8*AA7</f>
        <v/>
      </c>
      <c r="AB10" s="22">
        <f>Opex!AB$8*AB7</f>
        <v/>
      </c>
      <c r="AC10" s="22">
        <f>Opex!AC$8*AC7</f>
        <v/>
      </c>
      <c r="AD10" s="22">
        <f>Opex!AD$8*AD7</f>
        <v/>
      </c>
      <c r="AE10" s="22">
        <f>Opex!AE$8*AE7</f>
        <v/>
      </c>
      <c r="AF10" s="22">
        <f>Opex!AF$8*AF7</f>
        <v/>
      </c>
      <c r="AG10" s="22">
        <f>Opex!AG$8*AG7</f>
        <v/>
      </c>
      <c r="AH10" s="22">
        <f>Opex!AH$8*AH7</f>
        <v/>
      </c>
      <c r="AI10" s="22">
        <f>Opex!AI$8*AI7</f>
        <v/>
      </c>
      <c r="AJ10" s="22">
        <f>Opex!AJ$8*AJ7</f>
        <v/>
      </c>
      <c r="AK10" s="22">
        <f>Opex!AK$8*AK7</f>
        <v/>
      </c>
      <c r="AL10" s="22">
        <f>Opex!AL$8*AL7</f>
        <v/>
      </c>
    </row>
    <row r="11">
      <c r="B11" s="7" t="inlineStr">
        <is>
          <t>Degradation x PTC rate x PTC period x discount factor</t>
        </is>
      </c>
      <c r="D11" s="22">
        <f>Energy!D$7*Credits!D$8*Credits!D$9*D7</f>
        <v/>
      </c>
      <c r="E11" s="22">
        <f>Energy!E$7*Credits!E$8*Credits!E$9*E7</f>
        <v/>
      </c>
      <c r="F11" s="22">
        <f>Energy!F$7*Credits!F$8*Credits!F$9*F7</f>
        <v/>
      </c>
      <c r="G11" s="22">
        <f>Energy!G$7*Credits!G$8*Credits!G$9*G7</f>
        <v/>
      </c>
      <c r="H11" s="22">
        <f>Energy!H$7*Credits!H$8*Credits!H$9*H7</f>
        <v/>
      </c>
      <c r="I11" s="22">
        <f>Energy!I$7*Credits!I$8*Credits!I$9*I7</f>
        <v/>
      </c>
      <c r="J11" s="22">
        <f>Energy!J$7*Credits!J$8*Credits!J$9*J7</f>
        <v/>
      </c>
      <c r="K11" s="22">
        <f>Energy!K$7*Credits!K$8*Credits!K$9*K7</f>
        <v/>
      </c>
      <c r="L11" s="22">
        <f>Energy!L$7*Credits!L$8*Credits!L$9*L7</f>
        <v/>
      </c>
      <c r="M11" s="22">
        <f>Energy!M$7*Credits!M$8*Credits!M$9*M7</f>
        <v/>
      </c>
      <c r="N11" s="22">
        <f>Energy!N$7*Credits!N$8*Credits!N$9*N7</f>
        <v/>
      </c>
      <c r="O11" s="22">
        <f>Energy!O$7*Credits!O$8*Credits!O$9*O7</f>
        <v/>
      </c>
      <c r="P11" s="22">
        <f>Energy!P$7*Credits!P$8*Credits!P$9*P7</f>
        <v/>
      </c>
      <c r="Q11" s="22">
        <f>Energy!Q$7*Credits!Q$8*Credits!Q$9*Q7</f>
        <v/>
      </c>
      <c r="R11" s="22">
        <f>Energy!R$7*Credits!R$8*Credits!R$9*R7</f>
        <v/>
      </c>
      <c r="S11" s="22">
        <f>Energy!S$7*Credits!S$8*Credits!S$9*S7</f>
        <v/>
      </c>
      <c r="T11" s="22">
        <f>Energy!T$7*Credits!T$8*Credits!T$9*T7</f>
        <v/>
      </c>
      <c r="U11" s="22">
        <f>Energy!U$7*Credits!U$8*Credits!U$9*U7</f>
        <v/>
      </c>
      <c r="V11" s="22">
        <f>Energy!V$7*Credits!V$8*Credits!V$9*V7</f>
        <v/>
      </c>
      <c r="W11" s="22">
        <f>Energy!W$7*Credits!W$8*Credits!W$9*W7</f>
        <v/>
      </c>
      <c r="X11" s="22">
        <f>Energy!X$7*Credits!X$8*Credits!X$9*X7</f>
        <v/>
      </c>
      <c r="Y11" s="22">
        <f>Energy!Y$7*Credits!Y$8*Credits!Y$9*Y7</f>
        <v/>
      </c>
      <c r="Z11" s="22">
        <f>Energy!Z$7*Credits!Z$8*Credits!Z$9*Z7</f>
        <v/>
      </c>
      <c r="AA11" s="22">
        <f>Energy!AA$7*Credits!AA$8*Credits!AA$9*AA7</f>
        <v/>
      </c>
      <c r="AB11" s="22">
        <f>Energy!AB$7*Credits!AB$8*Credits!AB$9*AB7</f>
        <v/>
      </c>
      <c r="AC11" s="22">
        <f>Energy!AC$7*Credits!AC$8*Credits!AC$9*AC7</f>
        <v/>
      </c>
      <c r="AD11" s="22">
        <f>Energy!AD$7*Credits!AD$8*Credits!AD$9*AD7</f>
        <v/>
      </c>
      <c r="AE11" s="22">
        <f>Energy!AE$7*Credits!AE$8*Credits!AE$9*AE7</f>
        <v/>
      </c>
      <c r="AF11" s="22">
        <f>Energy!AF$7*Credits!AF$8*Credits!AF$9*AF7</f>
        <v/>
      </c>
      <c r="AG11" s="22">
        <f>Energy!AG$7*Credits!AG$8*Credits!AG$9*AG7</f>
        <v/>
      </c>
      <c r="AH11" s="22">
        <f>Energy!AH$7*Credits!AH$8*Credits!AH$9*AH7</f>
        <v/>
      </c>
      <c r="AI11" s="22">
        <f>Energy!AI$7*Credits!AI$8*Credits!AI$9*AI7</f>
        <v/>
      </c>
      <c r="AJ11" s="22">
        <f>Energy!AJ$7*Credits!AJ$8*Credits!AJ$9*AJ7</f>
        <v/>
      </c>
      <c r="AK11" s="22">
        <f>Energy!AK$7*Credits!AK$8*Credits!AK$9*AK7</f>
        <v/>
      </c>
      <c r="AL11" s="22">
        <f>Energy!AL$7*Credits!AL$8*Credits!AL$9*AL7</f>
        <v/>
      </c>
    </row>
    <row r="13">
      <c r="C13" s="14">
        <f>Inputs!B174</f>
        <v/>
      </c>
      <c r="D13" s="14">
        <f>Inputs!B175</f>
        <v/>
      </c>
      <c r="E13" s="14">
        <f>Inputs!B176</f>
        <v/>
      </c>
    </row>
    <row r="14">
      <c r="B14" s="7" t="inlineStr">
        <is>
          <t>Net capacity factor</t>
        </is>
      </c>
      <c r="C14" s="21">
        <f>Inputs!C174</f>
        <v/>
      </c>
      <c r="D14" s="21">
        <f>Inputs!C175</f>
        <v/>
      </c>
      <c r="E14" s="21">
        <f>Inputs!C176</f>
        <v/>
      </c>
    </row>
    <row r="15">
      <c r="B15" s="7" t="inlineStr">
        <is>
          <t>Gen-tie miles</t>
        </is>
      </c>
      <c r="C15" s="30">
        <f>Inputs!D174</f>
        <v/>
      </c>
      <c r="D15" s="30">
        <f>Inputs!D175</f>
        <v/>
      </c>
      <c r="E15" s="30">
        <f>Inputs!D176</f>
        <v/>
      </c>
    </row>
    <row r="16">
      <c r="B16" s="7" t="inlineStr">
        <is>
          <t>Network upgrade estimate ($)</t>
        </is>
      </c>
      <c r="C16" s="25">
        <f>Inputs!E174</f>
        <v/>
      </c>
      <c r="D16" s="25">
        <f>Inputs!E175</f>
        <v/>
      </c>
      <c r="E16" s="25">
        <f>Inputs!E176</f>
        <v/>
      </c>
    </row>
    <row r="17">
      <c r="B17" s="7" t="inlineStr">
        <is>
          <t>Land rent ($/acre-year)</t>
        </is>
      </c>
      <c r="C17" s="23">
        <f>Inputs!F174</f>
        <v/>
      </c>
      <c r="D17" s="23">
        <f>Inputs!F175</f>
        <v/>
      </c>
      <c r="E17" s="23">
        <f>Inputs!F176</f>
        <v/>
      </c>
    </row>
    <row r="18">
      <c r="B18" s="7" t="inlineStr">
        <is>
          <t>Energy community (1 = yes)</t>
        </is>
      </c>
      <c r="C18" s="30">
        <f>Inputs!G174</f>
        <v/>
      </c>
      <c r="D18" s="30">
        <f>Inputs!G175</f>
        <v/>
      </c>
      <c r="E18" s="30">
        <f>Inputs!G176</f>
        <v/>
      </c>
    </row>
    <row r="19">
      <c r="B19" s="7" t="inlineStr">
        <is>
          <t>Substation and gen-tie ($)</t>
        </is>
      </c>
      <c r="C19" s="25">
        <f>substation-base_miles*gentie_mile+C15*gentie_mile</f>
        <v/>
      </c>
      <c r="D19" s="25">
        <f>substation-base_miles*gentie_mile+D15*gentie_mile</f>
        <v/>
      </c>
      <c r="E19" s="25">
        <f>substation-base_miles*gentie_mile+E15*gentie_mile</f>
        <v/>
      </c>
    </row>
    <row r="20">
      <c r="B20" s="7" t="inlineStr">
        <is>
          <t>Capital cost ($)</t>
        </is>
      </c>
      <c r="C20" s="25">
        <f>((module_w+tracker_w+bos_w)*mwdc*1000000+inverter_w*mwac*1000000+C19)*(1+contingency)+C16+owner</f>
        <v/>
      </c>
      <c r="D20" s="25">
        <f>((module_w+tracker_w+bos_w)*mwdc*1000000+inverter_w*mwac*1000000+D19)*(1+contingency)+D16+owner</f>
        <v/>
      </c>
      <c r="E20" s="25">
        <f>((module_w+tracker_w+bos_w)*mwdc*1000000+inverter_w*mwac*1000000+E19)*(1+contingency)+E16+owner</f>
        <v/>
      </c>
    </row>
    <row r="21">
      <c r="B21" s="7" t="inlineStr">
        <is>
          <t>P50 energy in 2028 (MWh)</t>
        </is>
      </c>
      <c r="C21" s="23">
        <f>mwac*hours*C14</f>
        <v/>
      </c>
      <c r="D21" s="23">
        <f>mwac*hours*D14</f>
        <v/>
      </c>
      <c r="E21" s="23">
        <f>mwac*hours*E14</f>
        <v/>
      </c>
    </row>
    <row r="22">
      <c r="B22" s="7" t="inlineStr">
        <is>
          <t>Present value of P50 energy (MWh)</t>
        </is>
      </c>
      <c r="C22" s="23">
        <f>C21*SUM($D$8:$AL$8)</f>
        <v/>
      </c>
      <c r="D22" s="23">
        <f>D21*SUM($D$8:$AL$8)</f>
        <v/>
      </c>
      <c r="E22" s="23">
        <f>E21*SUM($D$8:$AL$8)</f>
        <v/>
      </c>
    </row>
    <row r="23">
      <c r="B23" s="7" t="inlineStr">
        <is>
          <t>Present value of operating cost ($)</t>
        </is>
      </c>
      <c r="C23" s="25">
        <f>(om_kw*mwac*1000+ins_rate*C20+am_cost+prop_tax+misc_cost)*SUM($D$9:$AL$9)+C17*acres_lease*SUM($D$10:$AL$10)</f>
        <v/>
      </c>
      <c r="D23" s="25">
        <f>(om_kw*mwac*1000+ins_rate*D20+am_cost+prop_tax+misc_cost)*SUM($D$9:$AL$9)+D17*acres_lease*SUM($D$10:$AL$10)</f>
        <v/>
      </c>
      <c r="E23" s="25">
        <f>(om_kw*mwac*1000+ins_rate*E20+am_cost+prop_tax+misc_cost)*SUM($D$9:$AL$9)+E17*acres_lease*SUM($D$10:$AL$10)</f>
        <v/>
      </c>
    </row>
    <row r="24">
      <c r="B24" s="7" t="inlineStr">
        <is>
          <t>Present value of PTC cash, bonus included ($)</t>
        </is>
      </c>
      <c r="C24" s="25">
        <f>C21*(1+C18*ec_bonus)*transfer_ptc*SUM($D$11:$AL$11)</f>
        <v/>
      </c>
      <c r="D24" s="25">
        <f>D21*(1+D18*ec_bonus)*transfer_ptc*SUM($D$11:$AL$11)</f>
        <v/>
      </c>
      <c r="E24" s="25">
        <f>E21*(1+E18*ec_bonus)*transfer_ptc*SUM($D$11:$AL$11)</f>
        <v/>
      </c>
    </row>
    <row r="25">
      <c r="B25" s="7" t="inlineStr">
        <is>
          <t>Present value of decommissioning ($)</t>
        </is>
      </c>
      <c r="C25" s="25">
        <f>decom_end/(1+r_c)^(life_years+1)</f>
        <v/>
      </c>
      <c r="D25" s="25">
        <f>decom_end/(1+r_c)^(life_years+1)</f>
        <v/>
      </c>
      <c r="E25" s="25">
        <f>decom_end/(1+r_c)^(life_years+1)</f>
        <v/>
      </c>
    </row>
    <row r="26">
      <c r="B26" s="14" t="inlineStr">
        <is>
          <t>Levelized cost without credits ($/MWh)</t>
        </is>
      </c>
      <c r="C26" s="33">
        <f>(C20/(1+r_c)+C23+C25)/C22</f>
        <v/>
      </c>
      <c r="D26" s="33">
        <f>(D20/(1+r_c)+D23+D25)/D22</f>
        <v/>
      </c>
      <c r="E26" s="33">
        <f>(E20/(1+r_c)+E23+E25)/E22</f>
        <v/>
      </c>
    </row>
    <row r="27">
      <c r="B27" s="14" t="inlineStr">
        <is>
          <t>Levelized cost with the PTC (and the bonus where it applies) ($/MWh)</t>
        </is>
      </c>
      <c r="C27" s="33">
        <f>(C20/(1+r_c)+C23-C24+C25)/C22</f>
        <v/>
      </c>
      <c r="D27" s="33">
        <f>(D20/(1+r_c)+D23-D24+D25)/D22</f>
        <v/>
      </c>
      <c r="E27" s="33">
        <f>(E20/(1+r_c)+E23-E24+E25)/E22</f>
        <v/>
      </c>
    </row>
    <row r="29">
      <c r="B29" s="7" t="inlineStr">
        <is>
          <t>Hartwell Ridge Wind, levelized cost without credits ($/MWh)</t>
        </is>
      </c>
      <c r="C29" s="33">
        <f>Wind!$C$40</f>
        <v/>
      </c>
    </row>
    <row r="30">
      <c r="B30" s="7" t="inlineStr">
        <is>
          <t>Hartwell Ridge Wind, levelized cost with the PTC ($/MWh)</t>
        </is>
      </c>
      <c r="C30" s="33">
        <f>Wind!$C$41</f>
        <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B2:E21"/>
  <sheetViews>
    <sheetView showGridLines="0" workbookViewId="0">
      <selection activeCell="A1" sqref="A1"/>
    </sheetView>
  </sheetViews>
  <sheetFormatPr baseColWidth="8" defaultRowHeight="15"/>
  <cols>
    <col width="2" customWidth="1" min="1" max="1"/>
    <col width="70" customWidth="1" min="2" max="2"/>
    <col width="15" customWidth="1" min="3" max="3"/>
    <col width="15" customWidth="1" min="4" max="4"/>
    <col width="15" customWidth="1" min="5" max="5"/>
    <col width="15" customWidth="1" min="6" max="6"/>
  </cols>
  <sheetData>
    <row r="2">
      <c r="B2" s="4" t="inlineStr">
        <is>
          <t>Interconnection: deposit ladder, cost and upgrade shocks (chapter 6)</t>
        </is>
      </c>
    </row>
    <row r="4">
      <c r="B4" s="14" t="inlineStr">
        <is>
          <t>Deposit ladder (Order No. 2023 cluster process)</t>
        </is>
      </c>
    </row>
    <row r="5">
      <c r="B5" s="7" t="inlineStr">
        <is>
          <t>Cluster study deposit ($)</t>
        </is>
      </c>
      <c r="C5" s="23">
        <f>study_deposit</f>
        <v/>
      </c>
    </row>
    <row r="6">
      <c r="B6" s="7" t="inlineStr">
        <is>
          <t>Initial readiness deposit ($)</t>
        </is>
      </c>
      <c r="C6" s="23">
        <f>dep_mult*study_deposit</f>
        <v/>
      </c>
    </row>
    <row r="7">
      <c r="B7" s="7" t="inlineStr">
        <is>
          <t>Readiness deposit at the restudy (on assigned network upgrades)</t>
        </is>
      </c>
      <c r="C7" s="25">
        <f>dep_restudy*interconnect</f>
        <v/>
      </c>
    </row>
    <row r="8">
      <c r="B8" s="7" t="inlineStr">
        <is>
          <t>Readiness deposit at the facilities study: amount at risk on withdrawal in January 2025</t>
        </is>
      </c>
      <c r="C8" s="25">
        <f>dep_facilities*interconnect</f>
        <v/>
      </c>
    </row>
    <row r="9">
      <c r="B9" s="7" t="inlineStr">
        <is>
          <t>Security at the LGIA (January 2026)</t>
        </is>
      </c>
      <c r="C9" s="25">
        <f>dep_lgia*interconnect</f>
        <v/>
      </c>
    </row>
    <row r="11">
      <c r="B11" s="14" t="inlineStr">
        <is>
          <t>Cost</t>
        </is>
      </c>
    </row>
    <row r="12">
      <c r="B12" s="7" t="inlineStr">
        <is>
          <t>Network upgrades per kWac ($)</t>
        </is>
      </c>
      <c r="C12" s="23">
        <f>interconnect/(mwac*1000)</f>
        <v/>
      </c>
    </row>
    <row r="13">
      <c r="B13" s="7" t="inlineStr">
        <is>
          <t>Network upgrades plus substation and gen-tie, share of the capital cost</t>
        </is>
      </c>
      <c r="C13" s="28">
        <f>Capex!$C$21</f>
        <v/>
      </c>
    </row>
    <row r="14">
      <c r="B14" s="7" t="inlineStr">
        <is>
          <t>Development value lost per extra $1 million of network upgrades (capital and insurance)</t>
        </is>
      </c>
      <c r="C14" s="26">
        <f>1000000*(1/(1+x_rc)+ins_rate*SUMPRODUCT(Opex!$D$7:$AL$7,Cases!$D$28:$AL$28))</f>
        <v/>
      </c>
    </row>
    <row r="15">
      <c r="B15" s="7" t="inlineStr">
        <is>
          <t xml:space="preserve">   of which the capital itself (paid at the end of 2027, discounted one year)</t>
        </is>
      </c>
      <c r="C15" s="25">
        <f>1000000/(1+x_rc)</f>
        <v/>
      </c>
    </row>
    <row r="16">
      <c r="B16" s="7" t="inlineStr">
        <is>
          <t xml:space="preserve">   of which insurance, charged every year on the capital cost</t>
        </is>
      </c>
      <c r="C16" s="25">
        <f>Interconnection!$C$14-Interconnection!$C$15</f>
        <v/>
      </c>
    </row>
    <row r="18">
      <c r="B18" s="14" t="inlineStr">
        <is>
          <t>Upgrade-shock table, case U</t>
        </is>
      </c>
      <c r="C18" s="14" t="inlineStr">
        <is>
          <t>Development value</t>
        </is>
      </c>
      <c r="D18" s="14" t="inlineStr">
        <is>
          <t>Change</t>
        </is>
      </c>
      <c r="E18" s="14" t="inlineStr">
        <is>
          <t>Highest premium</t>
        </is>
      </c>
    </row>
    <row r="19">
      <c r="B19" s="7" t="inlineStr">
        <is>
          <t>Network upgrades in use</t>
        </is>
      </c>
      <c r="C19" s="25">
        <f>Cases!$C$36</f>
        <v/>
      </c>
      <c r="D19" s="25">
        <f>Cases!$C$36-Cases!$C$36</f>
        <v/>
      </c>
      <c r="E19" s="25">
        <f>Cases!$C$37</f>
        <v/>
      </c>
    </row>
    <row r="20">
      <c r="B20" s="7" t="inlineStr">
        <is>
          <t>First shock (sens_ic_30)</t>
        </is>
      </c>
      <c r="C20" s="25">
        <f>Sensitivities!$C$11</f>
        <v/>
      </c>
      <c r="D20" s="25">
        <f>Sensitivities!$C$11-Cases!$C$36</f>
        <v/>
      </c>
      <c r="E20" s="25">
        <f>Sensitivities!$C$118</f>
        <v/>
      </c>
    </row>
    <row r="21">
      <c r="B21" s="7" t="inlineStr">
        <is>
          <t>Second shock (sens_ic_45)</t>
        </is>
      </c>
      <c r="C21" s="25">
        <f>Sensitivities!$C$18</f>
        <v/>
      </c>
      <c r="D21" s="25">
        <f>Sensitivities!$C$18-Cases!$C$36</f>
        <v/>
      </c>
      <c r="E21" s="25">
        <f>Sensitivities!$C$384</f>
        <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B2:M123"/>
  <sheetViews>
    <sheetView showGridLines="0" workbookViewId="0">
      <selection activeCell="A1" sqref="A1"/>
    </sheetView>
  </sheetViews>
  <sheetFormatPr baseColWidth="8" defaultRowHeight="15"/>
  <cols>
    <col width="2" customWidth="1" min="1" max="1"/>
    <col width="7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s>
  <sheetData>
    <row r="2">
      <c r="B2" s="4" t="inlineStr">
        <is>
          <t>Stage values, delay, Calder's return and the expected return of starting in 2022 (chapters 1, 5, 10, 14); base inputs</t>
        </is>
      </c>
    </row>
    <row r="4">
      <c r="B4" s="14" t="inlineStr">
        <is>
          <t>Calder's outlays (from Inputs) and the probability of reaching NTP at each outlay date</t>
        </is>
      </c>
      <c r="C4" s="14" t="inlineStr">
        <is>
          <t>Date</t>
        </is>
      </c>
      <c r="D4" s="14" t="inlineStr">
        <is>
          <t>Amount</t>
        </is>
      </c>
      <c r="E4" s="14" t="inlineStr">
        <is>
          <t>Probability</t>
        </is>
      </c>
    </row>
    <row r="5">
      <c r="B5" s="7">
        <f>Inputs!B58</f>
        <v/>
      </c>
      <c r="C5" s="34">
        <f>Inputs!D58</f>
        <v/>
      </c>
      <c r="D5" s="25">
        <f>Inputs!C58</f>
        <v/>
      </c>
      <c r="E5" s="28">
        <f>LOOKUP(C5,st_date,st_p)</f>
        <v/>
      </c>
    </row>
    <row r="6">
      <c r="B6" s="7">
        <f>Inputs!B59</f>
        <v/>
      </c>
      <c r="C6" s="34">
        <f>Inputs!D59</f>
        <v/>
      </c>
      <c r="D6" s="25">
        <f>Inputs!C59</f>
        <v/>
      </c>
      <c r="E6" s="28">
        <f>LOOKUP(C6,st_date,st_p)</f>
        <v/>
      </c>
    </row>
    <row r="7">
      <c r="B7" s="7">
        <f>Inputs!B60</f>
        <v/>
      </c>
      <c r="C7" s="34">
        <f>Inputs!D60</f>
        <v/>
      </c>
      <c r="D7" s="25">
        <f>Inputs!C60</f>
        <v/>
      </c>
      <c r="E7" s="28">
        <f>LOOKUP(C7,st_date,st_p)</f>
        <v/>
      </c>
    </row>
    <row r="8">
      <c r="B8" s="7">
        <f>Inputs!B61</f>
        <v/>
      </c>
      <c r="C8" s="34">
        <f>Inputs!D61</f>
        <v/>
      </c>
      <c r="D8" s="25">
        <f>Inputs!C61</f>
        <v/>
      </c>
      <c r="E8" s="28">
        <f>LOOKUP(C8,st_date,st_p)</f>
        <v/>
      </c>
    </row>
    <row r="9">
      <c r="B9" s="7">
        <f>Inputs!B62</f>
        <v/>
      </c>
      <c r="C9" s="34">
        <f>Inputs!D62</f>
        <v/>
      </c>
      <c r="D9" s="25">
        <f>Inputs!C62</f>
        <v/>
      </c>
      <c r="E9" s="28">
        <f>LOOKUP(C9,st_date,st_p)</f>
        <v/>
      </c>
    </row>
    <row r="10">
      <c r="B10" s="7">
        <f>Inputs!B63</f>
        <v/>
      </c>
      <c r="C10" s="34">
        <f>Inputs!D63</f>
        <v/>
      </c>
      <c r="D10" s="25">
        <f>Inputs!C63</f>
        <v/>
      </c>
      <c r="E10" s="28">
        <f>LOOKUP(C10,st_date,st_p)</f>
        <v/>
      </c>
    </row>
    <row r="11">
      <c r="B11" s="7">
        <f>Inputs!B64</f>
        <v/>
      </c>
      <c r="C11" s="34">
        <f>Inputs!D64</f>
        <v/>
      </c>
      <c r="D11" s="25">
        <f>Inputs!C64</f>
        <v/>
      </c>
      <c r="E11" s="28">
        <f>LOOKUP(C11,st_date,st_p)</f>
        <v/>
      </c>
    </row>
    <row r="13">
      <c r="B13" s="14" t="inlineStr">
        <is>
          <t>Stage values at the development discount rate</t>
        </is>
      </c>
      <c r="C13" s="14" t="inlineStr">
        <is>
          <t>Date</t>
        </is>
      </c>
      <c r="D13" s="14" t="inlineStr">
        <is>
          <t>Probability</t>
        </is>
      </c>
      <c r="E13" s="14" t="inlineStr">
        <is>
          <t>Outlays to come</t>
        </is>
      </c>
      <c r="F13" s="14" t="inlineStr">
        <is>
          <t>Expected outlays</t>
        </is>
      </c>
      <c r="G13" s="14" t="inlineStr">
        <is>
          <t>Value</t>
        </is>
      </c>
      <c r="H13" s="14" t="inlineStr">
        <is>
          <t>Per kWac</t>
        </is>
      </c>
      <c r="I13" s="14" t="inlineStr">
        <is>
          <t>Step</t>
        </is>
      </c>
    </row>
    <row r="14">
      <c r="B14" s="7">
        <f>Inputs!B76</f>
        <v/>
      </c>
      <c r="C14" s="34">
        <f>Inputs!D76</f>
        <v/>
      </c>
      <c r="D14" s="28">
        <f>Inputs!C76</f>
        <v/>
      </c>
      <c r="E14" s="25">
        <f>SUMPRODUCT(($C$5:$C$11&gt;=C14)*$D$5:$D$11)</f>
        <v/>
      </c>
      <c r="F14" s="25">
        <f>SUMPRODUCT(($C$5:$C$11&gt;=C14)*(D14/$E$5:$E$11)*$D$5:$D$11)</f>
        <v/>
      </c>
      <c r="G14" s="26">
        <f>D14*ntp_price/(1+r_dev)^(ntp_year-C14)-SUMPRODUCT(($C$5:$C$11&gt;=C14)*(D14/$E$5:$E$11)*$D$5:$D$11/(1+r_dev)^($C$5:$C$11-C14))</f>
        <v/>
      </c>
      <c r="H14" s="32">
        <f>G14/(mwac*1000)</f>
        <v/>
      </c>
      <c r="I14" s="25" t="inlineStr"/>
    </row>
    <row r="15">
      <c r="B15" s="7">
        <f>Inputs!B77</f>
        <v/>
      </c>
      <c r="C15" s="34">
        <f>Inputs!D77</f>
        <v/>
      </c>
      <c r="D15" s="28">
        <f>Inputs!C77</f>
        <v/>
      </c>
      <c r="E15" s="25">
        <f>SUMPRODUCT(($C$5:$C$11&gt;=C15)*$D$5:$D$11)</f>
        <v/>
      </c>
      <c r="F15" s="25">
        <f>SUMPRODUCT(($C$5:$C$11&gt;=C15)*(D15/$E$5:$E$11)*$D$5:$D$11)</f>
        <v/>
      </c>
      <c r="G15" s="26">
        <f>D15*ntp_price/(1+r_dev)^(ntp_year-C15)-SUMPRODUCT(($C$5:$C$11&gt;=C15)*(D15/$E$5:$E$11)*$D$5:$D$11/(1+r_dev)^($C$5:$C$11-C15))</f>
        <v/>
      </c>
      <c r="H15" s="32">
        <f>G15/(mwac*1000)</f>
        <v/>
      </c>
      <c r="I15" s="25">
        <f>G15-G14</f>
        <v/>
      </c>
    </row>
    <row r="16">
      <c r="B16" s="7">
        <f>Inputs!B78</f>
        <v/>
      </c>
      <c r="C16" s="34">
        <f>Inputs!D78</f>
        <v/>
      </c>
      <c r="D16" s="28">
        <f>Inputs!C78</f>
        <v/>
      </c>
      <c r="E16" s="25">
        <f>SUMPRODUCT(($C$5:$C$11&gt;=C16)*$D$5:$D$11)</f>
        <v/>
      </c>
      <c r="F16" s="25">
        <f>SUMPRODUCT(($C$5:$C$11&gt;=C16)*(D16/$E$5:$E$11)*$D$5:$D$11)</f>
        <v/>
      </c>
      <c r="G16" s="26">
        <f>D16*ntp_price/(1+r_dev)^(ntp_year-C16)-SUMPRODUCT(($C$5:$C$11&gt;=C16)*(D16/$E$5:$E$11)*$D$5:$D$11/(1+r_dev)^($C$5:$C$11-C16))</f>
        <v/>
      </c>
      <c r="H16" s="32">
        <f>G16/(mwac*1000)</f>
        <v/>
      </c>
      <c r="I16" s="25">
        <f>G16-G15</f>
        <v/>
      </c>
    </row>
    <row r="17">
      <c r="B17" s="7">
        <f>Inputs!B79</f>
        <v/>
      </c>
      <c r="C17" s="34">
        <f>Inputs!D79</f>
        <v/>
      </c>
      <c r="D17" s="28">
        <f>Inputs!C79</f>
        <v/>
      </c>
      <c r="E17" s="25">
        <f>SUMPRODUCT(($C$5:$C$11&gt;=C17)*$D$5:$D$11)</f>
        <v/>
      </c>
      <c r="F17" s="25">
        <f>SUMPRODUCT(($C$5:$C$11&gt;=C17)*(D17/$E$5:$E$11)*$D$5:$D$11)</f>
        <v/>
      </c>
      <c r="G17" s="26">
        <f>D17*ntp_price/(1+r_dev)^(ntp_year-C17)-SUMPRODUCT(($C$5:$C$11&gt;=C17)*(D17/$E$5:$E$11)*$D$5:$D$11/(1+r_dev)^($C$5:$C$11-C17))</f>
        <v/>
      </c>
      <c r="H17" s="32">
        <f>G17/(mwac*1000)</f>
        <v/>
      </c>
      <c r="I17" s="25">
        <f>G17-G16</f>
        <v/>
      </c>
    </row>
    <row r="18">
      <c r="B18" s="7">
        <f>Inputs!B80</f>
        <v/>
      </c>
      <c r="C18" s="34">
        <f>Inputs!D80</f>
        <v/>
      </c>
      <c r="D18" s="28">
        <f>Inputs!C80</f>
        <v/>
      </c>
      <c r="E18" s="25">
        <f>SUMPRODUCT(($C$5:$C$11&gt;=C18)*$D$5:$D$11)</f>
        <v/>
      </c>
      <c r="F18" s="25">
        <f>SUMPRODUCT(($C$5:$C$11&gt;=C18)*(D18/$E$5:$E$11)*$D$5:$D$11)</f>
        <v/>
      </c>
      <c r="G18" s="26">
        <f>D18*ntp_price/(1+r_dev)^(ntp_year-C18)-SUMPRODUCT(($C$5:$C$11&gt;=C18)*(D18/$E$5:$E$11)*$D$5:$D$11/(1+r_dev)^($C$5:$C$11-C18))</f>
        <v/>
      </c>
      <c r="H18" s="32">
        <f>G18/(mwac*1000)</f>
        <v/>
      </c>
      <c r="I18" s="25">
        <f>G18-G17</f>
        <v/>
      </c>
    </row>
    <row r="19">
      <c r="B19" s="7">
        <f>Inputs!B81</f>
        <v/>
      </c>
      <c r="C19" s="34">
        <f>Inputs!D81</f>
        <v/>
      </c>
      <c r="D19" s="28">
        <f>Inputs!C81</f>
        <v/>
      </c>
      <c r="E19" s="25">
        <f>SUMPRODUCT(($C$5:$C$11&gt;=C19)*$D$5:$D$11)</f>
        <v/>
      </c>
      <c r="F19" s="25">
        <f>SUMPRODUCT(($C$5:$C$11&gt;=C19)*(D19/$E$5:$E$11)*$D$5:$D$11)</f>
        <v/>
      </c>
      <c r="G19" s="26">
        <f>D19*ntp_price/(1+r_dev)^(ntp_year-C19)-SUMPRODUCT(($C$5:$C$11&gt;=C19)*(D19/$E$5:$E$11)*$D$5:$D$11/(1+r_dev)^($C$5:$C$11-C19))</f>
        <v/>
      </c>
      <c r="H19" s="32">
        <f>G19/(mwac*1000)</f>
        <v/>
      </c>
      <c r="I19" s="25">
        <f>G19-G18</f>
        <v/>
      </c>
    </row>
    <row r="20">
      <c r="B20" s="7">
        <f>Inputs!B82</f>
        <v/>
      </c>
      <c r="C20" s="34">
        <f>Inputs!D82</f>
        <v/>
      </c>
      <c r="D20" s="28">
        <f>Inputs!C82</f>
        <v/>
      </c>
      <c r="E20" s="25">
        <f>SUMPRODUCT(($C$5:$C$11&gt;=C20)*$D$5:$D$11)</f>
        <v/>
      </c>
      <c r="F20" s="25">
        <f>SUMPRODUCT(($C$5:$C$11&gt;=C20)*(D20/$E$5:$E$11)*$D$5:$D$11)</f>
        <v/>
      </c>
      <c r="G20" s="26">
        <f>D20*ntp_price/(1+r_dev)^(ntp_year-C20)-SUMPRODUCT(($C$5:$C$11&gt;=C20)*(D20/$E$5:$E$11)*$D$5:$D$11/(1+r_dev)^($C$5:$C$11-C20))</f>
        <v/>
      </c>
      <c r="H20" s="32">
        <f>G20/(mwac*1000)</f>
        <v/>
      </c>
      <c r="I20" s="25">
        <f>G20-G19</f>
        <v/>
      </c>
    </row>
    <row r="22">
      <c r="B22" s="7" t="inlineStr">
        <is>
          <t>Development spend 2022 to 2026</t>
        </is>
      </c>
      <c r="C22" s="25">
        <f>SUM(dev_amt)</f>
        <v/>
      </c>
    </row>
    <row r="23">
      <c r="B23" s="7" t="inlineStr">
        <is>
          <t>Development budget by category, total (Inputs check: equals the spend)</t>
        </is>
      </c>
      <c r="C23" s="25">
        <f>SUM(Inputs!$C$298:$C$303)</f>
        <v/>
      </c>
    </row>
    <row r="24">
      <c r="B24" s="7" t="inlineStr">
        <is>
          <t>Stage value at the tested date if every later milestone and outlay slips (delay_years)</t>
        </is>
      </c>
      <c r="C24" s="26">
        <f>INDEX(st_p,MATCH(delay_stage,st_date,0))*ntp_price/(1+r_dev)^(ntp_year+delay_years-delay_stage)-SUMPRODUCT(($C$5:$C$11&gt;=delay_stage)*(INDEX(st_p,MATCH(delay_stage,st_date,0))/$E$5:$E$11)*$D$5:$D$11/(1+r_dev)^($C$5:$C$11-delay_stage+($C$5:$C$11&gt;delay_stage)*delay_years))</f>
        <v/>
      </c>
    </row>
    <row r="26">
      <c r="B26" s="14" t="inlineStr">
        <is>
          <t>Calder's own flows on a half-year grid (spend at the start of each year, security on 1 January 2026, physical work on 1 July 2026, NTP price on 1 January 2027)</t>
        </is>
      </c>
    </row>
    <row r="27">
      <c r="B27" s="7" t="inlineStr">
        <is>
          <t>Date</t>
        </is>
      </c>
      <c r="C27" s="38">
        <f>MIN(dev_date)</f>
        <v/>
      </c>
      <c r="D27" s="38">
        <f>C27+0.5</f>
        <v/>
      </c>
      <c r="E27" s="38">
        <f>D27+0.5</f>
        <v/>
      </c>
      <c r="F27" s="38">
        <f>E27+0.5</f>
        <v/>
      </c>
      <c r="G27" s="38">
        <f>F27+0.5</f>
        <v/>
      </c>
      <c r="H27" s="38">
        <f>G27+0.5</f>
        <v/>
      </c>
      <c r="I27" s="38">
        <f>H27+0.5</f>
        <v/>
      </c>
      <c r="J27" s="38">
        <f>I27+0.5</f>
        <v/>
      </c>
      <c r="K27" s="38">
        <f>J27+0.5</f>
        <v/>
      </c>
      <c r="L27" s="38">
        <f>K27+0.5</f>
        <v/>
      </c>
      <c r="M27" s="38">
        <f>L27+0.5</f>
        <v/>
      </c>
    </row>
    <row r="28">
      <c r="B28" s="14" t="inlineStr">
        <is>
          <t>Flow ($)</t>
        </is>
      </c>
      <c r="C28" s="25">
        <f>-SUMPRODUCT(($C$5:$C$11=C27)*$D$5:$D$11)+IF(C27=ntp_year,ntp_price,0)</f>
        <v/>
      </c>
      <c r="D28" s="25">
        <f>-SUMPRODUCT(($C$5:$C$11=D27)*$D$5:$D$11)+IF(D27=ntp_year,ntp_price,0)</f>
        <v/>
      </c>
      <c r="E28" s="25">
        <f>-SUMPRODUCT(($C$5:$C$11=E27)*$D$5:$D$11)+IF(E27=ntp_year,ntp_price,0)</f>
        <v/>
      </c>
      <c r="F28" s="25">
        <f>-SUMPRODUCT(($C$5:$C$11=F27)*$D$5:$D$11)+IF(F27=ntp_year,ntp_price,0)</f>
        <v/>
      </c>
      <c r="G28" s="25">
        <f>-SUMPRODUCT(($C$5:$C$11=G27)*$D$5:$D$11)+IF(G27=ntp_year,ntp_price,0)</f>
        <v/>
      </c>
      <c r="H28" s="25">
        <f>-SUMPRODUCT(($C$5:$C$11=H27)*$D$5:$D$11)+IF(H27=ntp_year,ntp_price,0)</f>
        <v/>
      </c>
      <c r="I28" s="25">
        <f>-SUMPRODUCT(($C$5:$C$11=I27)*$D$5:$D$11)+IF(I27=ntp_year,ntp_price,0)</f>
        <v/>
      </c>
      <c r="J28" s="25">
        <f>-SUMPRODUCT(($C$5:$C$11=J27)*$D$5:$D$11)+IF(J27=ntp_year,ntp_price,0)</f>
        <v/>
      </c>
      <c r="K28" s="25">
        <f>-SUMPRODUCT(($C$5:$C$11=K27)*$D$5:$D$11)+IF(K27=ntp_year,ntp_price,0)</f>
        <v/>
      </c>
      <c r="L28" s="25">
        <f>-SUMPRODUCT(($C$5:$C$11=L27)*$D$5:$D$11)+IF(L27=ntp_year,ntp_price,0)</f>
        <v/>
      </c>
      <c r="M28" s="25">
        <f>-SUMPRODUCT(($C$5:$C$11=M27)*$D$5:$D$11)+IF(M27=ntp_year,ntp_price,0)</f>
        <v/>
      </c>
    </row>
    <row r="29">
      <c r="B29" s="7" t="inlineStr">
        <is>
          <t>All outlays (development spend plus reimbursable costs)</t>
        </is>
      </c>
      <c r="C29" s="25">
        <f>SUM(out_amt)</f>
        <v/>
      </c>
    </row>
    <row r="30">
      <c r="B30" s="7" t="inlineStr">
        <is>
          <t>NTP price / all outlays</t>
        </is>
      </c>
      <c r="C30" s="27">
        <f>ntp_price/SUM(out_amt)</f>
        <v/>
      </c>
    </row>
    <row r="31">
      <c r="B31" s="7" t="inlineStr">
        <is>
          <t>Premium / development spend</t>
        </is>
      </c>
      <c r="C31" s="27">
        <f>premium/SUM(dev_amt)</f>
        <v/>
      </c>
    </row>
    <row r="32">
      <c r="B32" s="7" t="inlineStr">
        <is>
          <t>IRR on a project that succeeds (half-year IRR, annualized)</t>
        </is>
      </c>
      <c r="C32" s="39">
        <f>(1+IRR(C28:M28,0.2))^2-1</f>
        <v/>
      </c>
    </row>
    <row r="34">
      <c r="B34" s="14" t="inlineStr">
        <is>
          <t>Expected return of starting in January 2022: the discount rate at which the 2022 stage value is zero (grid search, no macro)</t>
        </is>
      </c>
    </row>
    <row r="35">
      <c r="C35" s="14" t="inlineStr">
        <is>
          <t>Rate</t>
        </is>
      </c>
      <c r="D35" s="14" t="inlineStr">
        <is>
          <t>Stage value</t>
        </is>
      </c>
      <c r="E35" s="14" t="inlineStr">
        <is>
          <t>Rate if positive</t>
        </is>
      </c>
    </row>
    <row r="36">
      <c r="C36" s="24">
        <f>0</f>
        <v/>
      </c>
      <c r="D36" s="25">
        <f>$D$14*ntp_price/(1+C36)^(ntp_year-$C$14)-SUMPRODUCT(($C$5:$C$11&gt;=$C$14)*($D$14/$E$5:$E$11)*$D$5:$D$11/(1+C36)^($C$5:$C$11-$C$14))</f>
        <v/>
      </c>
      <c r="E36" s="24">
        <f>IF(D36&gt;0,C36,-1)</f>
        <v/>
      </c>
    </row>
    <row r="37">
      <c r="C37" s="24">
        <f>C36+grid_coarse</f>
        <v/>
      </c>
      <c r="D37" s="25">
        <f>$D$14*ntp_price/(1+C37)^(ntp_year-$C$14)-SUMPRODUCT(($C$5:$C$11&gt;=$C$14)*($D$14/$E$5:$E$11)*$D$5:$D$11/(1+C37)^($C$5:$C$11-$C$14))</f>
        <v/>
      </c>
      <c r="E37" s="24">
        <f>IF(D37&gt;0,C37,-1)</f>
        <v/>
      </c>
    </row>
    <row r="38">
      <c r="C38" s="24">
        <f>C37+grid_coarse</f>
        <v/>
      </c>
      <c r="D38" s="25">
        <f>$D$14*ntp_price/(1+C38)^(ntp_year-$C$14)-SUMPRODUCT(($C$5:$C$11&gt;=$C$14)*($D$14/$E$5:$E$11)*$D$5:$D$11/(1+C38)^($C$5:$C$11-$C$14))</f>
        <v/>
      </c>
      <c r="E38" s="24">
        <f>IF(D38&gt;0,C38,-1)</f>
        <v/>
      </c>
    </row>
    <row r="39">
      <c r="C39" s="24">
        <f>C38+grid_coarse</f>
        <v/>
      </c>
      <c r="D39" s="25">
        <f>$D$14*ntp_price/(1+C39)^(ntp_year-$C$14)-SUMPRODUCT(($C$5:$C$11&gt;=$C$14)*($D$14/$E$5:$E$11)*$D$5:$D$11/(1+C39)^($C$5:$C$11-$C$14))</f>
        <v/>
      </c>
      <c r="E39" s="24">
        <f>IF(D39&gt;0,C39,-1)</f>
        <v/>
      </c>
    </row>
    <row r="40">
      <c r="C40" s="24">
        <f>C39+grid_coarse</f>
        <v/>
      </c>
      <c r="D40" s="25">
        <f>$D$14*ntp_price/(1+C40)^(ntp_year-$C$14)-SUMPRODUCT(($C$5:$C$11&gt;=$C$14)*($D$14/$E$5:$E$11)*$D$5:$D$11/(1+C40)^($C$5:$C$11-$C$14))</f>
        <v/>
      </c>
      <c r="E40" s="24">
        <f>IF(D40&gt;0,C40,-1)</f>
        <v/>
      </c>
    </row>
    <row r="41">
      <c r="C41" s="24">
        <f>C40+grid_coarse</f>
        <v/>
      </c>
      <c r="D41" s="25">
        <f>$D$14*ntp_price/(1+C41)^(ntp_year-$C$14)-SUMPRODUCT(($C$5:$C$11&gt;=$C$14)*($D$14/$E$5:$E$11)*$D$5:$D$11/(1+C41)^($C$5:$C$11-$C$14))</f>
        <v/>
      </c>
      <c r="E41" s="24">
        <f>IF(D41&gt;0,C41,-1)</f>
        <v/>
      </c>
    </row>
    <row r="42">
      <c r="C42" s="24">
        <f>C41+grid_coarse</f>
        <v/>
      </c>
      <c r="D42" s="25">
        <f>$D$14*ntp_price/(1+C42)^(ntp_year-$C$14)-SUMPRODUCT(($C$5:$C$11&gt;=$C$14)*($D$14/$E$5:$E$11)*$D$5:$D$11/(1+C42)^($C$5:$C$11-$C$14))</f>
        <v/>
      </c>
      <c r="E42" s="24">
        <f>IF(D42&gt;0,C42,-1)</f>
        <v/>
      </c>
    </row>
    <row r="43">
      <c r="C43" s="24">
        <f>C42+grid_coarse</f>
        <v/>
      </c>
      <c r="D43" s="25">
        <f>$D$14*ntp_price/(1+C43)^(ntp_year-$C$14)-SUMPRODUCT(($C$5:$C$11&gt;=$C$14)*($D$14/$E$5:$E$11)*$D$5:$D$11/(1+C43)^($C$5:$C$11-$C$14))</f>
        <v/>
      </c>
      <c r="E43" s="24">
        <f>IF(D43&gt;0,C43,-1)</f>
        <v/>
      </c>
    </row>
    <row r="44">
      <c r="C44" s="24">
        <f>C43+grid_coarse</f>
        <v/>
      </c>
      <c r="D44" s="25">
        <f>$D$14*ntp_price/(1+C44)^(ntp_year-$C$14)-SUMPRODUCT(($C$5:$C$11&gt;=$C$14)*($D$14/$E$5:$E$11)*$D$5:$D$11/(1+C44)^($C$5:$C$11-$C$14))</f>
        <v/>
      </c>
      <c r="E44" s="24">
        <f>IF(D44&gt;0,C44,-1)</f>
        <v/>
      </c>
    </row>
    <row r="45">
      <c r="C45" s="24">
        <f>C44+grid_coarse</f>
        <v/>
      </c>
      <c r="D45" s="25">
        <f>$D$14*ntp_price/(1+C45)^(ntp_year-$C$14)-SUMPRODUCT(($C$5:$C$11&gt;=$C$14)*($D$14/$E$5:$E$11)*$D$5:$D$11/(1+C45)^($C$5:$C$11-$C$14))</f>
        <v/>
      </c>
      <c r="E45" s="24">
        <f>IF(D45&gt;0,C45,-1)</f>
        <v/>
      </c>
    </row>
    <row r="46">
      <c r="C46" s="24">
        <f>C45+grid_coarse</f>
        <v/>
      </c>
      <c r="D46" s="25">
        <f>$D$14*ntp_price/(1+C46)^(ntp_year-$C$14)-SUMPRODUCT(($C$5:$C$11&gt;=$C$14)*($D$14/$E$5:$E$11)*$D$5:$D$11/(1+C46)^($C$5:$C$11-$C$14))</f>
        <v/>
      </c>
      <c r="E46" s="24">
        <f>IF(D46&gt;0,C46,-1)</f>
        <v/>
      </c>
    </row>
    <row r="47">
      <c r="C47" s="24">
        <f>C46+grid_coarse</f>
        <v/>
      </c>
      <c r="D47" s="25">
        <f>$D$14*ntp_price/(1+C47)^(ntp_year-$C$14)-SUMPRODUCT(($C$5:$C$11&gt;=$C$14)*($D$14/$E$5:$E$11)*$D$5:$D$11/(1+C47)^($C$5:$C$11-$C$14))</f>
        <v/>
      </c>
      <c r="E47" s="24">
        <f>IF(D47&gt;0,C47,-1)</f>
        <v/>
      </c>
    </row>
    <row r="48">
      <c r="C48" s="24">
        <f>C47+grid_coarse</f>
        <v/>
      </c>
      <c r="D48" s="25">
        <f>$D$14*ntp_price/(1+C48)^(ntp_year-$C$14)-SUMPRODUCT(($C$5:$C$11&gt;=$C$14)*($D$14/$E$5:$E$11)*$D$5:$D$11/(1+C48)^($C$5:$C$11-$C$14))</f>
        <v/>
      </c>
      <c r="E48" s="24">
        <f>IF(D48&gt;0,C48,-1)</f>
        <v/>
      </c>
    </row>
    <row r="49">
      <c r="C49" s="24">
        <f>C48+grid_coarse</f>
        <v/>
      </c>
      <c r="D49" s="25">
        <f>$D$14*ntp_price/(1+C49)^(ntp_year-$C$14)-SUMPRODUCT(($C$5:$C$11&gt;=$C$14)*($D$14/$E$5:$E$11)*$D$5:$D$11/(1+C49)^($C$5:$C$11-$C$14))</f>
        <v/>
      </c>
      <c r="E49" s="24">
        <f>IF(D49&gt;0,C49,-1)</f>
        <v/>
      </c>
    </row>
    <row r="50">
      <c r="C50" s="24">
        <f>C49+grid_coarse</f>
        <v/>
      </c>
      <c r="D50" s="25">
        <f>$D$14*ntp_price/(1+C50)^(ntp_year-$C$14)-SUMPRODUCT(($C$5:$C$11&gt;=$C$14)*($D$14/$E$5:$E$11)*$D$5:$D$11/(1+C50)^($C$5:$C$11-$C$14))</f>
        <v/>
      </c>
      <c r="E50" s="24">
        <f>IF(D50&gt;0,C50,-1)</f>
        <v/>
      </c>
    </row>
    <row r="51">
      <c r="C51" s="24">
        <f>C50+grid_coarse</f>
        <v/>
      </c>
      <c r="D51" s="25">
        <f>$D$14*ntp_price/(1+C51)^(ntp_year-$C$14)-SUMPRODUCT(($C$5:$C$11&gt;=$C$14)*($D$14/$E$5:$E$11)*$D$5:$D$11/(1+C51)^($C$5:$C$11-$C$14))</f>
        <v/>
      </c>
      <c r="E51" s="24">
        <f>IF(D51&gt;0,C51,-1)</f>
        <v/>
      </c>
    </row>
    <row r="52">
      <c r="C52" s="24">
        <f>C51+grid_coarse</f>
        <v/>
      </c>
      <c r="D52" s="25">
        <f>$D$14*ntp_price/(1+C52)^(ntp_year-$C$14)-SUMPRODUCT(($C$5:$C$11&gt;=$C$14)*($D$14/$E$5:$E$11)*$D$5:$D$11/(1+C52)^($C$5:$C$11-$C$14))</f>
        <v/>
      </c>
      <c r="E52" s="24">
        <f>IF(D52&gt;0,C52,-1)</f>
        <v/>
      </c>
    </row>
    <row r="53">
      <c r="C53" s="24">
        <f>C52+grid_coarse</f>
        <v/>
      </c>
      <c r="D53" s="25">
        <f>$D$14*ntp_price/(1+C53)^(ntp_year-$C$14)-SUMPRODUCT(($C$5:$C$11&gt;=$C$14)*($D$14/$E$5:$E$11)*$D$5:$D$11/(1+C53)^($C$5:$C$11-$C$14))</f>
        <v/>
      </c>
      <c r="E53" s="24">
        <f>IF(D53&gt;0,C53,-1)</f>
        <v/>
      </c>
    </row>
    <row r="54">
      <c r="C54" s="24">
        <f>C53+grid_coarse</f>
        <v/>
      </c>
      <c r="D54" s="25">
        <f>$D$14*ntp_price/(1+C54)^(ntp_year-$C$14)-SUMPRODUCT(($C$5:$C$11&gt;=$C$14)*($D$14/$E$5:$E$11)*$D$5:$D$11/(1+C54)^($C$5:$C$11-$C$14))</f>
        <v/>
      </c>
      <c r="E54" s="24">
        <f>IF(D54&gt;0,C54,-1)</f>
        <v/>
      </c>
    </row>
    <row r="55">
      <c r="C55" s="24">
        <f>C54+grid_coarse</f>
        <v/>
      </c>
      <c r="D55" s="25">
        <f>$D$14*ntp_price/(1+C55)^(ntp_year-$C$14)-SUMPRODUCT(($C$5:$C$11&gt;=$C$14)*($D$14/$E$5:$E$11)*$D$5:$D$11/(1+C55)^($C$5:$C$11-$C$14))</f>
        <v/>
      </c>
      <c r="E55" s="24">
        <f>IF(D55&gt;0,C55,-1)</f>
        <v/>
      </c>
    </row>
    <row r="56">
      <c r="C56" s="24">
        <f>C55+grid_coarse</f>
        <v/>
      </c>
      <c r="D56" s="25">
        <f>$D$14*ntp_price/(1+C56)^(ntp_year-$C$14)-SUMPRODUCT(($C$5:$C$11&gt;=$C$14)*($D$14/$E$5:$E$11)*$D$5:$D$11/(1+C56)^($C$5:$C$11-$C$14))</f>
        <v/>
      </c>
      <c r="E56" s="24">
        <f>IF(D56&gt;0,C56,-1)</f>
        <v/>
      </c>
    </row>
    <row r="57">
      <c r="C57" s="24">
        <f>C56+grid_coarse</f>
        <v/>
      </c>
      <c r="D57" s="25">
        <f>$D$14*ntp_price/(1+C57)^(ntp_year-$C$14)-SUMPRODUCT(($C$5:$C$11&gt;=$C$14)*($D$14/$E$5:$E$11)*$D$5:$D$11/(1+C57)^($C$5:$C$11-$C$14))</f>
        <v/>
      </c>
      <c r="E57" s="24">
        <f>IF(D57&gt;0,C57,-1)</f>
        <v/>
      </c>
    </row>
    <row r="58">
      <c r="C58" s="24">
        <f>C57+grid_coarse</f>
        <v/>
      </c>
      <c r="D58" s="25">
        <f>$D$14*ntp_price/(1+C58)^(ntp_year-$C$14)-SUMPRODUCT(($C$5:$C$11&gt;=$C$14)*($D$14/$E$5:$E$11)*$D$5:$D$11/(1+C58)^($C$5:$C$11-$C$14))</f>
        <v/>
      </c>
      <c r="E58" s="24">
        <f>IF(D58&gt;0,C58,-1)</f>
        <v/>
      </c>
    </row>
    <row r="59">
      <c r="C59" s="24">
        <f>C58+grid_coarse</f>
        <v/>
      </c>
      <c r="D59" s="25">
        <f>$D$14*ntp_price/(1+C59)^(ntp_year-$C$14)-SUMPRODUCT(($C$5:$C$11&gt;=$C$14)*($D$14/$E$5:$E$11)*$D$5:$D$11/(1+C59)^($C$5:$C$11-$C$14))</f>
        <v/>
      </c>
      <c r="E59" s="24">
        <f>IF(D59&gt;0,C59,-1)</f>
        <v/>
      </c>
    </row>
    <row r="60">
      <c r="C60" s="24">
        <f>C59+grid_coarse</f>
        <v/>
      </c>
      <c r="D60" s="25">
        <f>$D$14*ntp_price/(1+C60)^(ntp_year-$C$14)-SUMPRODUCT(($C$5:$C$11&gt;=$C$14)*($D$14/$E$5:$E$11)*$D$5:$D$11/(1+C60)^($C$5:$C$11-$C$14))</f>
        <v/>
      </c>
      <c r="E60" s="24">
        <f>IF(D60&gt;0,C60,-1)</f>
        <v/>
      </c>
    </row>
    <row r="61">
      <c r="C61" s="24">
        <f>C60+grid_coarse</f>
        <v/>
      </c>
      <c r="D61" s="25">
        <f>$D$14*ntp_price/(1+C61)^(ntp_year-$C$14)-SUMPRODUCT(($C$5:$C$11&gt;=$C$14)*($D$14/$E$5:$E$11)*$D$5:$D$11/(1+C61)^($C$5:$C$11-$C$14))</f>
        <v/>
      </c>
      <c r="E61" s="24">
        <f>IF(D61&gt;0,C61,-1)</f>
        <v/>
      </c>
    </row>
    <row r="62">
      <c r="C62" s="24">
        <f>C61+grid_coarse</f>
        <v/>
      </c>
      <c r="D62" s="25">
        <f>$D$14*ntp_price/(1+C62)^(ntp_year-$C$14)-SUMPRODUCT(($C$5:$C$11&gt;=$C$14)*($D$14/$E$5:$E$11)*$D$5:$D$11/(1+C62)^($C$5:$C$11-$C$14))</f>
        <v/>
      </c>
      <c r="E62" s="24">
        <f>IF(D62&gt;0,C62,-1)</f>
        <v/>
      </c>
    </row>
    <row r="63">
      <c r="C63" s="24">
        <f>C62+grid_coarse</f>
        <v/>
      </c>
      <c r="D63" s="25">
        <f>$D$14*ntp_price/(1+C63)^(ntp_year-$C$14)-SUMPRODUCT(($C$5:$C$11&gt;=$C$14)*($D$14/$E$5:$E$11)*$D$5:$D$11/(1+C63)^($C$5:$C$11-$C$14))</f>
        <v/>
      </c>
      <c r="E63" s="24">
        <f>IF(D63&gt;0,C63,-1)</f>
        <v/>
      </c>
    </row>
    <row r="64">
      <c r="C64" s="24">
        <f>C63+grid_coarse</f>
        <v/>
      </c>
      <c r="D64" s="25">
        <f>$D$14*ntp_price/(1+C64)^(ntp_year-$C$14)-SUMPRODUCT(($C$5:$C$11&gt;=$C$14)*($D$14/$E$5:$E$11)*$D$5:$D$11/(1+C64)^($C$5:$C$11-$C$14))</f>
        <v/>
      </c>
      <c r="E64" s="24">
        <f>IF(D64&gt;0,C64,-1)</f>
        <v/>
      </c>
    </row>
    <row r="65">
      <c r="C65" s="24">
        <f>C64+grid_coarse</f>
        <v/>
      </c>
      <c r="D65" s="25">
        <f>$D$14*ntp_price/(1+C65)^(ntp_year-$C$14)-SUMPRODUCT(($C$5:$C$11&gt;=$C$14)*($D$14/$E$5:$E$11)*$D$5:$D$11/(1+C65)^($C$5:$C$11-$C$14))</f>
        <v/>
      </c>
      <c r="E65" s="24">
        <f>IF(D65&gt;0,C65,-1)</f>
        <v/>
      </c>
    </row>
    <row r="66">
      <c r="C66" s="24">
        <f>C65+grid_coarse</f>
        <v/>
      </c>
      <c r="D66" s="25">
        <f>$D$14*ntp_price/(1+C66)^(ntp_year-$C$14)-SUMPRODUCT(($C$5:$C$11&gt;=$C$14)*($D$14/$E$5:$E$11)*$D$5:$D$11/(1+C66)^($C$5:$C$11-$C$14))</f>
        <v/>
      </c>
      <c r="E66" s="24">
        <f>IF(D66&gt;0,C66,-1)</f>
        <v/>
      </c>
    </row>
    <row r="67">
      <c r="C67" s="24">
        <f>C66+grid_coarse</f>
        <v/>
      </c>
      <c r="D67" s="25">
        <f>$D$14*ntp_price/(1+C67)^(ntp_year-$C$14)-SUMPRODUCT(($C$5:$C$11&gt;=$C$14)*($D$14/$E$5:$E$11)*$D$5:$D$11/(1+C67)^($C$5:$C$11-$C$14))</f>
        <v/>
      </c>
      <c r="E67" s="24">
        <f>IF(D67&gt;0,C67,-1)</f>
        <v/>
      </c>
    </row>
    <row r="68">
      <c r="C68" s="24">
        <f>C67+grid_coarse</f>
        <v/>
      </c>
      <c r="D68" s="25">
        <f>$D$14*ntp_price/(1+C68)^(ntp_year-$C$14)-SUMPRODUCT(($C$5:$C$11&gt;=$C$14)*($D$14/$E$5:$E$11)*$D$5:$D$11/(1+C68)^($C$5:$C$11-$C$14))</f>
        <v/>
      </c>
      <c r="E68" s="24">
        <f>IF(D68&gt;0,C68,-1)</f>
        <v/>
      </c>
    </row>
    <row r="69">
      <c r="C69" s="24">
        <f>C68+grid_coarse</f>
        <v/>
      </c>
      <c r="D69" s="25">
        <f>$D$14*ntp_price/(1+C69)^(ntp_year-$C$14)-SUMPRODUCT(($C$5:$C$11&gt;=$C$14)*($D$14/$E$5:$E$11)*$D$5:$D$11/(1+C69)^($C$5:$C$11-$C$14))</f>
        <v/>
      </c>
      <c r="E69" s="24">
        <f>IF(D69&gt;0,C69,-1)</f>
        <v/>
      </c>
    </row>
    <row r="70">
      <c r="C70" s="24">
        <f>C69+grid_coarse</f>
        <v/>
      </c>
      <c r="D70" s="25">
        <f>$D$14*ntp_price/(1+C70)^(ntp_year-$C$14)-SUMPRODUCT(($C$5:$C$11&gt;=$C$14)*($D$14/$E$5:$E$11)*$D$5:$D$11/(1+C70)^($C$5:$C$11-$C$14))</f>
        <v/>
      </c>
      <c r="E70" s="24">
        <f>IF(D70&gt;0,C70,-1)</f>
        <v/>
      </c>
    </row>
    <row r="71">
      <c r="C71" s="24">
        <f>C70+grid_coarse</f>
        <v/>
      </c>
      <c r="D71" s="25">
        <f>$D$14*ntp_price/(1+C71)^(ntp_year-$C$14)-SUMPRODUCT(($C$5:$C$11&gt;=$C$14)*($D$14/$E$5:$E$11)*$D$5:$D$11/(1+C71)^($C$5:$C$11-$C$14))</f>
        <v/>
      </c>
      <c r="E71" s="24">
        <f>IF(D71&gt;0,C71,-1)</f>
        <v/>
      </c>
    </row>
    <row r="72">
      <c r="C72" s="24">
        <f>C71+grid_coarse</f>
        <v/>
      </c>
      <c r="D72" s="25">
        <f>$D$14*ntp_price/(1+C72)^(ntp_year-$C$14)-SUMPRODUCT(($C$5:$C$11&gt;=$C$14)*($D$14/$E$5:$E$11)*$D$5:$D$11/(1+C72)^($C$5:$C$11-$C$14))</f>
        <v/>
      </c>
      <c r="E72" s="24">
        <f>IF(D72&gt;0,C72,-1)</f>
        <v/>
      </c>
    </row>
    <row r="73">
      <c r="C73" s="24">
        <f>C72+grid_coarse</f>
        <v/>
      </c>
      <c r="D73" s="25">
        <f>$D$14*ntp_price/(1+C73)^(ntp_year-$C$14)-SUMPRODUCT(($C$5:$C$11&gt;=$C$14)*($D$14/$E$5:$E$11)*$D$5:$D$11/(1+C73)^($C$5:$C$11-$C$14))</f>
        <v/>
      </c>
      <c r="E73" s="24">
        <f>IF(D73&gt;0,C73,-1)</f>
        <v/>
      </c>
    </row>
    <row r="74">
      <c r="C74" s="24">
        <f>C73+grid_coarse</f>
        <v/>
      </c>
      <c r="D74" s="25">
        <f>$D$14*ntp_price/(1+C74)^(ntp_year-$C$14)-SUMPRODUCT(($C$5:$C$11&gt;=$C$14)*($D$14/$E$5:$E$11)*$D$5:$D$11/(1+C74)^($C$5:$C$11-$C$14))</f>
        <v/>
      </c>
      <c r="E74" s="24">
        <f>IF(D74&gt;0,C74,-1)</f>
        <v/>
      </c>
    </row>
    <row r="75">
      <c r="C75" s="24">
        <f>C74+grid_coarse</f>
        <v/>
      </c>
      <c r="D75" s="25">
        <f>$D$14*ntp_price/(1+C75)^(ntp_year-$C$14)-SUMPRODUCT(($C$5:$C$11&gt;=$C$14)*($D$14/$E$5:$E$11)*$D$5:$D$11/(1+C75)^($C$5:$C$11-$C$14))</f>
        <v/>
      </c>
      <c r="E75" s="24">
        <f>IF(D75&gt;0,C75,-1)</f>
        <v/>
      </c>
    </row>
    <row r="76">
      <c r="C76" s="24">
        <f>C75+grid_coarse</f>
        <v/>
      </c>
      <c r="D76" s="25">
        <f>$D$14*ntp_price/(1+C76)^(ntp_year-$C$14)-SUMPRODUCT(($C$5:$C$11&gt;=$C$14)*($D$14/$E$5:$E$11)*$D$5:$D$11/(1+C76)^($C$5:$C$11-$C$14))</f>
        <v/>
      </c>
      <c r="E76" s="24">
        <f>IF(D76&gt;0,C76,-1)</f>
        <v/>
      </c>
    </row>
    <row r="77">
      <c r="C77" s="24">
        <f>C76+grid_coarse</f>
        <v/>
      </c>
      <c r="D77" s="25">
        <f>$D$14*ntp_price/(1+C77)^(ntp_year-$C$14)-SUMPRODUCT(($C$5:$C$11&gt;=$C$14)*($D$14/$E$5:$E$11)*$D$5:$D$11/(1+C77)^($C$5:$C$11-$C$14))</f>
        <v/>
      </c>
      <c r="E77" s="24">
        <f>IF(D77&gt;0,C77,-1)</f>
        <v/>
      </c>
    </row>
    <row r="78">
      <c r="C78" s="24">
        <f>C77+grid_coarse</f>
        <v/>
      </c>
      <c r="D78" s="25">
        <f>$D$14*ntp_price/(1+C78)^(ntp_year-$C$14)-SUMPRODUCT(($C$5:$C$11&gt;=$C$14)*($D$14/$E$5:$E$11)*$D$5:$D$11/(1+C78)^($C$5:$C$11-$C$14))</f>
        <v/>
      </c>
      <c r="E78" s="24">
        <f>IF(D78&gt;0,C78,-1)</f>
        <v/>
      </c>
    </row>
    <row r="79">
      <c r="C79" s="24">
        <f>C78+grid_coarse</f>
        <v/>
      </c>
      <c r="D79" s="25">
        <f>$D$14*ntp_price/(1+C79)^(ntp_year-$C$14)-SUMPRODUCT(($C$5:$C$11&gt;=$C$14)*($D$14/$E$5:$E$11)*$D$5:$D$11/(1+C79)^($C$5:$C$11-$C$14))</f>
        <v/>
      </c>
      <c r="E79" s="24">
        <f>IF(D79&gt;0,C79,-1)</f>
        <v/>
      </c>
    </row>
    <row r="80">
      <c r="C80" s="24">
        <f>C79+grid_coarse</f>
        <v/>
      </c>
      <c r="D80" s="25">
        <f>$D$14*ntp_price/(1+C80)^(ntp_year-$C$14)-SUMPRODUCT(($C$5:$C$11&gt;=$C$14)*($D$14/$E$5:$E$11)*$D$5:$D$11/(1+C80)^($C$5:$C$11-$C$14))</f>
        <v/>
      </c>
      <c r="E80" s="24">
        <f>IF(D80&gt;0,C80,-1)</f>
        <v/>
      </c>
    </row>
    <row r="81">
      <c r="C81" s="24">
        <f>C80+grid_coarse</f>
        <v/>
      </c>
      <c r="D81" s="25">
        <f>$D$14*ntp_price/(1+C81)^(ntp_year-$C$14)-SUMPRODUCT(($C$5:$C$11&gt;=$C$14)*($D$14/$E$5:$E$11)*$D$5:$D$11/(1+C81)^($C$5:$C$11-$C$14))</f>
        <v/>
      </c>
      <c r="E81" s="24">
        <f>IF(D81&gt;0,C81,-1)</f>
        <v/>
      </c>
    </row>
    <row r="82">
      <c r="C82" s="24">
        <f>C81+grid_coarse</f>
        <v/>
      </c>
      <c r="D82" s="25">
        <f>$D$14*ntp_price/(1+C82)^(ntp_year-$C$14)-SUMPRODUCT(($C$5:$C$11&gt;=$C$14)*($D$14/$E$5:$E$11)*$D$5:$D$11/(1+C82)^($C$5:$C$11-$C$14))</f>
        <v/>
      </c>
      <c r="E82" s="24">
        <f>IF(D82&gt;0,C82,-1)</f>
        <v/>
      </c>
    </row>
    <row r="83">
      <c r="C83" s="24">
        <f>C82+grid_coarse</f>
        <v/>
      </c>
      <c r="D83" s="25">
        <f>$D$14*ntp_price/(1+C83)^(ntp_year-$C$14)-SUMPRODUCT(($C$5:$C$11&gt;=$C$14)*($D$14/$E$5:$E$11)*$D$5:$D$11/(1+C83)^($C$5:$C$11-$C$14))</f>
        <v/>
      </c>
      <c r="E83" s="24">
        <f>IF(D83&gt;0,C83,-1)</f>
        <v/>
      </c>
    </row>
    <row r="84">
      <c r="C84" s="24">
        <f>C83+grid_coarse</f>
        <v/>
      </c>
      <c r="D84" s="25">
        <f>$D$14*ntp_price/(1+C84)^(ntp_year-$C$14)-SUMPRODUCT(($C$5:$C$11&gt;=$C$14)*($D$14/$E$5:$E$11)*$D$5:$D$11/(1+C84)^($C$5:$C$11-$C$14))</f>
        <v/>
      </c>
      <c r="E84" s="24">
        <f>IF(D84&gt;0,C84,-1)</f>
        <v/>
      </c>
    </row>
    <row r="85">
      <c r="C85" s="24">
        <f>C84+grid_coarse</f>
        <v/>
      </c>
      <c r="D85" s="25">
        <f>$D$14*ntp_price/(1+C85)^(ntp_year-$C$14)-SUMPRODUCT(($C$5:$C$11&gt;=$C$14)*($D$14/$E$5:$E$11)*$D$5:$D$11/(1+C85)^($C$5:$C$11-$C$14))</f>
        <v/>
      </c>
      <c r="E85" s="24">
        <f>IF(D85&gt;0,C85,-1)</f>
        <v/>
      </c>
    </row>
    <row r="86">
      <c r="C86" s="24">
        <f>C85+grid_coarse</f>
        <v/>
      </c>
      <c r="D86" s="25">
        <f>$D$14*ntp_price/(1+C86)^(ntp_year-$C$14)-SUMPRODUCT(($C$5:$C$11&gt;=$C$14)*($D$14/$E$5:$E$11)*$D$5:$D$11/(1+C86)^($C$5:$C$11-$C$14))</f>
        <v/>
      </c>
      <c r="E86" s="24">
        <f>IF(D86&gt;0,C86,-1)</f>
        <v/>
      </c>
    </row>
    <row r="87">
      <c r="C87" s="24">
        <f>C86+grid_coarse</f>
        <v/>
      </c>
      <c r="D87" s="25">
        <f>$D$14*ntp_price/(1+C87)^(ntp_year-$C$14)-SUMPRODUCT(($C$5:$C$11&gt;=$C$14)*($D$14/$E$5:$E$11)*$D$5:$D$11/(1+C87)^($C$5:$C$11-$C$14))</f>
        <v/>
      </c>
      <c r="E87" s="24">
        <f>IF(D87&gt;0,C87,-1)</f>
        <v/>
      </c>
    </row>
    <row r="88">
      <c r="C88" s="24">
        <f>C87+grid_coarse</f>
        <v/>
      </c>
      <c r="D88" s="25">
        <f>$D$14*ntp_price/(1+C88)^(ntp_year-$C$14)-SUMPRODUCT(($C$5:$C$11&gt;=$C$14)*($D$14/$E$5:$E$11)*$D$5:$D$11/(1+C88)^($C$5:$C$11-$C$14))</f>
        <v/>
      </c>
      <c r="E88" s="24">
        <f>IF(D88&gt;0,C88,-1)</f>
        <v/>
      </c>
    </row>
    <row r="89">
      <c r="C89" s="24">
        <f>C88+grid_coarse</f>
        <v/>
      </c>
      <c r="D89" s="25">
        <f>$D$14*ntp_price/(1+C89)^(ntp_year-$C$14)-SUMPRODUCT(($C$5:$C$11&gt;=$C$14)*($D$14/$E$5:$E$11)*$D$5:$D$11/(1+C89)^($C$5:$C$11-$C$14))</f>
        <v/>
      </c>
      <c r="E89" s="24">
        <f>IF(D89&gt;0,C89,-1)</f>
        <v/>
      </c>
    </row>
    <row r="90">
      <c r="C90" s="24">
        <f>C89+grid_coarse</f>
        <v/>
      </c>
      <c r="D90" s="25">
        <f>$D$14*ntp_price/(1+C90)^(ntp_year-$C$14)-SUMPRODUCT(($C$5:$C$11&gt;=$C$14)*($D$14/$E$5:$E$11)*$D$5:$D$11/(1+C90)^($C$5:$C$11-$C$14))</f>
        <v/>
      </c>
      <c r="E90" s="24">
        <f>IF(D90&gt;0,C90,-1)</f>
        <v/>
      </c>
    </row>
    <row r="91">
      <c r="C91" s="24">
        <f>C90+grid_coarse</f>
        <v/>
      </c>
      <c r="D91" s="25">
        <f>$D$14*ntp_price/(1+C91)^(ntp_year-$C$14)-SUMPRODUCT(($C$5:$C$11&gt;=$C$14)*($D$14/$E$5:$E$11)*$D$5:$D$11/(1+C91)^($C$5:$C$11-$C$14))</f>
        <v/>
      </c>
      <c r="E91" s="24">
        <f>IF(D91&gt;0,C91,-1)</f>
        <v/>
      </c>
    </row>
    <row r="92">
      <c r="C92" s="24">
        <f>C91+grid_coarse</f>
        <v/>
      </c>
      <c r="D92" s="25">
        <f>$D$14*ntp_price/(1+C92)^(ntp_year-$C$14)-SUMPRODUCT(($C$5:$C$11&gt;=$C$14)*($D$14/$E$5:$E$11)*$D$5:$D$11/(1+C92)^($C$5:$C$11-$C$14))</f>
        <v/>
      </c>
      <c r="E92" s="24">
        <f>IF(D92&gt;0,C92,-1)</f>
        <v/>
      </c>
    </row>
    <row r="93">
      <c r="C93" s="24">
        <f>C92+grid_coarse</f>
        <v/>
      </c>
      <c r="D93" s="25">
        <f>$D$14*ntp_price/(1+C93)^(ntp_year-$C$14)-SUMPRODUCT(($C$5:$C$11&gt;=$C$14)*($D$14/$E$5:$E$11)*$D$5:$D$11/(1+C93)^($C$5:$C$11-$C$14))</f>
        <v/>
      </c>
      <c r="E93" s="24">
        <f>IF(D93&gt;0,C93,-1)</f>
        <v/>
      </c>
    </row>
    <row r="94">
      <c r="C94" s="24">
        <f>C93+grid_coarse</f>
        <v/>
      </c>
      <c r="D94" s="25">
        <f>$D$14*ntp_price/(1+C94)^(ntp_year-$C$14)-SUMPRODUCT(($C$5:$C$11&gt;=$C$14)*($D$14/$E$5:$E$11)*$D$5:$D$11/(1+C94)^($C$5:$C$11-$C$14))</f>
        <v/>
      </c>
      <c r="E94" s="24">
        <f>IF(D94&gt;0,C94,-1)</f>
        <v/>
      </c>
    </row>
    <row r="95">
      <c r="C95" s="24">
        <f>C94+grid_coarse</f>
        <v/>
      </c>
      <c r="D95" s="25">
        <f>$D$14*ntp_price/(1+C95)^(ntp_year-$C$14)-SUMPRODUCT(($C$5:$C$11&gt;=$C$14)*($D$14/$E$5:$E$11)*$D$5:$D$11/(1+C95)^($C$5:$C$11-$C$14))</f>
        <v/>
      </c>
      <c r="E95" s="24">
        <f>IF(D95&gt;0,C95,-1)</f>
        <v/>
      </c>
    </row>
    <row r="96">
      <c r="C96" s="24">
        <f>C95+grid_coarse</f>
        <v/>
      </c>
      <c r="D96" s="25">
        <f>$D$14*ntp_price/(1+C96)^(ntp_year-$C$14)-SUMPRODUCT(($C$5:$C$11&gt;=$C$14)*($D$14/$E$5:$E$11)*$D$5:$D$11/(1+C96)^($C$5:$C$11-$C$14))</f>
        <v/>
      </c>
      <c r="E96" s="24">
        <f>IF(D96&gt;0,C96,-1)</f>
        <v/>
      </c>
    </row>
    <row r="97">
      <c r="B97" s="7" t="inlineStr">
        <is>
          <t>Highest coarse rate with a positive value</t>
        </is>
      </c>
      <c r="C97" s="24">
        <f>MAX(E36:E96)</f>
        <v/>
      </c>
    </row>
    <row r="98">
      <c r="C98" s="14" t="inlineStr">
        <is>
          <t>Rate</t>
        </is>
      </c>
      <c r="D98" s="14" t="inlineStr">
        <is>
          <t>Stage value</t>
        </is>
      </c>
      <c r="E98" s="14" t="inlineStr">
        <is>
          <t>Rate if positive</t>
        </is>
      </c>
    </row>
    <row r="99">
      <c r="C99" s="40">
        <f>Stages!$C$97</f>
        <v/>
      </c>
      <c r="D99" s="23">
        <f>$D$14*ntp_price/(1+C99)^(ntp_year-$C$14)-SUMPRODUCT(($C$5:$C$11&gt;=$C$14)*($D$14/$E$5:$E$11)*$D$5:$D$11/(1+C99)^($C$5:$C$11-$C$14))</f>
        <v/>
      </c>
      <c r="E99" s="40">
        <f>IF(D99&gt;0,C99,-1)</f>
        <v/>
      </c>
    </row>
    <row r="100">
      <c r="C100" s="40">
        <f>C99+grid_fine</f>
        <v/>
      </c>
      <c r="D100" s="23">
        <f>$D$14*ntp_price/(1+C100)^(ntp_year-$C$14)-SUMPRODUCT(($C$5:$C$11&gt;=$C$14)*($D$14/$E$5:$E$11)*$D$5:$D$11/(1+C100)^($C$5:$C$11-$C$14))</f>
        <v/>
      </c>
      <c r="E100" s="40">
        <f>IF(D100&gt;0,C100,-1)</f>
        <v/>
      </c>
    </row>
    <row r="101">
      <c r="C101" s="40">
        <f>C100+grid_fine</f>
        <v/>
      </c>
      <c r="D101" s="23">
        <f>$D$14*ntp_price/(1+C101)^(ntp_year-$C$14)-SUMPRODUCT(($C$5:$C$11&gt;=$C$14)*($D$14/$E$5:$E$11)*$D$5:$D$11/(1+C101)^($C$5:$C$11-$C$14))</f>
        <v/>
      </c>
      <c r="E101" s="40">
        <f>IF(D101&gt;0,C101,-1)</f>
        <v/>
      </c>
    </row>
    <row r="102">
      <c r="C102" s="40">
        <f>C101+grid_fine</f>
        <v/>
      </c>
      <c r="D102" s="23">
        <f>$D$14*ntp_price/(1+C102)^(ntp_year-$C$14)-SUMPRODUCT(($C$5:$C$11&gt;=$C$14)*($D$14/$E$5:$E$11)*$D$5:$D$11/(1+C102)^($C$5:$C$11-$C$14))</f>
        <v/>
      </c>
      <c r="E102" s="40">
        <f>IF(D102&gt;0,C102,-1)</f>
        <v/>
      </c>
    </row>
    <row r="103">
      <c r="C103" s="40">
        <f>C102+grid_fine</f>
        <v/>
      </c>
      <c r="D103" s="23">
        <f>$D$14*ntp_price/(1+C103)^(ntp_year-$C$14)-SUMPRODUCT(($C$5:$C$11&gt;=$C$14)*($D$14/$E$5:$E$11)*$D$5:$D$11/(1+C103)^($C$5:$C$11-$C$14))</f>
        <v/>
      </c>
      <c r="E103" s="40">
        <f>IF(D103&gt;0,C103,-1)</f>
        <v/>
      </c>
    </row>
    <row r="104">
      <c r="C104" s="40">
        <f>C103+grid_fine</f>
        <v/>
      </c>
      <c r="D104" s="23">
        <f>$D$14*ntp_price/(1+C104)^(ntp_year-$C$14)-SUMPRODUCT(($C$5:$C$11&gt;=$C$14)*($D$14/$E$5:$E$11)*$D$5:$D$11/(1+C104)^($C$5:$C$11-$C$14))</f>
        <v/>
      </c>
      <c r="E104" s="40">
        <f>IF(D104&gt;0,C104,-1)</f>
        <v/>
      </c>
    </row>
    <row r="105">
      <c r="C105" s="40">
        <f>C104+grid_fine</f>
        <v/>
      </c>
      <c r="D105" s="23">
        <f>$D$14*ntp_price/(1+C105)^(ntp_year-$C$14)-SUMPRODUCT(($C$5:$C$11&gt;=$C$14)*($D$14/$E$5:$E$11)*$D$5:$D$11/(1+C105)^($C$5:$C$11-$C$14))</f>
        <v/>
      </c>
      <c r="E105" s="40">
        <f>IF(D105&gt;0,C105,-1)</f>
        <v/>
      </c>
    </row>
    <row r="106">
      <c r="C106" s="40">
        <f>C105+grid_fine</f>
        <v/>
      </c>
      <c r="D106" s="23">
        <f>$D$14*ntp_price/(1+C106)^(ntp_year-$C$14)-SUMPRODUCT(($C$5:$C$11&gt;=$C$14)*($D$14/$E$5:$E$11)*$D$5:$D$11/(1+C106)^($C$5:$C$11-$C$14))</f>
        <v/>
      </c>
      <c r="E106" s="40">
        <f>IF(D106&gt;0,C106,-1)</f>
        <v/>
      </c>
    </row>
    <row r="107">
      <c r="C107" s="40">
        <f>C106+grid_fine</f>
        <v/>
      </c>
      <c r="D107" s="23">
        <f>$D$14*ntp_price/(1+C107)^(ntp_year-$C$14)-SUMPRODUCT(($C$5:$C$11&gt;=$C$14)*($D$14/$E$5:$E$11)*$D$5:$D$11/(1+C107)^($C$5:$C$11-$C$14))</f>
        <v/>
      </c>
      <c r="E107" s="40">
        <f>IF(D107&gt;0,C107,-1)</f>
        <v/>
      </c>
    </row>
    <row r="108">
      <c r="C108" s="40">
        <f>C107+grid_fine</f>
        <v/>
      </c>
      <c r="D108" s="23">
        <f>$D$14*ntp_price/(1+C108)^(ntp_year-$C$14)-SUMPRODUCT(($C$5:$C$11&gt;=$C$14)*($D$14/$E$5:$E$11)*$D$5:$D$11/(1+C108)^($C$5:$C$11-$C$14))</f>
        <v/>
      </c>
      <c r="E108" s="40">
        <f>IF(D108&gt;0,C108,-1)</f>
        <v/>
      </c>
    </row>
    <row r="109">
      <c r="C109" s="40">
        <f>C108+grid_fine</f>
        <v/>
      </c>
      <c r="D109" s="23">
        <f>$D$14*ntp_price/(1+C109)^(ntp_year-$C$14)-SUMPRODUCT(($C$5:$C$11&gt;=$C$14)*($D$14/$E$5:$E$11)*$D$5:$D$11/(1+C109)^($C$5:$C$11-$C$14))</f>
        <v/>
      </c>
      <c r="E109" s="40">
        <f>IF(D109&gt;0,C109,-1)</f>
        <v/>
      </c>
    </row>
    <row r="110">
      <c r="C110" s="40">
        <f>C109+grid_fine</f>
        <v/>
      </c>
      <c r="D110" s="23">
        <f>$D$14*ntp_price/(1+C110)^(ntp_year-$C$14)-SUMPRODUCT(($C$5:$C$11&gt;=$C$14)*($D$14/$E$5:$E$11)*$D$5:$D$11/(1+C110)^($C$5:$C$11-$C$14))</f>
        <v/>
      </c>
      <c r="E110" s="40">
        <f>IF(D110&gt;0,C110,-1)</f>
        <v/>
      </c>
    </row>
    <row r="111">
      <c r="C111" s="40">
        <f>C110+grid_fine</f>
        <v/>
      </c>
      <c r="D111" s="23">
        <f>$D$14*ntp_price/(1+C111)^(ntp_year-$C$14)-SUMPRODUCT(($C$5:$C$11&gt;=$C$14)*($D$14/$E$5:$E$11)*$D$5:$D$11/(1+C111)^($C$5:$C$11-$C$14))</f>
        <v/>
      </c>
      <c r="E111" s="40">
        <f>IF(D111&gt;0,C111,-1)</f>
        <v/>
      </c>
    </row>
    <row r="112">
      <c r="C112" s="40">
        <f>C111+grid_fine</f>
        <v/>
      </c>
      <c r="D112" s="23">
        <f>$D$14*ntp_price/(1+C112)^(ntp_year-$C$14)-SUMPRODUCT(($C$5:$C$11&gt;=$C$14)*($D$14/$E$5:$E$11)*$D$5:$D$11/(1+C112)^($C$5:$C$11-$C$14))</f>
        <v/>
      </c>
      <c r="E112" s="40">
        <f>IF(D112&gt;0,C112,-1)</f>
        <v/>
      </c>
    </row>
    <row r="113">
      <c r="C113" s="40">
        <f>C112+grid_fine</f>
        <v/>
      </c>
      <c r="D113" s="23">
        <f>$D$14*ntp_price/(1+C113)^(ntp_year-$C$14)-SUMPRODUCT(($C$5:$C$11&gt;=$C$14)*($D$14/$E$5:$E$11)*$D$5:$D$11/(1+C113)^($C$5:$C$11-$C$14))</f>
        <v/>
      </c>
      <c r="E113" s="40">
        <f>IF(D113&gt;0,C113,-1)</f>
        <v/>
      </c>
    </row>
    <row r="114">
      <c r="C114" s="40">
        <f>C113+grid_fine</f>
        <v/>
      </c>
      <c r="D114" s="23">
        <f>$D$14*ntp_price/(1+C114)^(ntp_year-$C$14)-SUMPRODUCT(($C$5:$C$11&gt;=$C$14)*($D$14/$E$5:$E$11)*$D$5:$D$11/(1+C114)^($C$5:$C$11-$C$14))</f>
        <v/>
      </c>
      <c r="E114" s="40">
        <f>IF(D114&gt;0,C114,-1)</f>
        <v/>
      </c>
    </row>
    <row r="115">
      <c r="C115" s="40">
        <f>C114+grid_fine</f>
        <v/>
      </c>
      <c r="D115" s="23">
        <f>$D$14*ntp_price/(1+C115)^(ntp_year-$C$14)-SUMPRODUCT(($C$5:$C$11&gt;=$C$14)*($D$14/$E$5:$E$11)*$D$5:$D$11/(1+C115)^($C$5:$C$11-$C$14))</f>
        <v/>
      </c>
      <c r="E115" s="40">
        <f>IF(D115&gt;0,C115,-1)</f>
        <v/>
      </c>
    </row>
    <row r="116">
      <c r="C116" s="40">
        <f>C115+grid_fine</f>
        <v/>
      </c>
      <c r="D116" s="23">
        <f>$D$14*ntp_price/(1+C116)^(ntp_year-$C$14)-SUMPRODUCT(($C$5:$C$11&gt;=$C$14)*($D$14/$E$5:$E$11)*$D$5:$D$11/(1+C116)^($C$5:$C$11-$C$14))</f>
        <v/>
      </c>
      <c r="E116" s="40">
        <f>IF(D116&gt;0,C116,-1)</f>
        <v/>
      </c>
    </row>
    <row r="117">
      <c r="C117" s="40">
        <f>C116+grid_fine</f>
        <v/>
      </c>
      <c r="D117" s="23">
        <f>$D$14*ntp_price/(1+C117)^(ntp_year-$C$14)-SUMPRODUCT(($C$5:$C$11&gt;=$C$14)*($D$14/$E$5:$E$11)*$D$5:$D$11/(1+C117)^($C$5:$C$11-$C$14))</f>
        <v/>
      </c>
      <c r="E117" s="40">
        <f>IF(D117&gt;0,C117,-1)</f>
        <v/>
      </c>
    </row>
    <row r="118">
      <c r="C118" s="40">
        <f>C117+grid_fine</f>
        <v/>
      </c>
      <c r="D118" s="23">
        <f>$D$14*ntp_price/(1+C118)^(ntp_year-$C$14)-SUMPRODUCT(($C$5:$C$11&gt;=$C$14)*($D$14/$E$5:$E$11)*$D$5:$D$11/(1+C118)^($C$5:$C$11-$C$14))</f>
        <v/>
      </c>
      <c r="E118" s="40">
        <f>IF(D118&gt;0,C118,-1)</f>
        <v/>
      </c>
    </row>
    <row r="119">
      <c r="C119" s="40">
        <f>C118+grid_fine</f>
        <v/>
      </c>
      <c r="D119" s="23">
        <f>$D$14*ntp_price/(1+C119)^(ntp_year-$C$14)-SUMPRODUCT(($C$5:$C$11&gt;=$C$14)*($D$14/$E$5:$E$11)*$D$5:$D$11/(1+C119)^($C$5:$C$11-$C$14))</f>
        <v/>
      </c>
      <c r="E119" s="40">
        <f>IF(D119&gt;0,C119,-1)</f>
        <v/>
      </c>
    </row>
    <row r="120">
      <c r="B120" s="7" t="inlineStr">
        <is>
          <t>Highest fine rate with a positive value</t>
        </is>
      </c>
      <c r="C120" s="40">
        <f>MAX(E99:E119)</f>
        <v/>
      </c>
    </row>
    <row r="121">
      <c r="B121" s="7" t="inlineStr">
        <is>
          <t>Stage value at that rate</t>
        </is>
      </c>
      <c r="C121" s="23">
        <f>INDEX(D99:D119,MATCH(Stages!$C$120,C99:C119,0))</f>
        <v/>
      </c>
    </row>
    <row r="122">
      <c r="B122" s="7" t="inlineStr">
        <is>
          <t>Stage value one fine step higher</t>
        </is>
      </c>
      <c r="C122" s="23">
        <f>$D$14*ntp_price/(1+(Stages!$C$120+grid_fine))^(ntp_year-$C$14)-SUMPRODUCT(($C$5:$C$11&gt;=$C$14)*($D$14/$E$5:$E$11)*$D$5:$D$11/(1+(Stages!$C$120+grid_fine))^($C$5:$C$11-$C$14))</f>
        <v/>
      </c>
    </row>
    <row r="123">
      <c r="B123" s="7" t="inlineStr">
        <is>
          <t>Expected return (linear interpolation inside the fine step)</t>
        </is>
      </c>
      <c r="C123" s="37">
        <f>Stages!$C$120+grid_fine*Stages!$C$121/(Stages!$C$121-Stages!$C$122)</f>
        <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B2:M42"/>
  <sheetViews>
    <sheetView showGridLines="0" workbookViewId="0">
      <selection activeCell="A1" sqref="A1"/>
    </sheetView>
  </sheetViews>
  <sheetFormatPr baseColWidth="8" defaultRowHeight="15"/>
  <cols>
    <col width="2" customWidth="1" min="1" max="1"/>
    <col width="7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s>
  <sheetData>
    <row r="2">
      <c r="B2" s="4" t="inlineStr">
        <is>
          <t>Selling at earlier stages, milestone payments, the platform and later sales (chapter 14)</t>
        </is>
      </c>
    </row>
    <row r="4">
      <c r="B4" s="14" t="inlineStr">
        <is>
          <t>Sale at a stage value: half-year grid of flows (development spend before the sale date only, price on the sale date)</t>
        </is>
      </c>
    </row>
    <row r="5">
      <c r="B5" s="7" t="inlineStr">
        <is>
          <t>Date</t>
        </is>
      </c>
      <c r="C5" s="38">
        <f>Stages!C27</f>
        <v/>
      </c>
      <c r="D5" s="38">
        <f>Stages!D27</f>
        <v/>
      </c>
      <c r="E5" s="38">
        <f>Stages!E27</f>
        <v/>
      </c>
      <c r="F5" s="38">
        <f>Stages!F27</f>
        <v/>
      </c>
      <c r="G5" s="38">
        <f>Stages!G27</f>
        <v/>
      </c>
      <c r="H5" s="38">
        <f>Stages!H27</f>
        <v/>
      </c>
      <c r="I5" s="38">
        <f>Stages!I27</f>
        <v/>
      </c>
      <c r="J5" s="38">
        <f>Stages!J27</f>
        <v/>
      </c>
      <c r="K5" s="38">
        <f>Stages!K27</f>
        <v/>
      </c>
      <c r="L5" s="38">
        <f>Stages!L27</f>
        <v/>
      </c>
      <c r="M5" s="38">
        <f>Stages!M27</f>
        <v/>
      </c>
    </row>
    <row r="6">
      <c r="B6" s="7" t="inlineStr">
        <is>
          <t>Sale on 1 January 2024: flows ($)</t>
        </is>
      </c>
      <c r="C6" s="25">
        <f>IF(C$5&lt;Inputs!$D$78,-SUMPRODUCT((dev_date=C$5)*dev_amt),0)+IF(C$5=Inputs!$D$78,Stages!$G$16,0)</f>
        <v/>
      </c>
      <c r="D6" s="25">
        <f>IF(D$5&lt;Inputs!$D$78,-SUMPRODUCT((dev_date=D$5)*dev_amt),0)+IF(D$5=Inputs!$D$78,Stages!$G$16,0)</f>
        <v/>
      </c>
      <c r="E6" s="25">
        <f>IF(E$5&lt;Inputs!$D$78,-SUMPRODUCT((dev_date=E$5)*dev_amt),0)+IF(E$5=Inputs!$D$78,Stages!$G$16,0)</f>
        <v/>
      </c>
      <c r="F6" s="25">
        <f>IF(F$5&lt;Inputs!$D$78,-SUMPRODUCT((dev_date=F$5)*dev_amt),0)+IF(F$5=Inputs!$D$78,Stages!$G$16,0)</f>
        <v/>
      </c>
      <c r="G6" s="25">
        <f>IF(G$5&lt;Inputs!$D$78,-SUMPRODUCT((dev_date=G$5)*dev_amt),0)+IF(G$5=Inputs!$D$78,Stages!$G$16,0)</f>
        <v/>
      </c>
      <c r="H6" s="25">
        <f>IF(H$5&lt;Inputs!$D$78,-SUMPRODUCT((dev_date=H$5)*dev_amt),0)+IF(H$5=Inputs!$D$78,Stages!$G$16,0)</f>
        <v/>
      </c>
      <c r="I6" s="25">
        <f>IF(I$5&lt;Inputs!$D$78,-SUMPRODUCT((dev_date=I$5)*dev_amt),0)+IF(I$5=Inputs!$D$78,Stages!$G$16,0)</f>
        <v/>
      </c>
      <c r="J6" s="25">
        <f>IF(J$5&lt;Inputs!$D$78,-SUMPRODUCT((dev_date=J$5)*dev_amt),0)+IF(J$5=Inputs!$D$78,Stages!$G$16,0)</f>
        <v/>
      </c>
      <c r="K6" s="25">
        <f>IF(K$5&lt;Inputs!$D$78,-SUMPRODUCT((dev_date=K$5)*dev_amt),0)+IF(K$5=Inputs!$D$78,Stages!$G$16,0)</f>
        <v/>
      </c>
      <c r="L6" s="25">
        <f>IF(L$5&lt;Inputs!$D$78,-SUMPRODUCT((dev_date=L$5)*dev_amt),0)+IF(L$5=Inputs!$D$78,Stages!$G$16,0)</f>
        <v/>
      </c>
      <c r="M6" s="25">
        <f>IF(M$5&lt;Inputs!$D$78,-SUMPRODUCT((dev_date=M$5)*dev_amt),0)+IF(M$5=Inputs!$D$78,Stages!$G$16,0)</f>
        <v/>
      </c>
    </row>
    <row r="7">
      <c r="B7" s="7" t="inlineStr">
        <is>
          <t xml:space="preserve">   Spent before the sale</t>
        </is>
      </c>
      <c r="C7" s="25">
        <f>SUMPRODUCT((dev_date&lt;Inputs!$D$78)*dev_amt)</f>
        <v/>
      </c>
    </row>
    <row r="8">
      <c r="B8" s="7" t="inlineStr">
        <is>
          <t xml:space="preserve">   Price (stage value)</t>
        </is>
      </c>
      <c r="C8" s="25">
        <f>Stages!$G$16</f>
        <v/>
      </c>
    </row>
    <row r="9">
      <c r="B9" s="7" t="inlineStr">
        <is>
          <t xml:space="preserve">   IRR (annualized)</t>
        </is>
      </c>
      <c r="C9" s="39">
        <f>(1+IRR(C6:M6,0.2))^2-1</f>
        <v/>
      </c>
    </row>
    <row r="11">
      <c r="B11" s="7" t="inlineStr">
        <is>
          <t>Sale on 1 January 2025: flows ($)</t>
        </is>
      </c>
      <c r="C11" s="25">
        <f>IF(C$5&lt;Inputs!$D$79,-SUMPRODUCT((dev_date=C$5)*dev_amt),0)+IF(C$5=Inputs!$D$79,Stages!$G$17,0)</f>
        <v/>
      </c>
      <c r="D11" s="25">
        <f>IF(D$5&lt;Inputs!$D$79,-SUMPRODUCT((dev_date=D$5)*dev_amt),0)+IF(D$5=Inputs!$D$79,Stages!$G$17,0)</f>
        <v/>
      </c>
      <c r="E11" s="25">
        <f>IF(E$5&lt;Inputs!$D$79,-SUMPRODUCT((dev_date=E$5)*dev_amt),0)+IF(E$5=Inputs!$D$79,Stages!$G$17,0)</f>
        <v/>
      </c>
      <c r="F11" s="25">
        <f>IF(F$5&lt;Inputs!$D$79,-SUMPRODUCT((dev_date=F$5)*dev_amt),0)+IF(F$5=Inputs!$D$79,Stages!$G$17,0)</f>
        <v/>
      </c>
      <c r="G11" s="25">
        <f>IF(G$5&lt;Inputs!$D$79,-SUMPRODUCT((dev_date=G$5)*dev_amt),0)+IF(G$5=Inputs!$D$79,Stages!$G$17,0)</f>
        <v/>
      </c>
      <c r="H11" s="25">
        <f>IF(H$5&lt;Inputs!$D$79,-SUMPRODUCT((dev_date=H$5)*dev_amt),0)+IF(H$5=Inputs!$D$79,Stages!$G$17,0)</f>
        <v/>
      </c>
      <c r="I11" s="25">
        <f>IF(I$5&lt;Inputs!$D$79,-SUMPRODUCT((dev_date=I$5)*dev_amt),0)+IF(I$5=Inputs!$D$79,Stages!$G$17,0)</f>
        <v/>
      </c>
      <c r="J11" s="25">
        <f>IF(J$5&lt;Inputs!$D$79,-SUMPRODUCT((dev_date=J$5)*dev_amt),0)+IF(J$5=Inputs!$D$79,Stages!$G$17,0)</f>
        <v/>
      </c>
      <c r="K11" s="25">
        <f>IF(K$5&lt;Inputs!$D$79,-SUMPRODUCT((dev_date=K$5)*dev_amt),0)+IF(K$5=Inputs!$D$79,Stages!$G$17,0)</f>
        <v/>
      </c>
      <c r="L11" s="25">
        <f>IF(L$5&lt;Inputs!$D$79,-SUMPRODUCT((dev_date=L$5)*dev_amt),0)+IF(L$5=Inputs!$D$79,Stages!$G$17,0)</f>
        <v/>
      </c>
      <c r="M11" s="25">
        <f>IF(M$5&lt;Inputs!$D$79,-SUMPRODUCT((dev_date=M$5)*dev_amt),0)+IF(M$5=Inputs!$D$79,Stages!$G$17,0)</f>
        <v/>
      </c>
    </row>
    <row r="12">
      <c r="B12" s="7" t="inlineStr">
        <is>
          <t xml:space="preserve">   Spent before the sale</t>
        </is>
      </c>
      <c r="C12" s="25">
        <f>SUMPRODUCT((dev_date&lt;Inputs!$D$79)*dev_amt)</f>
        <v/>
      </c>
    </row>
    <row r="13">
      <c r="B13" s="7" t="inlineStr">
        <is>
          <t xml:space="preserve">   Price (stage value)</t>
        </is>
      </c>
      <c r="C13" s="25">
        <f>Stages!$G$17</f>
        <v/>
      </c>
    </row>
    <row r="14">
      <c r="B14" s="7" t="inlineStr">
        <is>
          <t xml:space="preserve">   IRR (annualized)</t>
        </is>
      </c>
      <c r="C14" s="39">
        <f>(1+IRR(C11:M11,0.2))^2-1</f>
        <v/>
      </c>
    </row>
    <row r="16">
      <c r="B16" s="7" t="inlineStr">
        <is>
          <t>Sale on 1 January 2026: flows ($)</t>
        </is>
      </c>
      <c r="C16" s="25">
        <f>IF(C$5&lt;Inputs!$D$80,-SUMPRODUCT((dev_date=C$5)*dev_amt),0)+IF(C$5=Inputs!$D$80,Stages!$G$18,0)</f>
        <v/>
      </c>
      <c r="D16" s="25">
        <f>IF(D$5&lt;Inputs!$D$80,-SUMPRODUCT((dev_date=D$5)*dev_amt),0)+IF(D$5=Inputs!$D$80,Stages!$G$18,0)</f>
        <v/>
      </c>
      <c r="E16" s="25">
        <f>IF(E$5&lt;Inputs!$D$80,-SUMPRODUCT((dev_date=E$5)*dev_amt),0)+IF(E$5=Inputs!$D$80,Stages!$G$18,0)</f>
        <v/>
      </c>
      <c r="F16" s="25">
        <f>IF(F$5&lt;Inputs!$D$80,-SUMPRODUCT((dev_date=F$5)*dev_amt),0)+IF(F$5=Inputs!$D$80,Stages!$G$18,0)</f>
        <v/>
      </c>
      <c r="G16" s="25">
        <f>IF(G$5&lt;Inputs!$D$80,-SUMPRODUCT((dev_date=G$5)*dev_amt),0)+IF(G$5=Inputs!$D$80,Stages!$G$18,0)</f>
        <v/>
      </c>
      <c r="H16" s="25">
        <f>IF(H$5&lt;Inputs!$D$80,-SUMPRODUCT((dev_date=H$5)*dev_amt),0)+IF(H$5=Inputs!$D$80,Stages!$G$18,0)</f>
        <v/>
      </c>
      <c r="I16" s="25">
        <f>IF(I$5&lt;Inputs!$D$80,-SUMPRODUCT((dev_date=I$5)*dev_amt),0)+IF(I$5=Inputs!$D$80,Stages!$G$18,0)</f>
        <v/>
      </c>
      <c r="J16" s="25">
        <f>IF(J$5&lt;Inputs!$D$80,-SUMPRODUCT((dev_date=J$5)*dev_amt),0)+IF(J$5=Inputs!$D$80,Stages!$G$18,0)</f>
        <v/>
      </c>
      <c r="K16" s="25">
        <f>IF(K$5&lt;Inputs!$D$80,-SUMPRODUCT((dev_date=K$5)*dev_amt),0)+IF(K$5=Inputs!$D$80,Stages!$G$18,0)</f>
        <v/>
      </c>
      <c r="L16" s="25">
        <f>IF(L$5&lt;Inputs!$D$80,-SUMPRODUCT((dev_date=L$5)*dev_amt),0)+IF(L$5=Inputs!$D$80,Stages!$G$18,0)</f>
        <v/>
      </c>
      <c r="M16" s="25">
        <f>IF(M$5&lt;Inputs!$D$80,-SUMPRODUCT((dev_date=M$5)*dev_amt),0)+IF(M$5=Inputs!$D$80,Stages!$G$18,0)</f>
        <v/>
      </c>
    </row>
    <row r="17">
      <c r="B17" s="7" t="inlineStr">
        <is>
          <t xml:space="preserve">   Spent before the sale</t>
        </is>
      </c>
      <c r="C17" s="25">
        <f>SUMPRODUCT((dev_date&lt;Inputs!$D$80)*dev_amt)</f>
        <v/>
      </c>
    </row>
    <row r="18">
      <c r="B18" s="7" t="inlineStr">
        <is>
          <t xml:space="preserve">   Price (stage value)</t>
        </is>
      </c>
      <c r="C18" s="25">
        <f>Stages!$G$18</f>
        <v/>
      </c>
    </row>
    <row r="19">
      <c r="B19" s="7" t="inlineStr">
        <is>
          <t xml:space="preserve">   IRR (annualized)</t>
        </is>
      </c>
      <c r="C19" s="39">
        <f>(1+IRR(C16:M16,0.2))^2-1</f>
        <v/>
      </c>
    </row>
    <row r="20">
      <c r="B20" s="5" t="inlineStr">
        <is>
          <t>The 2024, 2025 and 2026 dates in these labels and flows are the stage dates of Inputs; change them there.</t>
        </is>
      </c>
    </row>
    <row r="22">
      <c r="B22" s="14" t="inlineStr">
        <is>
          <t>Sale on 1 January 2025 with milestone payments</t>
        </is>
      </c>
    </row>
    <row r="23">
      <c r="B23" s="7" t="inlineStr">
        <is>
          <t>Probability of reaching the LGIA from the permitted stage</t>
        </is>
      </c>
      <c r="C23" s="28">
        <f>INDEX(st_p,MATCH(eo_date,st_date,0))/Inputs!$C$80</f>
        <v/>
      </c>
    </row>
    <row r="24">
      <c r="B24" s="7" t="inlineStr">
        <is>
          <t>Probability of reaching NTP</t>
        </is>
      </c>
      <c r="C24" s="28">
        <f>INDEX(st_p,MATCH(eo_date,st_date,0))</f>
        <v/>
      </c>
    </row>
    <row r="25">
      <c r="B25" s="7" t="inlineStr">
        <is>
          <t>Headline price</t>
        </is>
      </c>
      <c r="C25" s="25">
        <f>eo_upfront+eo_lgia+eo_ntp</f>
        <v/>
      </c>
    </row>
    <row r="26">
      <c r="B26" s="7" t="inlineStr">
        <is>
          <t>Expected present value to Calder at the development rate</t>
        </is>
      </c>
      <c r="C26" s="26">
        <f>eo_upfront+Sale!$C$23*eo_lgia/(1+r_dev)^(Inputs!$D$80-eo_date)+Sale!$C$24*eo_ntp/(1+r_dev)^(ntp_year-eo_date)</f>
        <v/>
      </c>
    </row>
    <row r="27">
      <c r="B27" s="7" t="inlineStr">
        <is>
          <t>All-cash stage value on the same date</t>
        </is>
      </c>
      <c r="C27" s="25">
        <f>INDEX(Stages!$G$14:$G$20,MATCH(eo_date,Stages!$C$14:$C$20,0))</f>
        <v/>
      </c>
    </row>
    <row r="29">
      <c r="B29" s="14" t="inlineStr">
        <is>
          <t>Calder's platform on 1 January 2027 (stage value per MWac x pipeline MWac)</t>
        </is>
      </c>
      <c r="C29" s="14" t="inlineStr">
        <is>
          <t>Date</t>
        </is>
      </c>
      <c r="D29" s="14" t="inlineStr">
        <is>
          <t>MWac</t>
        </is>
      </c>
      <c r="E29" s="14" t="inlineStr">
        <is>
          <t>Value</t>
        </is>
      </c>
    </row>
    <row r="30">
      <c r="B30" s="7">
        <f>Inputs!B85</f>
        <v/>
      </c>
      <c r="C30" s="34">
        <f>Inputs!D85</f>
        <v/>
      </c>
      <c r="D30" s="23">
        <f>Inputs!C85</f>
        <v/>
      </c>
      <c r="E30" s="25">
        <f>INDEX(Stages!$G$14:$G$20,MATCH(C30,Stages!$C$14:$C$20,0))*D30/mwac</f>
        <v/>
      </c>
    </row>
    <row r="31">
      <c r="B31" s="7">
        <f>Inputs!B86</f>
        <v/>
      </c>
      <c r="C31" s="34">
        <f>Inputs!D86</f>
        <v/>
      </c>
      <c r="D31" s="23">
        <f>Inputs!C86</f>
        <v/>
      </c>
      <c r="E31" s="25">
        <f>INDEX(Stages!$G$14:$G$20,MATCH(C31,Stages!$C$14:$C$20,0))*D31/mwac</f>
        <v/>
      </c>
    </row>
    <row r="32">
      <c r="B32" s="7">
        <f>Inputs!B87</f>
        <v/>
      </c>
      <c r="C32" s="34">
        <f>Inputs!D87</f>
        <v/>
      </c>
      <c r="D32" s="23">
        <f>Inputs!C87</f>
        <v/>
      </c>
      <c r="E32" s="25">
        <f>INDEX(Stages!$G$14:$G$20,MATCH(C32,Stages!$C$14:$C$20,0))*D32/mwac</f>
        <v/>
      </c>
    </row>
    <row r="33">
      <c r="B33" s="7">
        <f>Inputs!B88</f>
        <v/>
      </c>
      <c r="C33" s="34">
        <f>Inputs!D88</f>
        <v/>
      </c>
      <c r="D33" s="23">
        <f>Inputs!C88</f>
        <v/>
      </c>
      <c r="E33" s="25">
        <f>INDEX(Stages!$G$14:$G$20,MATCH(C33,Stages!$C$14:$C$20,0))*D33/mwac</f>
        <v/>
      </c>
    </row>
    <row r="34">
      <c r="B34" s="7">
        <f>Inputs!B89</f>
        <v/>
      </c>
      <c r="C34" s="34">
        <f>Inputs!D89</f>
        <v/>
      </c>
      <c r="D34" s="23">
        <f>Inputs!C89</f>
        <v/>
      </c>
      <c r="E34" s="25">
        <f>INDEX(Stages!$G$14:$G$20,MATCH(C34,Stages!$C$14:$C$20,0))*D34/mwac</f>
        <v/>
      </c>
    </row>
    <row r="35">
      <c r="B35" s="7">
        <f>Inputs!B90</f>
        <v/>
      </c>
      <c r="C35" s="34">
        <f>Inputs!D90</f>
        <v/>
      </c>
      <c r="D35" s="23">
        <f>Inputs!C90</f>
        <v/>
      </c>
      <c r="E35" s="25">
        <f>INDEX(Stages!$G$14:$G$20,MATCH(C35,Stages!$C$14:$C$20,0))*D35/mwac</f>
        <v/>
      </c>
    </row>
    <row r="36">
      <c r="B36" s="7" t="inlineStr">
        <is>
          <t>Platform total</t>
        </is>
      </c>
      <c r="D36" s="31">
        <f>SUM(D30:D35)</f>
        <v/>
      </c>
      <c r="E36" s="26">
        <f>SUM(E30:E35)</f>
        <v/>
      </c>
    </row>
    <row r="38">
      <c r="B38" s="14" t="inlineStr">
        <is>
          <t>Later sales (from the Cases sheet)</t>
        </is>
      </c>
    </row>
    <row r="39">
      <c r="B39" s="7" t="inlineStr">
        <is>
          <t>Value of the operating project on 1 January 2028, case U</t>
        </is>
      </c>
      <c r="C39" s="25">
        <f>Cases!$C$38</f>
        <v/>
      </c>
    </row>
    <row r="40">
      <c r="B40" s="7" t="inlineStr">
        <is>
          <t>Building through COD adds (value at COD less capital cost plus premium)</t>
        </is>
      </c>
      <c r="C40" s="25">
        <f>Cases!$C$167</f>
        <v/>
      </c>
    </row>
    <row r="41">
      <c r="B41" s="7" t="inlineStr">
        <is>
          <t>Case U value on 1 January of the later sale date</t>
        </is>
      </c>
      <c r="C41" s="25">
        <f>Cases!$C$40</f>
        <v/>
      </c>
    </row>
    <row r="42">
      <c r="B42" s="7" t="inlineStr">
        <is>
          <t>Case C value on 1 January of the later sale date</t>
        </is>
      </c>
      <c r="C42" s="25">
        <f>Cases!$C$84</f>
        <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B2:AM73"/>
  <sheetViews>
    <sheetView showGridLines="0" workbookViewId="0">
      <selection activeCell="A1" sqref="A1"/>
    </sheetView>
  </sheetViews>
  <sheetFormatPr baseColWidth="8" defaultRowHeight="15"/>
  <cols>
    <col width="2" customWidth="1" min="1" max="1"/>
    <col width="62"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Term debt sculpted on P50 and P99 CFADS, equity flows and construction interest (chapter 12)</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Discount factor at the debt rate (drawn at COD)</t>
        </is>
      </c>
      <c r="D7" s="22">
        <f>1/(1+kd_rate)^(D$5+1)</f>
        <v/>
      </c>
      <c r="E7" s="22">
        <f>1/(1+kd_rate)^(E$5+1)</f>
        <v/>
      </c>
      <c r="F7" s="22">
        <f>1/(1+kd_rate)^(F$5+1)</f>
        <v/>
      </c>
      <c r="G7" s="22">
        <f>1/(1+kd_rate)^(G$5+1)</f>
        <v/>
      </c>
      <c r="H7" s="22">
        <f>1/(1+kd_rate)^(H$5+1)</f>
        <v/>
      </c>
      <c r="I7" s="22">
        <f>1/(1+kd_rate)^(I$5+1)</f>
        <v/>
      </c>
      <c r="J7" s="22">
        <f>1/(1+kd_rate)^(J$5+1)</f>
        <v/>
      </c>
      <c r="K7" s="22">
        <f>1/(1+kd_rate)^(K$5+1)</f>
        <v/>
      </c>
      <c r="L7" s="22">
        <f>1/(1+kd_rate)^(L$5+1)</f>
        <v/>
      </c>
      <c r="M7" s="22">
        <f>1/(1+kd_rate)^(M$5+1)</f>
        <v/>
      </c>
      <c r="N7" s="22">
        <f>1/(1+kd_rate)^(N$5+1)</f>
        <v/>
      </c>
      <c r="O7" s="22">
        <f>1/(1+kd_rate)^(O$5+1)</f>
        <v/>
      </c>
      <c r="P7" s="22">
        <f>1/(1+kd_rate)^(P$5+1)</f>
        <v/>
      </c>
      <c r="Q7" s="22">
        <f>1/(1+kd_rate)^(Q$5+1)</f>
        <v/>
      </c>
      <c r="R7" s="22">
        <f>1/(1+kd_rate)^(R$5+1)</f>
        <v/>
      </c>
      <c r="S7" s="22">
        <f>1/(1+kd_rate)^(S$5+1)</f>
        <v/>
      </c>
      <c r="T7" s="22">
        <f>1/(1+kd_rate)^(T$5+1)</f>
        <v/>
      </c>
      <c r="U7" s="22">
        <f>1/(1+kd_rate)^(U$5+1)</f>
        <v/>
      </c>
      <c r="V7" s="22">
        <f>1/(1+kd_rate)^(V$5+1)</f>
        <v/>
      </c>
      <c r="W7" s="22">
        <f>1/(1+kd_rate)^(W$5+1)</f>
        <v/>
      </c>
      <c r="X7" s="22">
        <f>1/(1+kd_rate)^(X$5+1)</f>
        <v/>
      </c>
      <c r="Y7" s="22">
        <f>1/(1+kd_rate)^(Y$5+1)</f>
        <v/>
      </c>
      <c r="Z7" s="22">
        <f>1/(1+kd_rate)^(Z$5+1)</f>
        <v/>
      </c>
      <c r="AA7" s="22">
        <f>1/(1+kd_rate)^(AA$5+1)</f>
        <v/>
      </c>
      <c r="AB7" s="22">
        <f>1/(1+kd_rate)^(AB$5+1)</f>
        <v/>
      </c>
      <c r="AC7" s="22">
        <f>1/(1+kd_rate)^(AC$5+1)</f>
        <v/>
      </c>
      <c r="AD7" s="22">
        <f>1/(1+kd_rate)^(AD$5+1)</f>
        <v/>
      </c>
      <c r="AE7" s="22">
        <f>1/(1+kd_rate)^(AE$5+1)</f>
        <v/>
      </c>
      <c r="AF7" s="22">
        <f>1/(1+kd_rate)^(AF$5+1)</f>
        <v/>
      </c>
      <c r="AG7" s="22">
        <f>1/(1+kd_rate)^(AG$5+1)</f>
        <v/>
      </c>
      <c r="AH7" s="22">
        <f>1/(1+kd_rate)^(AH$5+1)</f>
        <v/>
      </c>
      <c r="AI7" s="22">
        <f>1/(1+kd_rate)^(AI$5+1)</f>
        <v/>
      </c>
      <c r="AJ7" s="22">
        <f>1/(1+kd_rate)^(AJ$5+1)</f>
        <v/>
      </c>
      <c r="AK7" s="22">
        <f>1/(1+kd_rate)^(AK$5+1)</f>
        <v/>
      </c>
      <c r="AL7" s="22">
        <f>1/(1+kd_rate)^(AL$5+1)</f>
        <v/>
      </c>
    </row>
    <row r="9">
      <c r="B9" s="6" t="inlineStr">
        <is>
          <t>Case U: sculpted to the lower of P50 / 1.30 and P99 one-year / 1.00</t>
        </is>
      </c>
    </row>
    <row r="10">
      <c r="B10" s="7" t="inlineStr">
        <is>
          <t>Within the tenor (1 = yes)</t>
        </is>
      </c>
      <c r="D10" s="30">
        <f>IF(D$5&lt;tenor_u,1,0)</f>
        <v/>
      </c>
      <c r="E10" s="30">
        <f>IF(E$5&lt;tenor_u,1,0)</f>
        <v/>
      </c>
      <c r="F10" s="30">
        <f>IF(F$5&lt;tenor_u,1,0)</f>
        <v/>
      </c>
      <c r="G10" s="30">
        <f>IF(G$5&lt;tenor_u,1,0)</f>
        <v/>
      </c>
      <c r="H10" s="30">
        <f>IF(H$5&lt;tenor_u,1,0)</f>
        <v/>
      </c>
      <c r="I10" s="30">
        <f>IF(I$5&lt;tenor_u,1,0)</f>
        <v/>
      </c>
      <c r="J10" s="30">
        <f>IF(J$5&lt;tenor_u,1,0)</f>
        <v/>
      </c>
      <c r="K10" s="30">
        <f>IF(K$5&lt;tenor_u,1,0)</f>
        <v/>
      </c>
      <c r="L10" s="30">
        <f>IF(L$5&lt;tenor_u,1,0)</f>
        <v/>
      </c>
      <c r="M10" s="30">
        <f>IF(M$5&lt;tenor_u,1,0)</f>
        <v/>
      </c>
      <c r="N10" s="30">
        <f>IF(N$5&lt;tenor_u,1,0)</f>
        <v/>
      </c>
      <c r="O10" s="30">
        <f>IF(O$5&lt;tenor_u,1,0)</f>
        <v/>
      </c>
      <c r="P10" s="30">
        <f>IF(P$5&lt;tenor_u,1,0)</f>
        <v/>
      </c>
      <c r="Q10" s="30">
        <f>IF(Q$5&lt;tenor_u,1,0)</f>
        <v/>
      </c>
      <c r="R10" s="30">
        <f>IF(R$5&lt;tenor_u,1,0)</f>
        <v/>
      </c>
      <c r="S10" s="30">
        <f>IF(S$5&lt;tenor_u,1,0)</f>
        <v/>
      </c>
      <c r="T10" s="30">
        <f>IF(T$5&lt;tenor_u,1,0)</f>
        <v/>
      </c>
      <c r="U10" s="30">
        <f>IF(U$5&lt;tenor_u,1,0)</f>
        <v/>
      </c>
      <c r="V10" s="30">
        <f>IF(V$5&lt;tenor_u,1,0)</f>
        <v/>
      </c>
      <c r="W10" s="30">
        <f>IF(W$5&lt;tenor_u,1,0)</f>
        <v/>
      </c>
      <c r="X10" s="30">
        <f>IF(X$5&lt;tenor_u,1,0)</f>
        <v/>
      </c>
      <c r="Y10" s="30">
        <f>IF(Y$5&lt;tenor_u,1,0)</f>
        <v/>
      </c>
      <c r="Z10" s="30">
        <f>IF(Z$5&lt;tenor_u,1,0)</f>
        <v/>
      </c>
      <c r="AA10" s="30">
        <f>IF(AA$5&lt;tenor_u,1,0)</f>
        <v/>
      </c>
      <c r="AB10" s="30">
        <f>IF(AB$5&lt;tenor_u,1,0)</f>
        <v/>
      </c>
      <c r="AC10" s="30">
        <f>IF(AC$5&lt;tenor_u,1,0)</f>
        <v/>
      </c>
      <c r="AD10" s="30">
        <f>IF(AD$5&lt;tenor_u,1,0)</f>
        <v/>
      </c>
      <c r="AE10" s="30">
        <f>IF(AE$5&lt;tenor_u,1,0)</f>
        <v/>
      </c>
      <c r="AF10" s="30">
        <f>IF(AF$5&lt;tenor_u,1,0)</f>
        <v/>
      </c>
      <c r="AG10" s="30">
        <f>IF(AG$5&lt;tenor_u,1,0)</f>
        <v/>
      </c>
      <c r="AH10" s="30">
        <f>IF(AH$5&lt;tenor_u,1,0)</f>
        <v/>
      </c>
      <c r="AI10" s="30">
        <f>IF(AI$5&lt;tenor_u,1,0)</f>
        <v/>
      </c>
      <c r="AJ10" s="30">
        <f>IF(AJ$5&lt;tenor_u,1,0)</f>
        <v/>
      </c>
      <c r="AK10" s="30">
        <f>IF(AK$5&lt;tenor_u,1,0)</f>
        <v/>
      </c>
      <c r="AL10" s="30">
        <f>IF(AL$5&lt;tenor_u,1,0)</f>
        <v/>
      </c>
    </row>
    <row r="11">
      <c r="B11" s="7" t="inlineStr">
        <is>
          <t>CFADS at the energy in use: EBITDA, credit cash excluded ($)</t>
        </is>
      </c>
      <c r="D11" s="25">
        <f>Cases!D$27*D10</f>
        <v/>
      </c>
      <c r="E11" s="25">
        <f>Cases!E$27*E10</f>
        <v/>
      </c>
      <c r="F11" s="25">
        <f>Cases!F$27*F10</f>
        <v/>
      </c>
      <c r="G11" s="25">
        <f>Cases!G$27*G10</f>
        <v/>
      </c>
      <c r="H11" s="25">
        <f>Cases!H$27*H10</f>
        <v/>
      </c>
      <c r="I11" s="25">
        <f>Cases!I$27*I10</f>
        <v/>
      </c>
      <c r="J11" s="25">
        <f>Cases!J$27*J10</f>
        <v/>
      </c>
      <c r="K11" s="25">
        <f>Cases!K$27*K10</f>
        <v/>
      </c>
      <c r="L11" s="25">
        <f>Cases!L$27*L10</f>
        <v/>
      </c>
      <c r="M11" s="25">
        <f>Cases!M$27*M10</f>
        <v/>
      </c>
      <c r="N11" s="25">
        <f>Cases!N$27*N10</f>
        <v/>
      </c>
      <c r="O11" s="25">
        <f>Cases!O$27*O10</f>
        <v/>
      </c>
      <c r="P11" s="25">
        <f>Cases!P$27*P10</f>
        <v/>
      </c>
      <c r="Q11" s="25">
        <f>Cases!Q$27*Q10</f>
        <v/>
      </c>
      <c r="R11" s="25">
        <f>Cases!R$27*R10</f>
        <v/>
      </c>
      <c r="S11" s="25">
        <f>Cases!S$27*S10</f>
        <v/>
      </c>
      <c r="T11" s="25">
        <f>Cases!T$27*T10</f>
        <v/>
      </c>
      <c r="U11" s="25">
        <f>Cases!U$27*U10</f>
        <v/>
      </c>
      <c r="V11" s="25">
        <f>Cases!V$27*V10</f>
        <v/>
      </c>
      <c r="W11" s="25">
        <f>Cases!W$27*W10</f>
        <v/>
      </c>
      <c r="X11" s="25">
        <f>Cases!X$27*X10</f>
        <v/>
      </c>
      <c r="Y11" s="25">
        <f>Cases!Y$27*Y10</f>
        <v/>
      </c>
      <c r="Z11" s="25">
        <f>Cases!Z$27*Z10</f>
        <v/>
      </c>
      <c r="AA11" s="25">
        <f>Cases!AA$27*AA10</f>
        <v/>
      </c>
      <c r="AB11" s="25">
        <f>Cases!AB$27*AB10</f>
        <v/>
      </c>
      <c r="AC11" s="25">
        <f>Cases!AC$27*AC10</f>
        <v/>
      </c>
      <c r="AD11" s="25">
        <f>Cases!AD$27*AD10</f>
        <v/>
      </c>
      <c r="AE11" s="25">
        <f>Cases!AE$27*AE10</f>
        <v/>
      </c>
      <c r="AF11" s="25">
        <f>Cases!AF$27*AF10</f>
        <v/>
      </c>
      <c r="AG11" s="25">
        <f>Cases!AG$27*AG10</f>
        <v/>
      </c>
      <c r="AH11" s="25">
        <f>Cases!AH$27*AH10</f>
        <v/>
      </c>
      <c r="AI11" s="25">
        <f>Cases!AI$27*AI10</f>
        <v/>
      </c>
      <c r="AJ11" s="25">
        <f>Cases!AJ$27*AJ10</f>
        <v/>
      </c>
      <c r="AK11" s="25">
        <f>Cases!AK$27*AK10</f>
        <v/>
      </c>
      <c r="AL11" s="25">
        <f>Cases!AL$27*AL10</f>
        <v/>
      </c>
    </row>
    <row r="12">
      <c r="B12" s="7" t="inlineStr">
        <is>
          <t>Energy-linked revenue (all bundled PPA revenue, contracted less basis cost, plus merchant revenue other than capacity)</t>
        </is>
      </c>
      <c r="D12" s="25">
        <f>(Cases!D$22-Cases!D$24+MAX(Cases!D$23-Market!D$13,0))*D10</f>
        <v/>
      </c>
      <c r="E12" s="25">
        <f>(Cases!E$22-Cases!E$24+MAX(Cases!E$23-Market!E$13,0))*E10</f>
        <v/>
      </c>
      <c r="F12" s="25">
        <f>(Cases!F$22-Cases!F$24+MAX(Cases!F$23-Market!F$13,0))*F10</f>
        <v/>
      </c>
      <c r="G12" s="25">
        <f>(Cases!G$22-Cases!G$24+MAX(Cases!G$23-Market!G$13,0))*G10</f>
        <v/>
      </c>
      <c r="H12" s="25">
        <f>(Cases!H$22-Cases!H$24+MAX(Cases!H$23-Market!H$13,0))*H10</f>
        <v/>
      </c>
      <c r="I12" s="25">
        <f>(Cases!I$22-Cases!I$24+MAX(Cases!I$23-Market!I$13,0))*I10</f>
        <v/>
      </c>
      <c r="J12" s="25">
        <f>(Cases!J$22-Cases!J$24+MAX(Cases!J$23-Market!J$13,0))*J10</f>
        <v/>
      </c>
      <c r="K12" s="25">
        <f>(Cases!K$22-Cases!K$24+MAX(Cases!K$23-Market!K$13,0))*K10</f>
        <v/>
      </c>
      <c r="L12" s="25">
        <f>(Cases!L$22-Cases!L$24+MAX(Cases!L$23-Market!L$13,0))*L10</f>
        <v/>
      </c>
      <c r="M12" s="25">
        <f>(Cases!M$22-Cases!M$24+MAX(Cases!M$23-Market!M$13,0))*M10</f>
        <v/>
      </c>
      <c r="N12" s="25">
        <f>(Cases!N$22-Cases!N$24+MAX(Cases!N$23-Market!N$13,0))*N10</f>
        <v/>
      </c>
      <c r="O12" s="25">
        <f>(Cases!O$22-Cases!O$24+MAX(Cases!O$23-Market!O$13,0))*O10</f>
        <v/>
      </c>
      <c r="P12" s="25">
        <f>(Cases!P$22-Cases!P$24+MAX(Cases!P$23-Market!P$13,0))*P10</f>
        <v/>
      </c>
      <c r="Q12" s="25">
        <f>(Cases!Q$22-Cases!Q$24+MAX(Cases!Q$23-Market!Q$13,0))*Q10</f>
        <v/>
      </c>
      <c r="R12" s="25">
        <f>(Cases!R$22-Cases!R$24+MAX(Cases!R$23-Market!R$13,0))*R10</f>
        <v/>
      </c>
      <c r="S12" s="25">
        <f>(Cases!S$22-Cases!S$24+MAX(Cases!S$23-Market!S$13,0))*S10</f>
        <v/>
      </c>
      <c r="T12" s="25">
        <f>(Cases!T$22-Cases!T$24+MAX(Cases!T$23-Market!T$13,0))*T10</f>
        <v/>
      </c>
      <c r="U12" s="25">
        <f>(Cases!U$22-Cases!U$24+MAX(Cases!U$23-Market!U$13,0))*U10</f>
        <v/>
      </c>
      <c r="V12" s="25">
        <f>(Cases!V$22-Cases!V$24+MAX(Cases!V$23-Market!V$13,0))*V10</f>
        <v/>
      </c>
      <c r="W12" s="25">
        <f>(Cases!W$22-Cases!W$24+MAX(Cases!W$23-Market!W$13,0))*W10</f>
        <v/>
      </c>
      <c r="X12" s="25">
        <f>(Cases!X$22-Cases!X$24+MAX(Cases!X$23-Market!X$13,0))*X10</f>
        <v/>
      </c>
      <c r="Y12" s="25">
        <f>(Cases!Y$22-Cases!Y$24+MAX(Cases!Y$23-Market!Y$13,0))*Y10</f>
        <v/>
      </c>
      <c r="Z12" s="25">
        <f>(Cases!Z$22-Cases!Z$24+MAX(Cases!Z$23-Market!Z$13,0))*Z10</f>
        <v/>
      </c>
      <c r="AA12" s="25">
        <f>(Cases!AA$22-Cases!AA$24+MAX(Cases!AA$23-Market!AA$13,0))*AA10</f>
        <v/>
      </c>
      <c r="AB12" s="25">
        <f>(Cases!AB$22-Cases!AB$24+MAX(Cases!AB$23-Market!AB$13,0))*AB10</f>
        <v/>
      </c>
      <c r="AC12" s="25">
        <f>(Cases!AC$22-Cases!AC$24+MAX(Cases!AC$23-Market!AC$13,0))*AC10</f>
        <v/>
      </c>
      <c r="AD12" s="25">
        <f>(Cases!AD$22-Cases!AD$24+MAX(Cases!AD$23-Market!AD$13,0))*AD10</f>
        <v/>
      </c>
      <c r="AE12" s="25">
        <f>(Cases!AE$22-Cases!AE$24+MAX(Cases!AE$23-Market!AE$13,0))*AE10</f>
        <v/>
      </c>
      <c r="AF12" s="25">
        <f>(Cases!AF$22-Cases!AF$24+MAX(Cases!AF$23-Market!AF$13,0))*AF10</f>
        <v/>
      </c>
      <c r="AG12" s="25">
        <f>(Cases!AG$22-Cases!AG$24+MAX(Cases!AG$23-Market!AG$13,0))*AG10</f>
        <v/>
      </c>
      <c r="AH12" s="25">
        <f>(Cases!AH$22-Cases!AH$24+MAX(Cases!AH$23-Market!AH$13,0))*AH10</f>
        <v/>
      </c>
      <c r="AI12" s="25">
        <f>(Cases!AI$22-Cases!AI$24+MAX(Cases!AI$23-Market!AI$13,0))*AI10</f>
        <v/>
      </c>
      <c r="AJ12" s="25">
        <f>(Cases!AJ$22-Cases!AJ$24+MAX(Cases!AJ$23-Market!AJ$13,0))*AJ10</f>
        <v/>
      </c>
      <c r="AK12" s="25">
        <f>(Cases!AK$22-Cases!AK$24+MAX(Cases!AK$23-Market!AK$13,0))*AK10</f>
        <v/>
      </c>
      <c r="AL12" s="25">
        <f>(Cases!AL$22-Cases!AL$24+MAX(Cases!AL$23-Market!AL$13,0))*AL10</f>
        <v/>
      </c>
    </row>
    <row r="13">
      <c r="B13" s="7" t="inlineStr">
        <is>
          <t>CFADS at P99 one-year energy ($)</t>
        </is>
      </c>
      <c r="D13" s="25">
        <f>D11-D12*(1-p99_1)</f>
        <v/>
      </c>
      <c r="E13" s="25">
        <f>E11-E12*(1-p99_1)</f>
        <v/>
      </c>
      <c r="F13" s="25">
        <f>F11-F12*(1-p99_1)</f>
        <v/>
      </c>
      <c r="G13" s="25">
        <f>G11-G12*(1-p99_1)</f>
        <v/>
      </c>
      <c r="H13" s="25">
        <f>H11-H12*(1-p99_1)</f>
        <v/>
      </c>
      <c r="I13" s="25">
        <f>I11-I12*(1-p99_1)</f>
        <v/>
      </c>
      <c r="J13" s="25">
        <f>J11-J12*(1-p99_1)</f>
        <v/>
      </c>
      <c r="K13" s="25">
        <f>K11-K12*(1-p99_1)</f>
        <v/>
      </c>
      <c r="L13" s="25">
        <f>L11-L12*(1-p99_1)</f>
        <v/>
      </c>
      <c r="M13" s="25">
        <f>M11-M12*(1-p99_1)</f>
        <v/>
      </c>
      <c r="N13" s="25">
        <f>N11-N12*(1-p99_1)</f>
        <v/>
      </c>
      <c r="O13" s="25">
        <f>O11-O12*(1-p99_1)</f>
        <v/>
      </c>
      <c r="P13" s="25">
        <f>P11-P12*(1-p99_1)</f>
        <v/>
      </c>
      <c r="Q13" s="25">
        <f>Q11-Q12*(1-p99_1)</f>
        <v/>
      </c>
      <c r="R13" s="25">
        <f>R11-R12*(1-p99_1)</f>
        <v/>
      </c>
      <c r="S13" s="25">
        <f>S11-S12*(1-p99_1)</f>
        <v/>
      </c>
      <c r="T13" s="25">
        <f>T11-T12*(1-p99_1)</f>
        <v/>
      </c>
      <c r="U13" s="25">
        <f>U11-U12*(1-p99_1)</f>
        <v/>
      </c>
      <c r="V13" s="25">
        <f>V11-V12*(1-p99_1)</f>
        <v/>
      </c>
      <c r="W13" s="25">
        <f>W11-W12*(1-p99_1)</f>
        <v/>
      </c>
      <c r="X13" s="25">
        <f>X11-X12*(1-p99_1)</f>
        <v/>
      </c>
      <c r="Y13" s="25">
        <f>Y11-Y12*(1-p99_1)</f>
        <v/>
      </c>
      <c r="Z13" s="25">
        <f>Z11-Z12*(1-p99_1)</f>
        <v/>
      </c>
      <c r="AA13" s="25">
        <f>AA11-AA12*(1-p99_1)</f>
        <v/>
      </c>
      <c r="AB13" s="25">
        <f>AB11-AB12*(1-p99_1)</f>
        <v/>
      </c>
      <c r="AC13" s="25">
        <f>AC11-AC12*(1-p99_1)</f>
        <v/>
      </c>
      <c r="AD13" s="25">
        <f>AD11-AD12*(1-p99_1)</f>
        <v/>
      </c>
      <c r="AE13" s="25">
        <f>AE11-AE12*(1-p99_1)</f>
        <v/>
      </c>
      <c r="AF13" s="25">
        <f>AF11-AF12*(1-p99_1)</f>
        <v/>
      </c>
      <c r="AG13" s="25">
        <f>AG11-AG12*(1-p99_1)</f>
        <v/>
      </c>
      <c r="AH13" s="25">
        <f>AH11-AH12*(1-p99_1)</f>
        <v/>
      </c>
      <c r="AI13" s="25">
        <f>AI11-AI12*(1-p99_1)</f>
        <v/>
      </c>
      <c r="AJ13" s="25">
        <f>AJ11-AJ12*(1-p99_1)</f>
        <v/>
      </c>
      <c r="AK13" s="25">
        <f>AK11-AK12*(1-p99_1)</f>
        <v/>
      </c>
      <c r="AL13" s="25">
        <f>AL11-AL12*(1-p99_1)</f>
        <v/>
      </c>
    </row>
    <row r="14">
      <c r="B14" s="7" t="inlineStr">
        <is>
          <t>CFADS at P50 / ratio ($)</t>
        </is>
      </c>
      <c r="D14" s="25">
        <f>D11/dscr_p50</f>
        <v/>
      </c>
      <c r="E14" s="25">
        <f>E11/dscr_p50</f>
        <v/>
      </c>
      <c r="F14" s="25">
        <f>F11/dscr_p50</f>
        <v/>
      </c>
      <c r="G14" s="25">
        <f>G11/dscr_p50</f>
        <v/>
      </c>
      <c r="H14" s="25">
        <f>H11/dscr_p50</f>
        <v/>
      </c>
      <c r="I14" s="25">
        <f>I11/dscr_p50</f>
        <v/>
      </c>
      <c r="J14" s="25">
        <f>J11/dscr_p50</f>
        <v/>
      </c>
      <c r="K14" s="25">
        <f>K11/dscr_p50</f>
        <v/>
      </c>
      <c r="L14" s="25">
        <f>L11/dscr_p50</f>
        <v/>
      </c>
      <c r="M14" s="25">
        <f>M11/dscr_p50</f>
        <v/>
      </c>
      <c r="N14" s="25">
        <f>N11/dscr_p50</f>
        <v/>
      </c>
      <c r="O14" s="25">
        <f>O11/dscr_p50</f>
        <v/>
      </c>
      <c r="P14" s="25">
        <f>P11/dscr_p50</f>
        <v/>
      </c>
      <c r="Q14" s="25">
        <f>Q11/dscr_p50</f>
        <v/>
      </c>
      <c r="R14" s="25">
        <f>R11/dscr_p50</f>
        <v/>
      </c>
      <c r="S14" s="25">
        <f>S11/dscr_p50</f>
        <v/>
      </c>
      <c r="T14" s="25">
        <f>T11/dscr_p50</f>
        <v/>
      </c>
      <c r="U14" s="25">
        <f>U11/dscr_p50</f>
        <v/>
      </c>
      <c r="V14" s="25">
        <f>V11/dscr_p50</f>
        <v/>
      </c>
      <c r="W14" s="25">
        <f>W11/dscr_p50</f>
        <v/>
      </c>
      <c r="X14" s="25">
        <f>X11/dscr_p50</f>
        <v/>
      </c>
      <c r="Y14" s="25">
        <f>Y11/dscr_p50</f>
        <v/>
      </c>
      <c r="Z14" s="25">
        <f>Z11/dscr_p50</f>
        <v/>
      </c>
      <c r="AA14" s="25">
        <f>AA11/dscr_p50</f>
        <v/>
      </c>
      <c r="AB14" s="25">
        <f>AB11/dscr_p50</f>
        <v/>
      </c>
      <c r="AC14" s="25">
        <f>AC11/dscr_p50</f>
        <v/>
      </c>
      <c r="AD14" s="25">
        <f>AD11/dscr_p50</f>
        <v/>
      </c>
      <c r="AE14" s="25">
        <f>AE11/dscr_p50</f>
        <v/>
      </c>
      <c r="AF14" s="25">
        <f>AF11/dscr_p50</f>
        <v/>
      </c>
      <c r="AG14" s="25">
        <f>AG11/dscr_p50</f>
        <v/>
      </c>
      <c r="AH14" s="25">
        <f>AH11/dscr_p50</f>
        <v/>
      </c>
      <c r="AI14" s="25">
        <f>AI11/dscr_p50</f>
        <v/>
      </c>
      <c r="AJ14" s="25">
        <f>AJ11/dscr_p50</f>
        <v/>
      </c>
      <c r="AK14" s="25">
        <f>AK11/dscr_p50</f>
        <v/>
      </c>
      <c r="AL14" s="25">
        <f>AL11/dscr_p50</f>
        <v/>
      </c>
    </row>
    <row r="15">
      <c r="B15" s="7" t="inlineStr">
        <is>
          <t>CFADS at P99 / ratio ($)</t>
        </is>
      </c>
      <c r="D15" s="25">
        <f>D13/dscr_p99</f>
        <v/>
      </c>
      <c r="E15" s="25">
        <f>E13/dscr_p99</f>
        <v/>
      </c>
      <c r="F15" s="25">
        <f>F13/dscr_p99</f>
        <v/>
      </c>
      <c r="G15" s="25">
        <f>G13/dscr_p99</f>
        <v/>
      </c>
      <c r="H15" s="25">
        <f>H13/dscr_p99</f>
        <v/>
      </c>
      <c r="I15" s="25">
        <f>I13/dscr_p99</f>
        <v/>
      </c>
      <c r="J15" s="25">
        <f>J13/dscr_p99</f>
        <v/>
      </c>
      <c r="K15" s="25">
        <f>K13/dscr_p99</f>
        <v/>
      </c>
      <c r="L15" s="25">
        <f>L13/dscr_p99</f>
        <v/>
      </c>
      <c r="M15" s="25">
        <f>M13/dscr_p99</f>
        <v/>
      </c>
      <c r="N15" s="25">
        <f>N13/dscr_p99</f>
        <v/>
      </c>
      <c r="O15" s="25">
        <f>O13/dscr_p99</f>
        <v/>
      </c>
      <c r="P15" s="25">
        <f>P13/dscr_p99</f>
        <v/>
      </c>
      <c r="Q15" s="25">
        <f>Q13/dscr_p99</f>
        <v/>
      </c>
      <c r="R15" s="25">
        <f>R13/dscr_p99</f>
        <v/>
      </c>
      <c r="S15" s="25">
        <f>S13/dscr_p99</f>
        <v/>
      </c>
      <c r="T15" s="25">
        <f>T13/dscr_p99</f>
        <v/>
      </c>
      <c r="U15" s="25">
        <f>U13/dscr_p99</f>
        <v/>
      </c>
      <c r="V15" s="25">
        <f>V13/dscr_p99</f>
        <v/>
      </c>
      <c r="W15" s="25">
        <f>W13/dscr_p99</f>
        <v/>
      </c>
      <c r="X15" s="25">
        <f>X13/dscr_p99</f>
        <v/>
      </c>
      <c r="Y15" s="25">
        <f>Y13/dscr_p99</f>
        <v/>
      </c>
      <c r="Z15" s="25">
        <f>Z13/dscr_p99</f>
        <v/>
      </c>
      <c r="AA15" s="25">
        <f>AA13/dscr_p99</f>
        <v/>
      </c>
      <c r="AB15" s="25">
        <f>AB13/dscr_p99</f>
        <v/>
      </c>
      <c r="AC15" s="25">
        <f>AC13/dscr_p99</f>
        <v/>
      </c>
      <c r="AD15" s="25">
        <f>AD13/dscr_p99</f>
        <v/>
      </c>
      <c r="AE15" s="25">
        <f>AE13/dscr_p99</f>
        <v/>
      </c>
      <c r="AF15" s="25">
        <f>AF13/dscr_p99</f>
        <v/>
      </c>
      <c r="AG15" s="25">
        <f>AG13/dscr_p99</f>
        <v/>
      </c>
      <c r="AH15" s="25">
        <f>AH13/dscr_p99</f>
        <v/>
      </c>
      <c r="AI15" s="25">
        <f>AI13/dscr_p99</f>
        <v/>
      </c>
      <c r="AJ15" s="25">
        <f>AJ13/dscr_p99</f>
        <v/>
      </c>
      <c r="AK15" s="25">
        <f>AK13/dscr_p99</f>
        <v/>
      </c>
      <c r="AL15" s="25">
        <f>AL13/dscr_p99</f>
        <v/>
      </c>
    </row>
    <row r="16">
      <c r="B16" s="14" t="inlineStr">
        <is>
          <t>Debt service ($)</t>
        </is>
      </c>
      <c r="D16" s="26">
        <f>MIN(D14,D15)</f>
        <v/>
      </c>
      <c r="E16" s="26">
        <f>MIN(E14,E15)</f>
        <v/>
      </c>
      <c r="F16" s="26">
        <f>MIN(F14,F15)</f>
        <v/>
      </c>
      <c r="G16" s="26">
        <f>MIN(G14,G15)</f>
        <v/>
      </c>
      <c r="H16" s="26">
        <f>MIN(H14,H15)</f>
        <v/>
      </c>
      <c r="I16" s="26">
        <f>MIN(I14,I15)</f>
        <v/>
      </c>
      <c r="J16" s="26">
        <f>MIN(J14,J15)</f>
        <v/>
      </c>
      <c r="K16" s="26">
        <f>MIN(K14,K15)</f>
        <v/>
      </c>
      <c r="L16" s="26">
        <f>MIN(L14,L15)</f>
        <v/>
      </c>
      <c r="M16" s="26">
        <f>MIN(M14,M15)</f>
        <v/>
      </c>
      <c r="N16" s="26">
        <f>MIN(N14,N15)</f>
        <v/>
      </c>
      <c r="O16" s="26">
        <f>MIN(O14,O15)</f>
        <v/>
      </c>
      <c r="P16" s="26">
        <f>MIN(P14,P15)</f>
        <v/>
      </c>
      <c r="Q16" s="26">
        <f>MIN(Q14,Q15)</f>
        <v/>
      </c>
      <c r="R16" s="26">
        <f>MIN(R14,R15)</f>
        <v/>
      </c>
      <c r="S16" s="26">
        <f>MIN(S14,S15)</f>
        <v/>
      </c>
      <c r="T16" s="26">
        <f>MIN(T14,T15)</f>
        <v/>
      </c>
      <c r="U16" s="26">
        <f>MIN(U14,U15)</f>
        <v/>
      </c>
      <c r="V16" s="26">
        <f>MIN(V14,V15)</f>
        <v/>
      </c>
      <c r="W16" s="26">
        <f>MIN(W14,W15)</f>
        <v/>
      </c>
      <c r="X16" s="26">
        <f>MIN(X14,X15)</f>
        <v/>
      </c>
      <c r="Y16" s="26">
        <f>MIN(Y14,Y15)</f>
        <v/>
      </c>
      <c r="Z16" s="26">
        <f>MIN(Z14,Z15)</f>
        <v/>
      </c>
      <c r="AA16" s="26">
        <f>MIN(AA14,AA15)</f>
        <v/>
      </c>
      <c r="AB16" s="26">
        <f>MIN(AB14,AB15)</f>
        <v/>
      </c>
      <c r="AC16" s="26">
        <f>MIN(AC14,AC15)</f>
        <v/>
      </c>
      <c r="AD16" s="26">
        <f>MIN(AD14,AD15)</f>
        <v/>
      </c>
      <c r="AE16" s="26">
        <f>MIN(AE14,AE15)</f>
        <v/>
      </c>
      <c r="AF16" s="26">
        <f>MIN(AF14,AF15)</f>
        <v/>
      </c>
      <c r="AG16" s="26">
        <f>MIN(AG14,AG15)</f>
        <v/>
      </c>
      <c r="AH16" s="26">
        <f>MIN(AH14,AH15)</f>
        <v/>
      </c>
      <c r="AI16" s="26">
        <f>MIN(AI14,AI15)</f>
        <v/>
      </c>
      <c r="AJ16" s="26">
        <f>MIN(AJ14,AJ15)</f>
        <v/>
      </c>
      <c r="AK16" s="26">
        <f>MIN(AK14,AK15)</f>
        <v/>
      </c>
      <c r="AL16" s="26">
        <f>MIN(AL14,AL15)</f>
        <v/>
      </c>
    </row>
    <row r="17">
      <c r="B17" s="7" t="inlineStr">
        <is>
          <t>Binding constraint</t>
        </is>
      </c>
      <c r="D17" s="7">
        <f>IF(D10=1,IF(D14&lt;=D15,"P50","P99"),"")</f>
        <v/>
      </c>
      <c r="E17" s="7">
        <f>IF(E10=1,IF(E14&lt;=E15,"P50","P99"),"")</f>
        <v/>
      </c>
      <c r="F17" s="7">
        <f>IF(F10=1,IF(F14&lt;=F15,"P50","P99"),"")</f>
        <v/>
      </c>
      <c r="G17" s="7">
        <f>IF(G10=1,IF(G14&lt;=G15,"P50","P99"),"")</f>
        <v/>
      </c>
      <c r="H17" s="7">
        <f>IF(H10=1,IF(H14&lt;=H15,"P50","P99"),"")</f>
        <v/>
      </c>
      <c r="I17" s="7">
        <f>IF(I10=1,IF(I14&lt;=I15,"P50","P99"),"")</f>
        <v/>
      </c>
      <c r="J17" s="7">
        <f>IF(J10=1,IF(J14&lt;=J15,"P50","P99"),"")</f>
        <v/>
      </c>
      <c r="K17" s="7">
        <f>IF(K10=1,IF(K14&lt;=K15,"P50","P99"),"")</f>
        <v/>
      </c>
      <c r="L17" s="7">
        <f>IF(L10=1,IF(L14&lt;=L15,"P50","P99"),"")</f>
        <v/>
      </c>
      <c r="M17" s="7">
        <f>IF(M10=1,IF(M14&lt;=M15,"P50","P99"),"")</f>
        <v/>
      </c>
      <c r="N17" s="7">
        <f>IF(N10=1,IF(N14&lt;=N15,"P50","P99"),"")</f>
        <v/>
      </c>
      <c r="O17" s="7">
        <f>IF(O10=1,IF(O14&lt;=O15,"P50","P99"),"")</f>
        <v/>
      </c>
      <c r="P17" s="7">
        <f>IF(P10=1,IF(P14&lt;=P15,"P50","P99"),"")</f>
        <v/>
      </c>
      <c r="Q17" s="7">
        <f>IF(Q10=1,IF(Q14&lt;=Q15,"P50","P99"),"")</f>
        <v/>
      </c>
      <c r="R17" s="7">
        <f>IF(R10=1,IF(R14&lt;=R15,"P50","P99"),"")</f>
        <v/>
      </c>
      <c r="S17" s="7">
        <f>IF(S10=1,IF(S14&lt;=S15,"P50","P99"),"")</f>
        <v/>
      </c>
      <c r="T17" s="7">
        <f>IF(T10=1,IF(T14&lt;=T15,"P50","P99"),"")</f>
        <v/>
      </c>
      <c r="U17" s="7">
        <f>IF(U10=1,IF(U14&lt;=U15,"P50","P99"),"")</f>
        <v/>
      </c>
      <c r="V17" s="7">
        <f>IF(V10=1,IF(V14&lt;=V15,"P50","P99"),"")</f>
        <v/>
      </c>
      <c r="W17" s="7">
        <f>IF(W10=1,IF(W14&lt;=W15,"P50","P99"),"")</f>
        <v/>
      </c>
      <c r="X17" s="7">
        <f>IF(X10=1,IF(X14&lt;=X15,"P50","P99"),"")</f>
        <v/>
      </c>
      <c r="Y17" s="7">
        <f>IF(Y10=1,IF(Y14&lt;=Y15,"P50","P99"),"")</f>
        <v/>
      </c>
      <c r="Z17" s="7">
        <f>IF(Z10=1,IF(Z14&lt;=Z15,"P50","P99"),"")</f>
        <v/>
      </c>
      <c r="AA17" s="7">
        <f>IF(AA10=1,IF(AA14&lt;=AA15,"P50","P99"),"")</f>
        <v/>
      </c>
      <c r="AB17" s="7">
        <f>IF(AB10=1,IF(AB14&lt;=AB15,"P50","P99"),"")</f>
        <v/>
      </c>
      <c r="AC17" s="7">
        <f>IF(AC10=1,IF(AC14&lt;=AC15,"P50","P99"),"")</f>
        <v/>
      </c>
      <c r="AD17" s="7">
        <f>IF(AD10=1,IF(AD14&lt;=AD15,"P50","P99"),"")</f>
        <v/>
      </c>
      <c r="AE17" s="7">
        <f>IF(AE10=1,IF(AE14&lt;=AE15,"P50","P99"),"")</f>
        <v/>
      </c>
      <c r="AF17" s="7">
        <f>IF(AF10=1,IF(AF14&lt;=AF15,"P50","P99"),"")</f>
        <v/>
      </c>
      <c r="AG17" s="7">
        <f>IF(AG10=1,IF(AG14&lt;=AG15,"P50","P99"),"")</f>
        <v/>
      </c>
      <c r="AH17" s="7">
        <f>IF(AH10=1,IF(AH14&lt;=AH15,"P50","P99"),"")</f>
        <v/>
      </c>
      <c r="AI17" s="7">
        <f>IF(AI10=1,IF(AI14&lt;=AI15,"P50","P99"),"")</f>
        <v/>
      </c>
      <c r="AJ17" s="7">
        <f>IF(AJ10=1,IF(AJ14&lt;=AJ15,"P50","P99"),"")</f>
        <v/>
      </c>
      <c r="AK17" s="7">
        <f>IF(AK10=1,IF(AK14&lt;=AK15,"P50","P99"),"")</f>
        <v/>
      </c>
      <c r="AL17" s="7">
        <f>IF(AL10=1,IF(AL14&lt;=AL15,"P50","P99"),"")</f>
        <v/>
      </c>
    </row>
    <row r="19">
      <c r="B19" s="14" t="inlineStr">
        <is>
          <t>Term debt drawn at COD ($)</t>
        </is>
      </c>
      <c r="C19" s="26">
        <f>SUMPRODUCT($D$16:$AL$16,$D$7:$AL$7)</f>
        <v/>
      </c>
    </row>
    <row r="20">
      <c r="B20" s="7" t="inlineStr">
        <is>
          <t>Share of the capital cost</t>
        </is>
      </c>
      <c r="C20" s="28">
        <f>C19/Cases!$C$17</f>
        <v/>
      </c>
    </row>
    <row r="21">
      <c r="B21" s="7" t="inlineStr">
        <is>
          <t>Ashgrove's equity in 2027: NTP price plus capital cost less reimbursement less debt ($)</t>
        </is>
      </c>
      <c r="C21" s="25">
        <f>ntp_price+Cases!$C$17-reimb-C19</f>
        <v/>
      </c>
    </row>
    <row r="22">
      <c r="B22" s="7" t="inlineStr">
        <is>
          <t>Equity flows by period k (0 = 1 January 2027, 1 = end 2027, 2 = end 2028 ...)</t>
        </is>
      </c>
    </row>
    <row r="23">
      <c r="C23" s="25">
        <f>Cases!C55</f>
        <v/>
      </c>
      <c r="D23" s="25">
        <f>Cases!D55+C19</f>
        <v/>
      </c>
      <c r="E23" s="25">
        <f>Cases!E55-D16</f>
        <v/>
      </c>
      <c r="F23" s="25">
        <f>Cases!F55-E16</f>
        <v/>
      </c>
      <c r="G23" s="25">
        <f>Cases!G55-F16</f>
        <v/>
      </c>
      <c r="H23" s="25">
        <f>Cases!H55-G16</f>
        <v/>
      </c>
      <c r="I23" s="25">
        <f>Cases!I55-H16</f>
        <v/>
      </c>
      <c r="J23" s="25">
        <f>Cases!J55-I16</f>
        <v/>
      </c>
      <c r="K23" s="25">
        <f>Cases!K55-J16</f>
        <v/>
      </c>
      <c r="L23" s="25">
        <f>Cases!L55-K16</f>
        <v/>
      </c>
      <c r="M23" s="25">
        <f>Cases!M55-L16</f>
        <v/>
      </c>
      <c r="N23" s="25">
        <f>Cases!N55-M16</f>
        <v/>
      </c>
      <c r="O23" s="25">
        <f>Cases!O55-N16</f>
        <v/>
      </c>
      <c r="P23" s="25">
        <f>Cases!P55-O16</f>
        <v/>
      </c>
      <c r="Q23" s="25">
        <f>Cases!Q55-P16</f>
        <v/>
      </c>
      <c r="R23" s="25">
        <f>Cases!R55-Q16</f>
        <v/>
      </c>
      <c r="S23" s="25">
        <f>Cases!S55-R16</f>
        <v/>
      </c>
      <c r="T23" s="25">
        <f>Cases!T55-S16</f>
        <v/>
      </c>
      <c r="U23" s="25">
        <f>Cases!U55-T16</f>
        <v/>
      </c>
      <c r="V23" s="25">
        <f>Cases!V55-U16</f>
        <v/>
      </c>
      <c r="W23" s="25">
        <f>Cases!W55-V16</f>
        <v/>
      </c>
      <c r="X23" s="25">
        <f>Cases!X55-W16</f>
        <v/>
      </c>
      <c r="Y23" s="25">
        <f>Cases!Y55-X16</f>
        <v/>
      </c>
      <c r="Z23" s="25">
        <f>Cases!Z55-Y16</f>
        <v/>
      </c>
      <c r="AA23" s="25">
        <f>Cases!AA55-Z16</f>
        <v/>
      </c>
      <c r="AB23" s="25">
        <f>Cases!AB55-AA16</f>
        <v/>
      </c>
      <c r="AC23" s="25">
        <f>Cases!AC55-AB16</f>
        <v/>
      </c>
      <c r="AD23" s="25">
        <f>Cases!AD55-AC16</f>
        <v/>
      </c>
      <c r="AE23" s="25">
        <f>Cases!AE55-AD16</f>
        <v/>
      </c>
      <c r="AF23" s="25">
        <f>Cases!AF55-AE16</f>
        <v/>
      </c>
      <c r="AG23" s="25">
        <f>Cases!AG55-AF16</f>
        <v/>
      </c>
      <c r="AH23" s="25">
        <f>Cases!AH55-AG16</f>
        <v/>
      </c>
      <c r="AI23" s="25">
        <f>Cases!AI55-AH16</f>
        <v/>
      </c>
      <c r="AJ23" s="25">
        <f>Cases!AJ55-AI16</f>
        <v/>
      </c>
      <c r="AK23" s="25">
        <f>Cases!AK55-AJ16</f>
        <v/>
      </c>
      <c r="AL23" s="25">
        <f>Cases!AL55-AK16</f>
        <v/>
      </c>
      <c r="AM23" s="25">
        <f>Cases!AM55-AL16</f>
        <v/>
      </c>
    </row>
    <row r="24">
      <c r="B24" s="14" t="inlineStr">
        <is>
          <t>Pre-tax equity IRR with PTC cash</t>
        </is>
      </c>
      <c r="C24" s="37">
        <f>IRR(C23:AM23,0.1)</f>
        <v/>
      </c>
    </row>
    <row r="27">
      <c r="B27" s="6" t="inlineStr">
        <is>
          <t>Case C: sculpted to the lower of P50 / 1.30 and P99 one-year / 1.00</t>
        </is>
      </c>
    </row>
    <row r="28">
      <c r="B28" s="7" t="inlineStr">
        <is>
          <t>Within the tenor (1 = yes)</t>
        </is>
      </c>
      <c r="D28" s="30">
        <f>IF(D$5&lt;tenor_c,1,0)</f>
        <v/>
      </c>
      <c r="E28" s="30">
        <f>IF(E$5&lt;tenor_c,1,0)</f>
        <v/>
      </c>
      <c r="F28" s="30">
        <f>IF(F$5&lt;tenor_c,1,0)</f>
        <v/>
      </c>
      <c r="G28" s="30">
        <f>IF(G$5&lt;tenor_c,1,0)</f>
        <v/>
      </c>
      <c r="H28" s="30">
        <f>IF(H$5&lt;tenor_c,1,0)</f>
        <v/>
      </c>
      <c r="I28" s="30">
        <f>IF(I$5&lt;tenor_c,1,0)</f>
        <v/>
      </c>
      <c r="J28" s="30">
        <f>IF(J$5&lt;tenor_c,1,0)</f>
        <v/>
      </c>
      <c r="K28" s="30">
        <f>IF(K$5&lt;tenor_c,1,0)</f>
        <v/>
      </c>
      <c r="L28" s="30">
        <f>IF(L$5&lt;tenor_c,1,0)</f>
        <v/>
      </c>
      <c r="M28" s="30">
        <f>IF(M$5&lt;tenor_c,1,0)</f>
        <v/>
      </c>
      <c r="N28" s="30">
        <f>IF(N$5&lt;tenor_c,1,0)</f>
        <v/>
      </c>
      <c r="O28" s="30">
        <f>IF(O$5&lt;tenor_c,1,0)</f>
        <v/>
      </c>
      <c r="P28" s="30">
        <f>IF(P$5&lt;tenor_c,1,0)</f>
        <v/>
      </c>
      <c r="Q28" s="30">
        <f>IF(Q$5&lt;tenor_c,1,0)</f>
        <v/>
      </c>
      <c r="R28" s="30">
        <f>IF(R$5&lt;tenor_c,1,0)</f>
        <v/>
      </c>
      <c r="S28" s="30">
        <f>IF(S$5&lt;tenor_c,1,0)</f>
        <v/>
      </c>
      <c r="T28" s="30">
        <f>IF(T$5&lt;tenor_c,1,0)</f>
        <v/>
      </c>
      <c r="U28" s="30">
        <f>IF(U$5&lt;tenor_c,1,0)</f>
        <v/>
      </c>
      <c r="V28" s="30">
        <f>IF(V$5&lt;tenor_c,1,0)</f>
        <v/>
      </c>
      <c r="W28" s="30">
        <f>IF(W$5&lt;tenor_c,1,0)</f>
        <v/>
      </c>
      <c r="X28" s="30">
        <f>IF(X$5&lt;tenor_c,1,0)</f>
        <v/>
      </c>
      <c r="Y28" s="30">
        <f>IF(Y$5&lt;tenor_c,1,0)</f>
        <v/>
      </c>
      <c r="Z28" s="30">
        <f>IF(Z$5&lt;tenor_c,1,0)</f>
        <v/>
      </c>
      <c r="AA28" s="30">
        <f>IF(AA$5&lt;tenor_c,1,0)</f>
        <v/>
      </c>
      <c r="AB28" s="30">
        <f>IF(AB$5&lt;tenor_c,1,0)</f>
        <v/>
      </c>
      <c r="AC28" s="30">
        <f>IF(AC$5&lt;tenor_c,1,0)</f>
        <v/>
      </c>
      <c r="AD28" s="30">
        <f>IF(AD$5&lt;tenor_c,1,0)</f>
        <v/>
      </c>
      <c r="AE28" s="30">
        <f>IF(AE$5&lt;tenor_c,1,0)</f>
        <v/>
      </c>
      <c r="AF28" s="30">
        <f>IF(AF$5&lt;tenor_c,1,0)</f>
        <v/>
      </c>
      <c r="AG28" s="30">
        <f>IF(AG$5&lt;tenor_c,1,0)</f>
        <v/>
      </c>
      <c r="AH28" s="30">
        <f>IF(AH$5&lt;tenor_c,1,0)</f>
        <v/>
      </c>
      <c r="AI28" s="30">
        <f>IF(AI$5&lt;tenor_c,1,0)</f>
        <v/>
      </c>
      <c r="AJ28" s="30">
        <f>IF(AJ$5&lt;tenor_c,1,0)</f>
        <v/>
      </c>
      <c r="AK28" s="30">
        <f>IF(AK$5&lt;tenor_c,1,0)</f>
        <v/>
      </c>
      <c r="AL28" s="30">
        <f>IF(AL$5&lt;tenor_c,1,0)</f>
        <v/>
      </c>
    </row>
    <row r="29">
      <c r="B29" s="7" t="inlineStr">
        <is>
          <t>CFADS at the energy in use: EBITDA, credit cash excluded ($)</t>
        </is>
      </c>
      <c r="D29" s="25">
        <f>Cases!D$71*D28</f>
        <v/>
      </c>
      <c r="E29" s="25">
        <f>Cases!E$71*E28</f>
        <v/>
      </c>
      <c r="F29" s="25">
        <f>Cases!F$71*F28</f>
        <v/>
      </c>
      <c r="G29" s="25">
        <f>Cases!G$71*G28</f>
        <v/>
      </c>
      <c r="H29" s="25">
        <f>Cases!H$71*H28</f>
        <v/>
      </c>
      <c r="I29" s="25">
        <f>Cases!I$71*I28</f>
        <v/>
      </c>
      <c r="J29" s="25">
        <f>Cases!J$71*J28</f>
        <v/>
      </c>
      <c r="K29" s="25">
        <f>Cases!K$71*K28</f>
        <v/>
      </c>
      <c r="L29" s="25">
        <f>Cases!L$71*L28</f>
        <v/>
      </c>
      <c r="M29" s="25">
        <f>Cases!M$71*M28</f>
        <v/>
      </c>
      <c r="N29" s="25">
        <f>Cases!N$71*N28</f>
        <v/>
      </c>
      <c r="O29" s="25">
        <f>Cases!O$71*O28</f>
        <v/>
      </c>
      <c r="P29" s="25">
        <f>Cases!P$71*P28</f>
        <v/>
      </c>
      <c r="Q29" s="25">
        <f>Cases!Q$71*Q28</f>
        <v/>
      </c>
      <c r="R29" s="25">
        <f>Cases!R$71*R28</f>
        <v/>
      </c>
      <c r="S29" s="25">
        <f>Cases!S$71*S28</f>
        <v/>
      </c>
      <c r="T29" s="25">
        <f>Cases!T$71*T28</f>
        <v/>
      </c>
      <c r="U29" s="25">
        <f>Cases!U$71*U28</f>
        <v/>
      </c>
      <c r="V29" s="25">
        <f>Cases!V$71*V28</f>
        <v/>
      </c>
      <c r="W29" s="25">
        <f>Cases!W$71*W28</f>
        <v/>
      </c>
      <c r="X29" s="25">
        <f>Cases!X$71*X28</f>
        <v/>
      </c>
      <c r="Y29" s="25">
        <f>Cases!Y$71*Y28</f>
        <v/>
      </c>
      <c r="Z29" s="25">
        <f>Cases!Z$71*Z28</f>
        <v/>
      </c>
      <c r="AA29" s="25">
        <f>Cases!AA$71*AA28</f>
        <v/>
      </c>
      <c r="AB29" s="25">
        <f>Cases!AB$71*AB28</f>
        <v/>
      </c>
      <c r="AC29" s="25">
        <f>Cases!AC$71*AC28</f>
        <v/>
      </c>
      <c r="AD29" s="25">
        <f>Cases!AD$71*AD28</f>
        <v/>
      </c>
      <c r="AE29" s="25">
        <f>Cases!AE$71*AE28</f>
        <v/>
      </c>
      <c r="AF29" s="25">
        <f>Cases!AF$71*AF28</f>
        <v/>
      </c>
      <c r="AG29" s="25">
        <f>Cases!AG$71*AG28</f>
        <v/>
      </c>
      <c r="AH29" s="25">
        <f>Cases!AH$71*AH28</f>
        <v/>
      </c>
      <c r="AI29" s="25">
        <f>Cases!AI$71*AI28</f>
        <v/>
      </c>
      <c r="AJ29" s="25">
        <f>Cases!AJ$71*AJ28</f>
        <v/>
      </c>
      <c r="AK29" s="25">
        <f>Cases!AK$71*AK28</f>
        <v/>
      </c>
      <c r="AL29" s="25">
        <f>Cases!AL$71*AL28</f>
        <v/>
      </c>
    </row>
    <row r="30">
      <c r="B30" s="7" t="inlineStr">
        <is>
          <t>Energy-linked revenue (all bundled PPA revenue, contracted less basis cost, plus merchant revenue other than capacity)</t>
        </is>
      </c>
      <c r="D30" s="25">
        <f>(Cases!D$66-Cases!D$68+MAX(Cases!D$67-Market!D$13,0))*D28</f>
        <v/>
      </c>
      <c r="E30" s="25">
        <f>(Cases!E$66-Cases!E$68+MAX(Cases!E$67-Market!E$13,0))*E28</f>
        <v/>
      </c>
      <c r="F30" s="25">
        <f>(Cases!F$66-Cases!F$68+MAX(Cases!F$67-Market!F$13,0))*F28</f>
        <v/>
      </c>
      <c r="G30" s="25">
        <f>(Cases!G$66-Cases!G$68+MAX(Cases!G$67-Market!G$13,0))*G28</f>
        <v/>
      </c>
      <c r="H30" s="25">
        <f>(Cases!H$66-Cases!H$68+MAX(Cases!H$67-Market!H$13,0))*H28</f>
        <v/>
      </c>
      <c r="I30" s="25">
        <f>(Cases!I$66-Cases!I$68+MAX(Cases!I$67-Market!I$13,0))*I28</f>
        <v/>
      </c>
      <c r="J30" s="25">
        <f>(Cases!J$66-Cases!J$68+MAX(Cases!J$67-Market!J$13,0))*J28</f>
        <v/>
      </c>
      <c r="K30" s="25">
        <f>(Cases!K$66-Cases!K$68+MAX(Cases!K$67-Market!K$13,0))*K28</f>
        <v/>
      </c>
      <c r="L30" s="25">
        <f>(Cases!L$66-Cases!L$68+MAX(Cases!L$67-Market!L$13,0))*L28</f>
        <v/>
      </c>
      <c r="M30" s="25">
        <f>(Cases!M$66-Cases!M$68+MAX(Cases!M$67-Market!M$13,0))*M28</f>
        <v/>
      </c>
      <c r="N30" s="25">
        <f>(Cases!N$66-Cases!N$68+MAX(Cases!N$67-Market!N$13,0))*N28</f>
        <v/>
      </c>
      <c r="O30" s="25">
        <f>(Cases!O$66-Cases!O$68+MAX(Cases!O$67-Market!O$13,0))*O28</f>
        <v/>
      </c>
      <c r="P30" s="25">
        <f>(Cases!P$66-Cases!P$68+MAX(Cases!P$67-Market!P$13,0))*P28</f>
        <v/>
      </c>
      <c r="Q30" s="25">
        <f>(Cases!Q$66-Cases!Q$68+MAX(Cases!Q$67-Market!Q$13,0))*Q28</f>
        <v/>
      </c>
      <c r="R30" s="25">
        <f>(Cases!R$66-Cases!R$68+MAX(Cases!R$67-Market!R$13,0))*R28</f>
        <v/>
      </c>
      <c r="S30" s="25">
        <f>(Cases!S$66-Cases!S$68+MAX(Cases!S$67-Market!S$13,0))*S28</f>
        <v/>
      </c>
      <c r="T30" s="25">
        <f>(Cases!T$66-Cases!T$68+MAX(Cases!T$67-Market!T$13,0))*T28</f>
        <v/>
      </c>
      <c r="U30" s="25">
        <f>(Cases!U$66-Cases!U$68+MAX(Cases!U$67-Market!U$13,0))*U28</f>
        <v/>
      </c>
      <c r="V30" s="25">
        <f>(Cases!V$66-Cases!V$68+MAX(Cases!V$67-Market!V$13,0))*V28</f>
        <v/>
      </c>
      <c r="W30" s="25">
        <f>(Cases!W$66-Cases!W$68+MAX(Cases!W$67-Market!W$13,0))*W28</f>
        <v/>
      </c>
      <c r="X30" s="25">
        <f>(Cases!X$66-Cases!X$68+MAX(Cases!X$67-Market!X$13,0))*X28</f>
        <v/>
      </c>
      <c r="Y30" s="25">
        <f>(Cases!Y$66-Cases!Y$68+MAX(Cases!Y$67-Market!Y$13,0))*Y28</f>
        <v/>
      </c>
      <c r="Z30" s="25">
        <f>(Cases!Z$66-Cases!Z$68+MAX(Cases!Z$67-Market!Z$13,0))*Z28</f>
        <v/>
      </c>
      <c r="AA30" s="25">
        <f>(Cases!AA$66-Cases!AA$68+MAX(Cases!AA$67-Market!AA$13,0))*AA28</f>
        <v/>
      </c>
      <c r="AB30" s="25">
        <f>(Cases!AB$66-Cases!AB$68+MAX(Cases!AB$67-Market!AB$13,0))*AB28</f>
        <v/>
      </c>
      <c r="AC30" s="25">
        <f>(Cases!AC$66-Cases!AC$68+MAX(Cases!AC$67-Market!AC$13,0))*AC28</f>
        <v/>
      </c>
      <c r="AD30" s="25">
        <f>(Cases!AD$66-Cases!AD$68+MAX(Cases!AD$67-Market!AD$13,0))*AD28</f>
        <v/>
      </c>
      <c r="AE30" s="25">
        <f>(Cases!AE$66-Cases!AE$68+MAX(Cases!AE$67-Market!AE$13,0))*AE28</f>
        <v/>
      </c>
      <c r="AF30" s="25">
        <f>(Cases!AF$66-Cases!AF$68+MAX(Cases!AF$67-Market!AF$13,0))*AF28</f>
        <v/>
      </c>
      <c r="AG30" s="25">
        <f>(Cases!AG$66-Cases!AG$68+MAX(Cases!AG$67-Market!AG$13,0))*AG28</f>
        <v/>
      </c>
      <c r="AH30" s="25">
        <f>(Cases!AH$66-Cases!AH$68+MAX(Cases!AH$67-Market!AH$13,0))*AH28</f>
        <v/>
      </c>
      <c r="AI30" s="25">
        <f>(Cases!AI$66-Cases!AI$68+MAX(Cases!AI$67-Market!AI$13,0))*AI28</f>
        <v/>
      </c>
      <c r="AJ30" s="25">
        <f>(Cases!AJ$66-Cases!AJ$68+MAX(Cases!AJ$67-Market!AJ$13,0))*AJ28</f>
        <v/>
      </c>
      <c r="AK30" s="25">
        <f>(Cases!AK$66-Cases!AK$68+MAX(Cases!AK$67-Market!AK$13,0))*AK28</f>
        <v/>
      </c>
      <c r="AL30" s="25">
        <f>(Cases!AL$66-Cases!AL$68+MAX(Cases!AL$67-Market!AL$13,0))*AL28</f>
        <v/>
      </c>
    </row>
    <row r="31">
      <c r="B31" s="7" t="inlineStr">
        <is>
          <t>CFADS at P99 one-year energy ($)</t>
        </is>
      </c>
      <c r="D31" s="25">
        <f>D29-D30*(1-p99_1)</f>
        <v/>
      </c>
      <c r="E31" s="25">
        <f>E29-E30*(1-p99_1)</f>
        <v/>
      </c>
      <c r="F31" s="25">
        <f>F29-F30*(1-p99_1)</f>
        <v/>
      </c>
      <c r="G31" s="25">
        <f>G29-G30*(1-p99_1)</f>
        <v/>
      </c>
      <c r="H31" s="25">
        <f>H29-H30*(1-p99_1)</f>
        <v/>
      </c>
      <c r="I31" s="25">
        <f>I29-I30*(1-p99_1)</f>
        <v/>
      </c>
      <c r="J31" s="25">
        <f>J29-J30*(1-p99_1)</f>
        <v/>
      </c>
      <c r="K31" s="25">
        <f>K29-K30*(1-p99_1)</f>
        <v/>
      </c>
      <c r="L31" s="25">
        <f>L29-L30*(1-p99_1)</f>
        <v/>
      </c>
      <c r="M31" s="25">
        <f>M29-M30*(1-p99_1)</f>
        <v/>
      </c>
      <c r="N31" s="25">
        <f>N29-N30*(1-p99_1)</f>
        <v/>
      </c>
      <c r="O31" s="25">
        <f>O29-O30*(1-p99_1)</f>
        <v/>
      </c>
      <c r="P31" s="25">
        <f>P29-P30*(1-p99_1)</f>
        <v/>
      </c>
      <c r="Q31" s="25">
        <f>Q29-Q30*(1-p99_1)</f>
        <v/>
      </c>
      <c r="R31" s="25">
        <f>R29-R30*(1-p99_1)</f>
        <v/>
      </c>
      <c r="S31" s="25">
        <f>S29-S30*(1-p99_1)</f>
        <v/>
      </c>
      <c r="T31" s="25">
        <f>T29-T30*(1-p99_1)</f>
        <v/>
      </c>
      <c r="U31" s="25">
        <f>U29-U30*(1-p99_1)</f>
        <v/>
      </c>
      <c r="V31" s="25">
        <f>V29-V30*(1-p99_1)</f>
        <v/>
      </c>
      <c r="W31" s="25">
        <f>W29-W30*(1-p99_1)</f>
        <v/>
      </c>
      <c r="X31" s="25">
        <f>X29-X30*(1-p99_1)</f>
        <v/>
      </c>
      <c r="Y31" s="25">
        <f>Y29-Y30*(1-p99_1)</f>
        <v/>
      </c>
      <c r="Z31" s="25">
        <f>Z29-Z30*(1-p99_1)</f>
        <v/>
      </c>
      <c r="AA31" s="25">
        <f>AA29-AA30*(1-p99_1)</f>
        <v/>
      </c>
      <c r="AB31" s="25">
        <f>AB29-AB30*(1-p99_1)</f>
        <v/>
      </c>
      <c r="AC31" s="25">
        <f>AC29-AC30*(1-p99_1)</f>
        <v/>
      </c>
      <c r="AD31" s="25">
        <f>AD29-AD30*(1-p99_1)</f>
        <v/>
      </c>
      <c r="AE31" s="25">
        <f>AE29-AE30*(1-p99_1)</f>
        <v/>
      </c>
      <c r="AF31" s="25">
        <f>AF29-AF30*(1-p99_1)</f>
        <v/>
      </c>
      <c r="AG31" s="25">
        <f>AG29-AG30*(1-p99_1)</f>
        <v/>
      </c>
      <c r="AH31" s="25">
        <f>AH29-AH30*(1-p99_1)</f>
        <v/>
      </c>
      <c r="AI31" s="25">
        <f>AI29-AI30*(1-p99_1)</f>
        <v/>
      </c>
      <c r="AJ31" s="25">
        <f>AJ29-AJ30*(1-p99_1)</f>
        <v/>
      </c>
      <c r="AK31" s="25">
        <f>AK29-AK30*(1-p99_1)</f>
        <v/>
      </c>
      <c r="AL31" s="25">
        <f>AL29-AL30*(1-p99_1)</f>
        <v/>
      </c>
    </row>
    <row r="32">
      <c r="B32" s="7" t="inlineStr">
        <is>
          <t>CFADS at P50 / ratio ($)</t>
        </is>
      </c>
      <c r="D32" s="25">
        <f>D29/dscr_p50</f>
        <v/>
      </c>
      <c r="E32" s="25">
        <f>E29/dscr_p50</f>
        <v/>
      </c>
      <c r="F32" s="25">
        <f>F29/dscr_p50</f>
        <v/>
      </c>
      <c r="G32" s="25">
        <f>G29/dscr_p50</f>
        <v/>
      </c>
      <c r="H32" s="25">
        <f>H29/dscr_p50</f>
        <v/>
      </c>
      <c r="I32" s="25">
        <f>I29/dscr_p50</f>
        <v/>
      </c>
      <c r="J32" s="25">
        <f>J29/dscr_p50</f>
        <v/>
      </c>
      <c r="K32" s="25">
        <f>K29/dscr_p50</f>
        <v/>
      </c>
      <c r="L32" s="25">
        <f>L29/dscr_p50</f>
        <v/>
      </c>
      <c r="M32" s="25">
        <f>M29/dscr_p50</f>
        <v/>
      </c>
      <c r="N32" s="25">
        <f>N29/dscr_p50</f>
        <v/>
      </c>
      <c r="O32" s="25">
        <f>O29/dscr_p50</f>
        <v/>
      </c>
      <c r="P32" s="25">
        <f>P29/dscr_p50</f>
        <v/>
      </c>
      <c r="Q32" s="25">
        <f>Q29/dscr_p50</f>
        <v/>
      </c>
      <c r="R32" s="25">
        <f>R29/dscr_p50</f>
        <v/>
      </c>
      <c r="S32" s="25">
        <f>S29/dscr_p50</f>
        <v/>
      </c>
      <c r="T32" s="25">
        <f>T29/dscr_p50</f>
        <v/>
      </c>
      <c r="U32" s="25">
        <f>U29/dscr_p50</f>
        <v/>
      </c>
      <c r="V32" s="25">
        <f>V29/dscr_p50</f>
        <v/>
      </c>
      <c r="W32" s="25">
        <f>W29/dscr_p50</f>
        <v/>
      </c>
      <c r="X32" s="25">
        <f>X29/dscr_p50</f>
        <v/>
      </c>
      <c r="Y32" s="25">
        <f>Y29/dscr_p50</f>
        <v/>
      </c>
      <c r="Z32" s="25">
        <f>Z29/dscr_p50</f>
        <v/>
      </c>
      <c r="AA32" s="25">
        <f>AA29/dscr_p50</f>
        <v/>
      </c>
      <c r="AB32" s="25">
        <f>AB29/dscr_p50</f>
        <v/>
      </c>
      <c r="AC32" s="25">
        <f>AC29/dscr_p50</f>
        <v/>
      </c>
      <c r="AD32" s="25">
        <f>AD29/dscr_p50</f>
        <v/>
      </c>
      <c r="AE32" s="25">
        <f>AE29/dscr_p50</f>
        <v/>
      </c>
      <c r="AF32" s="25">
        <f>AF29/dscr_p50</f>
        <v/>
      </c>
      <c r="AG32" s="25">
        <f>AG29/dscr_p50</f>
        <v/>
      </c>
      <c r="AH32" s="25">
        <f>AH29/dscr_p50</f>
        <v/>
      </c>
      <c r="AI32" s="25">
        <f>AI29/dscr_p50</f>
        <v/>
      </c>
      <c r="AJ32" s="25">
        <f>AJ29/dscr_p50</f>
        <v/>
      </c>
      <c r="AK32" s="25">
        <f>AK29/dscr_p50</f>
        <v/>
      </c>
      <c r="AL32" s="25">
        <f>AL29/dscr_p50</f>
        <v/>
      </c>
    </row>
    <row r="33">
      <c r="B33" s="7" t="inlineStr">
        <is>
          <t>CFADS at P99 / ratio ($)</t>
        </is>
      </c>
      <c r="D33" s="25">
        <f>D31/dscr_p99</f>
        <v/>
      </c>
      <c r="E33" s="25">
        <f>E31/dscr_p99</f>
        <v/>
      </c>
      <c r="F33" s="25">
        <f>F31/dscr_p99</f>
        <v/>
      </c>
      <c r="G33" s="25">
        <f>G31/dscr_p99</f>
        <v/>
      </c>
      <c r="H33" s="25">
        <f>H31/dscr_p99</f>
        <v/>
      </c>
      <c r="I33" s="25">
        <f>I31/dscr_p99</f>
        <v/>
      </c>
      <c r="J33" s="25">
        <f>J31/dscr_p99</f>
        <v/>
      </c>
      <c r="K33" s="25">
        <f>K31/dscr_p99</f>
        <v/>
      </c>
      <c r="L33" s="25">
        <f>L31/dscr_p99</f>
        <v/>
      </c>
      <c r="M33" s="25">
        <f>M31/dscr_p99</f>
        <v/>
      </c>
      <c r="N33" s="25">
        <f>N31/dscr_p99</f>
        <v/>
      </c>
      <c r="O33" s="25">
        <f>O31/dscr_p99</f>
        <v/>
      </c>
      <c r="P33" s="25">
        <f>P31/dscr_p99</f>
        <v/>
      </c>
      <c r="Q33" s="25">
        <f>Q31/dscr_p99</f>
        <v/>
      </c>
      <c r="R33" s="25">
        <f>R31/dscr_p99</f>
        <v/>
      </c>
      <c r="S33" s="25">
        <f>S31/dscr_p99</f>
        <v/>
      </c>
      <c r="T33" s="25">
        <f>T31/dscr_p99</f>
        <v/>
      </c>
      <c r="U33" s="25">
        <f>U31/dscr_p99</f>
        <v/>
      </c>
      <c r="V33" s="25">
        <f>V31/dscr_p99</f>
        <v/>
      </c>
      <c r="W33" s="25">
        <f>W31/dscr_p99</f>
        <v/>
      </c>
      <c r="X33" s="25">
        <f>X31/dscr_p99</f>
        <v/>
      </c>
      <c r="Y33" s="25">
        <f>Y31/dscr_p99</f>
        <v/>
      </c>
      <c r="Z33" s="25">
        <f>Z31/dscr_p99</f>
        <v/>
      </c>
      <c r="AA33" s="25">
        <f>AA31/dscr_p99</f>
        <v/>
      </c>
      <c r="AB33" s="25">
        <f>AB31/dscr_p99</f>
        <v/>
      </c>
      <c r="AC33" s="25">
        <f>AC31/dscr_p99</f>
        <v/>
      </c>
      <c r="AD33" s="25">
        <f>AD31/dscr_p99</f>
        <v/>
      </c>
      <c r="AE33" s="25">
        <f>AE31/dscr_p99</f>
        <v/>
      </c>
      <c r="AF33" s="25">
        <f>AF31/dscr_p99</f>
        <v/>
      </c>
      <c r="AG33" s="25">
        <f>AG31/dscr_p99</f>
        <v/>
      </c>
      <c r="AH33" s="25">
        <f>AH31/dscr_p99</f>
        <v/>
      </c>
      <c r="AI33" s="25">
        <f>AI31/dscr_p99</f>
        <v/>
      </c>
      <c r="AJ33" s="25">
        <f>AJ31/dscr_p99</f>
        <v/>
      </c>
      <c r="AK33" s="25">
        <f>AK31/dscr_p99</f>
        <v/>
      </c>
      <c r="AL33" s="25">
        <f>AL31/dscr_p99</f>
        <v/>
      </c>
    </row>
    <row r="34">
      <c r="B34" s="14" t="inlineStr">
        <is>
          <t>Debt service ($)</t>
        </is>
      </c>
      <c r="D34" s="26">
        <f>MIN(D32,D33)</f>
        <v/>
      </c>
      <c r="E34" s="26">
        <f>MIN(E32,E33)</f>
        <v/>
      </c>
      <c r="F34" s="26">
        <f>MIN(F32,F33)</f>
        <v/>
      </c>
      <c r="G34" s="26">
        <f>MIN(G32,G33)</f>
        <v/>
      </c>
      <c r="H34" s="26">
        <f>MIN(H32,H33)</f>
        <v/>
      </c>
      <c r="I34" s="26">
        <f>MIN(I32,I33)</f>
        <v/>
      </c>
      <c r="J34" s="26">
        <f>MIN(J32,J33)</f>
        <v/>
      </c>
      <c r="K34" s="26">
        <f>MIN(K32,K33)</f>
        <v/>
      </c>
      <c r="L34" s="26">
        <f>MIN(L32,L33)</f>
        <v/>
      </c>
      <c r="M34" s="26">
        <f>MIN(M32,M33)</f>
        <v/>
      </c>
      <c r="N34" s="26">
        <f>MIN(N32,N33)</f>
        <v/>
      </c>
      <c r="O34" s="26">
        <f>MIN(O32,O33)</f>
        <v/>
      </c>
      <c r="P34" s="26">
        <f>MIN(P32,P33)</f>
        <v/>
      </c>
      <c r="Q34" s="26">
        <f>MIN(Q32,Q33)</f>
        <v/>
      </c>
      <c r="R34" s="26">
        <f>MIN(R32,R33)</f>
        <v/>
      </c>
      <c r="S34" s="26">
        <f>MIN(S32,S33)</f>
        <v/>
      </c>
      <c r="T34" s="26">
        <f>MIN(T32,T33)</f>
        <v/>
      </c>
      <c r="U34" s="26">
        <f>MIN(U32,U33)</f>
        <v/>
      </c>
      <c r="V34" s="26">
        <f>MIN(V32,V33)</f>
        <v/>
      </c>
      <c r="W34" s="26">
        <f>MIN(W32,W33)</f>
        <v/>
      </c>
      <c r="X34" s="26">
        <f>MIN(X32,X33)</f>
        <v/>
      </c>
      <c r="Y34" s="26">
        <f>MIN(Y32,Y33)</f>
        <v/>
      </c>
      <c r="Z34" s="26">
        <f>MIN(Z32,Z33)</f>
        <v/>
      </c>
      <c r="AA34" s="26">
        <f>MIN(AA32,AA33)</f>
        <v/>
      </c>
      <c r="AB34" s="26">
        <f>MIN(AB32,AB33)</f>
        <v/>
      </c>
      <c r="AC34" s="26">
        <f>MIN(AC32,AC33)</f>
        <v/>
      </c>
      <c r="AD34" s="26">
        <f>MIN(AD32,AD33)</f>
        <v/>
      </c>
      <c r="AE34" s="26">
        <f>MIN(AE32,AE33)</f>
        <v/>
      </c>
      <c r="AF34" s="26">
        <f>MIN(AF32,AF33)</f>
        <v/>
      </c>
      <c r="AG34" s="26">
        <f>MIN(AG32,AG33)</f>
        <v/>
      </c>
      <c r="AH34" s="26">
        <f>MIN(AH32,AH33)</f>
        <v/>
      </c>
      <c r="AI34" s="26">
        <f>MIN(AI32,AI33)</f>
        <v/>
      </c>
      <c r="AJ34" s="26">
        <f>MIN(AJ32,AJ33)</f>
        <v/>
      </c>
      <c r="AK34" s="26">
        <f>MIN(AK32,AK33)</f>
        <v/>
      </c>
      <c r="AL34" s="26">
        <f>MIN(AL32,AL33)</f>
        <v/>
      </c>
    </row>
    <row r="35">
      <c r="B35" s="7" t="inlineStr">
        <is>
          <t>Binding constraint</t>
        </is>
      </c>
      <c r="D35" s="7">
        <f>IF(D28=1,IF(D32&lt;=D33,"P50","P99"),"")</f>
        <v/>
      </c>
      <c r="E35" s="7">
        <f>IF(E28=1,IF(E32&lt;=E33,"P50","P99"),"")</f>
        <v/>
      </c>
      <c r="F35" s="7">
        <f>IF(F28=1,IF(F32&lt;=F33,"P50","P99"),"")</f>
        <v/>
      </c>
      <c r="G35" s="7">
        <f>IF(G28=1,IF(G32&lt;=G33,"P50","P99"),"")</f>
        <v/>
      </c>
      <c r="H35" s="7">
        <f>IF(H28=1,IF(H32&lt;=H33,"P50","P99"),"")</f>
        <v/>
      </c>
      <c r="I35" s="7">
        <f>IF(I28=1,IF(I32&lt;=I33,"P50","P99"),"")</f>
        <v/>
      </c>
      <c r="J35" s="7">
        <f>IF(J28=1,IF(J32&lt;=J33,"P50","P99"),"")</f>
        <v/>
      </c>
      <c r="K35" s="7">
        <f>IF(K28=1,IF(K32&lt;=K33,"P50","P99"),"")</f>
        <v/>
      </c>
      <c r="L35" s="7">
        <f>IF(L28=1,IF(L32&lt;=L33,"P50","P99"),"")</f>
        <v/>
      </c>
      <c r="M35" s="7">
        <f>IF(M28=1,IF(M32&lt;=M33,"P50","P99"),"")</f>
        <v/>
      </c>
      <c r="N35" s="7">
        <f>IF(N28=1,IF(N32&lt;=N33,"P50","P99"),"")</f>
        <v/>
      </c>
      <c r="O35" s="7">
        <f>IF(O28=1,IF(O32&lt;=O33,"P50","P99"),"")</f>
        <v/>
      </c>
      <c r="P35" s="7">
        <f>IF(P28=1,IF(P32&lt;=P33,"P50","P99"),"")</f>
        <v/>
      </c>
      <c r="Q35" s="7">
        <f>IF(Q28=1,IF(Q32&lt;=Q33,"P50","P99"),"")</f>
        <v/>
      </c>
      <c r="R35" s="7">
        <f>IF(R28=1,IF(R32&lt;=R33,"P50","P99"),"")</f>
        <v/>
      </c>
      <c r="S35" s="7">
        <f>IF(S28=1,IF(S32&lt;=S33,"P50","P99"),"")</f>
        <v/>
      </c>
      <c r="T35" s="7">
        <f>IF(T28=1,IF(T32&lt;=T33,"P50","P99"),"")</f>
        <v/>
      </c>
      <c r="U35" s="7">
        <f>IF(U28=1,IF(U32&lt;=U33,"P50","P99"),"")</f>
        <v/>
      </c>
      <c r="V35" s="7">
        <f>IF(V28=1,IF(V32&lt;=V33,"P50","P99"),"")</f>
        <v/>
      </c>
      <c r="W35" s="7">
        <f>IF(W28=1,IF(W32&lt;=W33,"P50","P99"),"")</f>
        <v/>
      </c>
      <c r="X35" s="7">
        <f>IF(X28=1,IF(X32&lt;=X33,"P50","P99"),"")</f>
        <v/>
      </c>
      <c r="Y35" s="7">
        <f>IF(Y28=1,IF(Y32&lt;=Y33,"P50","P99"),"")</f>
        <v/>
      </c>
      <c r="Z35" s="7">
        <f>IF(Z28=1,IF(Z32&lt;=Z33,"P50","P99"),"")</f>
        <v/>
      </c>
      <c r="AA35" s="7">
        <f>IF(AA28=1,IF(AA32&lt;=AA33,"P50","P99"),"")</f>
        <v/>
      </c>
      <c r="AB35" s="7">
        <f>IF(AB28=1,IF(AB32&lt;=AB33,"P50","P99"),"")</f>
        <v/>
      </c>
      <c r="AC35" s="7">
        <f>IF(AC28=1,IF(AC32&lt;=AC33,"P50","P99"),"")</f>
        <v/>
      </c>
      <c r="AD35" s="7">
        <f>IF(AD28=1,IF(AD32&lt;=AD33,"P50","P99"),"")</f>
        <v/>
      </c>
      <c r="AE35" s="7">
        <f>IF(AE28=1,IF(AE32&lt;=AE33,"P50","P99"),"")</f>
        <v/>
      </c>
      <c r="AF35" s="7">
        <f>IF(AF28=1,IF(AF32&lt;=AF33,"P50","P99"),"")</f>
        <v/>
      </c>
      <c r="AG35" s="7">
        <f>IF(AG28=1,IF(AG32&lt;=AG33,"P50","P99"),"")</f>
        <v/>
      </c>
      <c r="AH35" s="7">
        <f>IF(AH28=1,IF(AH32&lt;=AH33,"P50","P99"),"")</f>
        <v/>
      </c>
      <c r="AI35" s="7">
        <f>IF(AI28=1,IF(AI32&lt;=AI33,"P50","P99"),"")</f>
        <v/>
      </c>
      <c r="AJ35" s="7">
        <f>IF(AJ28=1,IF(AJ32&lt;=AJ33,"P50","P99"),"")</f>
        <v/>
      </c>
      <c r="AK35" s="7">
        <f>IF(AK28=1,IF(AK32&lt;=AK33,"P50","P99"),"")</f>
        <v/>
      </c>
      <c r="AL35" s="7">
        <f>IF(AL28=1,IF(AL32&lt;=AL33,"P50","P99"),"")</f>
        <v/>
      </c>
    </row>
    <row r="37">
      <c r="B37" s="14" t="inlineStr">
        <is>
          <t>Term debt drawn at COD ($)</t>
        </is>
      </c>
      <c r="C37" s="26">
        <f>SUMPRODUCT($D$34:$AL$34,$D$7:$AL$7)</f>
        <v/>
      </c>
    </row>
    <row r="38">
      <c r="B38" s="7" t="inlineStr">
        <is>
          <t>Share of the capital cost</t>
        </is>
      </c>
      <c r="C38" s="28">
        <f>C37/Cases!$C$61</f>
        <v/>
      </c>
    </row>
    <row r="39">
      <c r="B39" s="7" t="inlineStr">
        <is>
          <t>Ashgrove's equity in 2027: NTP price plus capital cost less reimbursement less debt ($)</t>
        </is>
      </c>
      <c r="C39" s="25">
        <f>ntp_price+Cases!$C$61-reimb-C37</f>
        <v/>
      </c>
    </row>
    <row r="40">
      <c r="B40" s="7" t="inlineStr">
        <is>
          <t>Equity flows by period k (0 = 1 January 2027, 1 = end 2027, 2 = end 2028 ...)</t>
        </is>
      </c>
    </row>
    <row r="41">
      <c r="C41" s="25">
        <f>Cases!C99</f>
        <v/>
      </c>
      <c r="D41" s="25">
        <f>Cases!D99+C37</f>
        <v/>
      </c>
      <c r="E41" s="25">
        <f>Cases!E99-D34</f>
        <v/>
      </c>
      <c r="F41" s="25">
        <f>Cases!F99-E34</f>
        <v/>
      </c>
      <c r="G41" s="25">
        <f>Cases!G99-F34</f>
        <v/>
      </c>
      <c r="H41" s="25">
        <f>Cases!H99-G34</f>
        <v/>
      </c>
      <c r="I41" s="25">
        <f>Cases!I99-H34</f>
        <v/>
      </c>
      <c r="J41" s="25">
        <f>Cases!J99-I34</f>
        <v/>
      </c>
      <c r="K41" s="25">
        <f>Cases!K99-J34</f>
        <v/>
      </c>
      <c r="L41" s="25">
        <f>Cases!L99-K34</f>
        <v/>
      </c>
      <c r="M41" s="25">
        <f>Cases!M99-L34</f>
        <v/>
      </c>
      <c r="N41" s="25">
        <f>Cases!N99-M34</f>
        <v/>
      </c>
      <c r="O41" s="25">
        <f>Cases!O99-N34</f>
        <v/>
      </c>
      <c r="P41" s="25">
        <f>Cases!P99-O34</f>
        <v/>
      </c>
      <c r="Q41" s="25">
        <f>Cases!Q99-P34</f>
        <v/>
      </c>
      <c r="R41" s="25">
        <f>Cases!R99-Q34</f>
        <v/>
      </c>
      <c r="S41" s="25">
        <f>Cases!S99-R34</f>
        <v/>
      </c>
      <c r="T41" s="25">
        <f>Cases!T99-S34</f>
        <v/>
      </c>
      <c r="U41" s="25">
        <f>Cases!U99-T34</f>
        <v/>
      </c>
      <c r="V41" s="25">
        <f>Cases!V99-U34</f>
        <v/>
      </c>
      <c r="W41" s="25">
        <f>Cases!W99-V34</f>
        <v/>
      </c>
      <c r="X41" s="25">
        <f>Cases!X99-W34</f>
        <v/>
      </c>
      <c r="Y41" s="25">
        <f>Cases!Y99-X34</f>
        <v/>
      </c>
      <c r="Z41" s="25">
        <f>Cases!Z99-Y34</f>
        <v/>
      </c>
      <c r="AA41" s="25">
        <f>Cases!AA99-Z34</f>
        <v/>
      </c>
      <c r="AB41" s="25">
        <f>Cases!AB99-AA34</f>
        <v/>
      </c>
      <c r="AC41" s="25">
        <f>Cases!AC99-AB34</f>
        <v/>
      </c>
      <c r="AD41" s="25">
        <f>Cases!AD99-AC34</f>
        <v/>
      </c>
      <c r="AE41" s="25">
        <f>Cases!AE99-AD34</f>
        <v/>
      </c>
      <c r="AF41" s="25">
        <f>Cases!AF99-AE34</f>
        <v/>
      </c>
      <c r="AG41" s="25">
        <f>Cases!AG99-AF34</f>
        <v/>
      </c>
      <c r="AH41" s="25">
        <f>Cases!AH99-AG34</f>
        <v/>
      </c>
      <c r="AI41" s="25">
        <f>Cases!AI99-AH34</f>
        <v/>
      </c>
      <c r="AJ41" s="25">
        <f>Cases!AJ99-AI34</f>
        <v/>
      </c>
      <c r="AK41" s="25">
        <f>Cases!AK99-AJ34</f>
        <v/>
      </c>
      <c r="AL41" s="25">
        <f>Cases!AL99-AK34</f>
        <v/>
      </c>
      <c r="AM41" s="25">
        <f>Cases!AM99-AL34</f>
        <v/>
      </c>
    </row>
    <row r="42">
      <c r="B42" s="14" t="inlineStr">
        <is>
          <t>Pre-tax equity IRR with PTC cash</t>
        </is>
      </c>
      <c r="C42" s="37">
        <f>IRR(C41:AM41,0.1)</f>
        <v/>
      </c>
    </row>
    <row r="45">
      <c r="B45" s="6" t="inlineStr">
        <is>
          <t>Case M: P50 / 2.00 over the merchant tenor</t>
        </is>
      </c>
    </row>
    <row r="46">
      <c r="B46" s="7" t="inlineStr">
        <is>
          <t>Within the tenor (1 = yes)</t>
        </is>
      </c>
      <c r="D46" s="30">
        <f>IF(D$5&lt;tenor_m,1,0)</f>
        <v/>
      </c>
      <c r="E46" s="30">
        <f>IF(E$5&lt;tenor_m,1,0)</f>
        <v/>
      </c>
      <c r="F46" s="30">
        <f>IF(F$5&lt;tenor_m,1,0)</f>
        <v/>
      </c>
      <c r="G46" s="30">
        <f>IF(G$5&lt;tenor_m,1,0)</f>
        <v/>
      </c>
      <c r="H46" s="30">
        <f>IF(H$5&lt;tenor_m,1,0)</f>
        <v/>
      </c>
      <c r="I46" s="30">
        <f>IF(I$5&lt;tenor_m,1,0)</f>
        <v/>
      </c>
      <c r="J46" s="30">
        <f>IF(J$5&lt;tenor_m,1,0)</f>
        <v/>
      </c>
      <c r="K46" s="30">
        <f>IF(K$5&lt;tenor_m,1,0)</f>
        <v/>
      </c>
      <c r="L46" s="30">
        <f>IF(L$5&lt;tenor_m,1,0)</f>
        <v/>
      </c>
      <c r="M46" s="30">
        <f>IF(M$5&lt;tenor_m,1,0)</f>
        <v/>
      </c>
      <c r="N46" s="30">
        <f>IF(N$5&lt;tenor_m,1,0)</f>
        <v/>
      </c>
      <c r="O46" s="30">
        <f>IF(O$5&lt;tenor_m,1,0)</f>
        <v/>
      </c>
      <c r="P46" s="30">
        <f>IF(P$5&lt;tenor_m,1,0)</f>
        <v/>
      </c>
      <c r="Q46" s="30">
        <f>IF(Q$5&lt;tenor_m,1,0)</f>
        <v/>
      </c>
      <c r="R46" s="30">
        <f>IF(R$5&lt;tenor_m,1,0)</f>
        <v/>
      </c>
      <c r="S46" s="30">
        <f>IF(S$5&lt;tenor_m,1,0)</f>
        <v/>
      </c>
      <c r="T46" s="30">
        <f>IF(T$5&lt;tenor_m,1,0)</f>
        <v/>
      </c>
      <c r="U46" s="30">
        <f>IF(U$5&lt;tenor_m,1,0)</f>
        <v/>
      </c>
      <c r="V46" s="30">
        <f>IF(V$5&lt;tenor_m,1,0)</f>
        <v/>
      </c>
      <c r="W46" s="30">
        <f>IF(W$5&lt;tenor_m,1,0)</f>
        <v/>
      </c>
      <c r="X46" s="30">
        <f>IF(X$5&lt;tenor_m,1,0)</f>
        <v/>
      </c>
      <c r="Y46" s="30">
        <f>IF(Y$5&lt;tenor_m,1,0)</f>
        <v/>
      </c>
      <c r="Z46" s="30">
        <f>IF(Z$5&lt;tenor_m,1,0)</f>
        <v/>
      </c>
      <c r="AA46" s="30">
        <f>IF(AA$5&lt;tenor_m,1,0)</f>
        <v/>
      </c>
      <c r="AB46" s="30">
        <f>IF(AB$5&lt;tenor_m,1,0)</f>
        <v/>
      </c>
      <c r="AC46" s="30">
        <f>IF(AC$5&lt;tenor_m,1,0)</f>
        <v/>
      </c>
      <c r="AD46" s="30">
        <f>IF(AD$5&lt;tenor_m,1,0)</f>
        <v/>
      </c>
      <c r="AE46" s="30">
        <f>IF(AE$5&lt;tenor_m,1,0)</f>
        <v/>
      </c>
      <c r="AF46" s="30">
        <f>IF(AF$5&lt;tenor_m,1,0)</f>
        <v/>
      </c>
      <c r="AG46" s="30">
        <f>IF(AG$5&lt;tenor_m,1,0)</f>
        <v/>
      </c>
      <c r="AH46" s="30">
        <f>IF(AH$5&lt;tenor_m,1,0)</f>
        <v/>
      </c>
      <c r="AI46" s="30">
        <f>IF(AI$5&lt;tenor_m,1,0)</f>
        <v/>
      </c>
      <c r="AJ46" s="30">
        <f>IF(AJ$5&lt;tenor_m,1,0)</f>
        <v/>
      </c>
      <c r="AK46" s="30">
        <f>IF(AK$5&lt;tenor_m,1,0)</f>
        <v/>
      </c>
      <c r="AL46" s="30">
        <f>IF(AL$5&lt;tenor_m,1,0)</f>
        <v/>
      </c>
    </row>
    <row r="47">
      <c r="B47" s="7" t="inlineStr">
        <is>
          <t>CFADS at the energy in use: EBITDA, credit cash excluded ($)</t>
        </is>
      </c>
      <c r="D47" s="25">
        <f>Cases!D$115*D46</f>
        <v/>
      </c>
      <c r="E47" s="25">
        <f>Cases!E$115*E46</f>
        <v/>
      </c>
      <c r="F47" s="25">
        <f>Cases!F$115*F46</f>
        <v/>
      </c>
      <c r="G47" s="25">
        <f>Cases!G$115*G46</f>
        <v/>
      </c>
      <c r="H47" s="25">
        <f>Cases!H$115*H46</f>
        <v/>
      </c>
      <c r="I47" s="25">
        <f>Cases!I$115*I46</f>
        <v/>
      </c>
      <c r="J47" s="25">
        <f>Cases!J$115*J46</f>
        <v/>
      </c>
      <c r="K47" s="25">
        <f>Cases!K$115*K46</f>
        <v/>
      </c>
      <c r="L47" s="25">
        <f>Cases!L$115*L46</f>
        <v/>
      </c>
      <c r="M47" s="25">
        <f>Cases!M$115*M46</f>
        <v/>
      </c>
      <c r="N47" s="25">
        <f>Cases!N$115*N46</f>
        <v/>
      </c>
      <c r="O47" s="25">
        <f>Cases!O$115*O46</f>
        <v/>
      </c>
      <c r="P47" s="25">
        <f>Cases!P$115*P46</f>
        <v/>
      </c>
      <c r="Q47" s="25">
        <f>Cases!Q$115*Q46</f>
        <v/>
      </c>
      <c r="R47" s="25">
        <f>Cases!R$115*R46</f>
        <v/>
      </c>
      <c r="S47" s="25">
        <f>Cases!S$115*S46</f>
        <v/>
      </c>
      <c r="T47" s="25">
        <f>Cases!T$115*T46</f>
        <v/>
      </c>
      <c r="U47" s="25">
        <f>Cases!U$115*U46</f>
        <v/>
      </c>
      <c r="V47" s="25">
        <f>Cases!V$115*V46</f>
        <v/>
      </c>
      <c r="W47" s="25">
        <f>Cases!W$115*W46</f>
        <v/>
      </c>
      <c r="X47" s="25">
        <f>Cases!X$115*X46</f>
        <v/>
      </c>
      <c r="Y47" s="25">
        <f>Cases!Y$115*Y46</f>
        <v/>
      </c>
      <c r="Z47" s="25">
        <f>Cases!Z$115*Z46</f>
        <v/>
      </c>
      <c r="AA47" s="25">
        <f>Cases!AA$115*AA46</f>
        <v/>
      </c>
      <c r="AB47" s="25">
        <f>Cases!AB$115*AB46</f>
        <v/>
      </c>
      <c r="AC47" s="25">
        <f>Cases!AC$115*AC46</f>
        <v/>
      </c>
      <c r="AD47" s="25">
        <f>Cases!AD$115*AD46</f>
        <v/>
      </c>
      <c r="AE47" s="25">
        <f>Cases!AE$115*AE46</f>
        <v/>
      </c>
      <c r="AF47" s="25">
        <f>Cases!AF$115*AF46</f>
        <v/>
      </c>
      <c r="AG47" s="25">
        <f>Cases!AG$115*AG46</f>
        <v/>
      </c>
      <c r="AH47" s="25">
        <f>Cases!AH$115*AH46</f>
        <v/>
      </c>
      <c r="AI47" s="25">
        <f>Cases!AI$115*AI46</f>
        <v/>
      </c>
      <c r="AJ47" s="25">
        <f>Cases!AJ$115*AJ46</f>
        <v/>
      </c>
      <c r="AK47" s="25">
        <f>Cases!AK$115*AK46</f>
        <v/>
      </c>
      <c r="AL47" s="25">
        <f>Cases!AL$115*AL46</f>
        <v/>
      </c>
    </row>
    <row r="48">
      <c r="B48" s="7" t="inlineStr">
        <is>
          <t>Energy-linked revenue (all bundled PPA revenue, contracted less basis cost, plus merchant revenue other than capacity)</t>
        </is>
      </c>
      <c r="D48" s="25">
        <f>(Cases!D$110-Cases!D$112+MAX(Cases!D$111-Market!D$13,0))*D46</f>
        <v/>
      </c>
      <c r="E48" s="25">
        <f>(Cases!E$110-Cases!E$112+MAX(Cases!E$111-Market!E$13,0))*E46</f>
        <v/>
      </c>
      <c r="F48" s="25">
        <f>(Cases!F$110-Cases!F$112+MAX(Cases!F$111-Market!F$13,0))*F46</f>
        <v/>
      </c>
      <c r="G48" s="25">
        <f>(Cases!G$110-Cases!G$112+MAX(Cases!G$111-Market!G$13,0))*G46</f>
        <v/>
      </c>
      <c r="H48" s="25">
        <f>(Cases!H$110-Cases!H$112+MAX(Cases!H$111-Market!H$13,0))*H46</f>
        <v/>
      </c>
      <c r="I48" s="25">
        <f>(Cases!I$110-Cases!I$112+MAX(Cases!I$111-Market!I$13,0))*I46</f>
        <v/>
      </c>
      <c r="J48" s="25">
        <f>(Cases!J$110-Cases!J$112+MAX(Cases!J$111-Market!J$13,0))*J46</f>
        <v/>
      </c>
      <c r="K48" s="25">
        <f>(Cases!K$110-Cases!K$112+MAX(Cases!K$111-Market!K$13,0))*K46</f>
        <v/>
      </c>
      <c r="L48" s="25">
        <f>(Cases!L$110-Cases!L$112+MAX(Cases!L$111-Market!L$13,0))*L46</f>
        <v/>
      </c>
      <c r="M48" s="25">
        <f>(Cases!M$110-Cases!M$112+MAX(Cases!M$111-Market!M$13,0))*M46</f>
        <v/>
      </c>
      <c r="N48" s="25">
        <f>(Cases!N$110-Cases!N$112+MAX(Cases!N$111-Market!N$13,0))*N46</f>
        <v/>
      </c>
      <c r="O48" s="25">
        <f>(Cases!O$110-Cases!O$112+MAX(Cases!O$111-Market!O$13,0))*O46</f>
        <v/>
      </c>
      <c r="P48" s="25">
        <f>(Cases!P$110-Cases!P$112+MAX(Cases!P$111-Market!P$13,0))*P46</f>
        <v/>
      </c>
      <c r="Q48" s="25">
        <f>(Cases!Q$110-Cases!Q$112+MAX(Cases!Q$111-Market!Q$13,0))*Q46</f>
        <v/>
      </c>
      <c r="R48" s="25">
        <f>(Cases!R$110-Cases!R$112+MAX(Cases!R$111-Market!R$13,0))*R46</f>
        <v/>
      </c>
      <c r="S48" s="25">
        <f>(Cases!S$110-Cases!S$112+MAX(Cases!S$111-Market!S$13,0))*S46</f>
        <v/>
      </c>
      <c r="T48" s="25">
        <f>(Cases!T$110-Cases!T$112+MAX(Cases!T$111-Market!T$13,0))*T46</f>
        <v/>
      </c>
      <c r="U48" s="25">
        <f>(Cases!U$110-Cases!U$112+MAX(Cases!U$111-Market!U$13,0))*U46</f>
        <v/>
      </c>
      <c r="V48" s="25">
        <f>(Cases!V$110-Cases!V$112+MAX(Cases!V$111-Market!V$13,0))*V46</f>
        <v/>
      </c>
      <c r="W48" s="25">
        <f>(Cases!W$110-Cases!W$112+MAX(Cases!W$111-Market!W$13,0))*W46</f>
        <v/>
      </c>
      <c r="X48" s="25">
        <f>(Cases!X$110-Cases!X$112+MAX(Cases!X$111-Market!X$13,0))*X46</f>
        <v/>
      </c>
      <c r="Y48" s="25">
        <f>(Cases!Y$110-Cases!Y$112+MAX(Cases!Y$111-Market!Y$13,0))*Y46</f>
        <v/>
      </c>
      <c r="Z48" s="25">
        <f>(Cases!Z$110-Cases!Z$112+MAX(Cases!Z$111-Market!Z$13,0))*Z46</f>
        <v/>
      </c>
      <c r="AA48" s="25">
        <f>(Cases!AA$110-Cases!AA$112+MAX(Cases!AA$111-Market!AA$13,0))*AA46</f>
        <v/>
      </c>
      <c r="AB48" s="25">
        <f>(Cases!AB$110-Cases!AB$112+MAX(Cases!AB$111-Market!AB$13,0))*AB46</f>
        <v/>
      </c>
      <c r="AC48" s="25">
        <f>(Cases!AC$110-Cases!AC$112+MAX(Cases!AC$111-Market!AC$13,0))*AC46</f>
        <v/>
      </c>
      <c r="AD48" s="25">
        <f>(Cases!AD$110-Cases!AD$112+MAX(Cases!AD$111-Market!AD$13,0))*AD46</f>
        <v/>
      </c>
      <c r="AE48" s="25">
        <f>(Cases!AE$110-Cases!AE$112+MAX(Cases!AE$111-Market!AE$13,0))*AE46</f>
        <v/>
      </c>
      <c r="AF48" s="25">
        <f>(Cases!AF$110-Cases!AF$112+MAX(Cases!AF$111-Market!AF$13,0))*AF46</f>
        <v/>
      </c>
      <c r="AG48" s="25">
        <f>(Cases!AG$110-Cases!AG$112+MAX(Cases!AG$111-Market!AG$13,0))*AG46</f>
        <v/>
      </c>
      <c r="AH48" s="25">
        <f>(Cases!AH$110-Cases!AH$112+MAX(Cases!AH$111-Market!AH$13,0))*AH46</f>
        <v/>
      </c>
      <c r="AI48" s="25">
        <f>(Cases!AI$110-Cases!AI$112+MAX(Cases!AI$111-Market!AI$13,0))*AI46</f>
        <v/>
      </c>
      <c r="AJ48" s="25">
        <f>(Cases!AJ$110-Cases!AJ$112+MAX(Cases!AJ$111-Market!AJ$13,0))*AJ46</f>
        <v/>
      </c>
      <c r="AK48" s="25">
        <f>(Cases!AK$110-Cases!AK$112+MAX(Cases!AK$111-Market!AK$13,0))*AK46</f>
        <v/>
      </c>
      <c r="AL48" s="25">
        <f>(Cases!AL$110-Cases!AL$112+MAX(Cases!AL$111-Market!AL$13,0))*AL46</f>
        <v/>
      </c>
    </row>
    <row r="49">
      <c r="B49" s="7" t="inlineStr">
        <is>
          <t>CFADS at P99 one-year energy ($)</t>
        </is>
      </c>
      <c r="D49" s="25">
        <f>D47-D48*(1-p99_1)</f>
        <v/>
      </c>
      <c r="E49" s="25">
        <f>E47-E48*(1-p99_1)</f>
        <v/>
      </c>
      <c r="F49" s="25">
        <f>F47-F48*(1-p99_1)</f>
        <v/>
      </c>
      <c r="G49" s="25">
        <f>G47-G48*(1-p99_1)</f>
        <v/>
      </c>
      <c r="H49" s="25">
        <f>H47-H48*(1-p99_1)</f>
        <v/>
      </c>
      <c r="I49" s="25">
        <f>I47-I48*(1-p99_1)</f>
        <v/>
      </c>
      <c r="J49" s="25">
        <f>J47-J48*(1-p99_1)</f>
        <v/>
      </c>
      <c r="K49" s="25">
        <f>K47-K48*(1-p99_1)</f>
        <v/>
      </c>
      <c r="L49" s="25">
        <f>L47-L48*(1-p99_1)</f>
        <v/>
      </c>
      <c r="M49" s="25">
        <f>M47-M48*(1-p99_1)</f>
        <v/>
      </c>
      <c r="N49" s="25">
        <f>N47-N48*(1-p99_1)</f>
        <v/>
      </c>
      <c r="O49" s="25">
        <f>O47-O48*(1-p99_1)</f>
        <v/>
      </c>
      <c r="P49" s="25">
        <f>P47-P48*(1-p99_1)</f>
        <v/>
      </c>
      <c r="Q49" s="25">
        <f>Q47-Q48*(1-p99_1)</f>
        <v/>
      </c>
      <c r="R49" s="25">
        <f>R47-R48*(1-p99_1)</f>
        <v/>
      </c>
      <c r="S49" s="25">
        <f>S47-S48*(1-p99_1)</f>
        <v/>
      </c>
      <c r="T49" s="25">
        <f>T47-T48*(1-p99_1)</f>
        <v/>
      </c>
      <c r="U49" s="25">
        <f>U47-U48*(1-p99_1)</f>
        <v/>
      </c>
      <c r="V49" s="25">
        <f>V47-V48*(1-p99_1)</f>
        <v/>
      </c>
      <c r="W49" s="25">
        <f>W47-W48*(1-p99_1)</f>
        <v/>
      </c>
      <c r="X49" s="25">
        <f>X47-X48*(1-p99_1)</f>
        <v/>
      </c>
      <c r="Y49" s="25">
        <f>Y47-Y48*(1-p99_1)</f>
        <v/>
      </c>
      <c r="Z49" s="25">
        <f>Z47-Z48*(1-p99_1)</f>
        <v/>
      </c>
      <c r="AA49" s="25">
        <f>AA47-AA48*(1-p99_1)</f>
        <v/>
      </c>
      <c r="AB49" s="25">
        <f>AB47-AB48*(1-p99_1)</f>
        <v/>
      </c>
      <c r="AC49" s="25">
        <f>AC47-AC48*(1-p99_1)</f>
        <v/>
      </c>
      <c r="AD49" s="25">
        <f>AD47-AD48*(1-p99_1)</f>
        <v/>
      </c>
      <c r="AE49" s="25">
        <f>AE47-AE48*(1-p99_1)</f>
        <v/>
      </c>
      <c r="AF49" s="25">
        <f>AF47-AF48*(1-p99_1)</f>
        <v/>
      </c>
      <c r="AG49" s="25">
        <f>AG47-AG48*(1-p99_1)</f>
        <v/>
      </c>
      <c r="AH49" s="25">
        <f>AH47-AH48*(1-p99_1)</f>
        <v/>
      </c>
      <c r="AI49" s="25">
        <f>AI47-AI48*(1-p99_1)</f>
        <v/>
      </c>
      <c r="AJ49" s="25">
        <f>AJ47-AJ48*(1-p99_1)</f>
        <v/>
      </c>
      <c r="AK49" s="25">
        <f>AK47-AK48*(1-p99_1)</f>
        <v/>
      </c>
      <c r="AL49" s="25">
        <f>AL47-AL48*(1-p99_1)</f>
        <v/>
      </c>
    </row>
    <row r="50">
      <c r="B50" s="7" t="inlineStr">
        <is>
          <t>CFADS at P50 / ratio ($)</t>
        </is>
      </c>
      <c r="D50" s="25">
        <f>D47/dscr_m</f>
        <v/>
      </c>
      <c r="E50" s="25">
        <f>E47/dscr_m</f>
        <v/>
      </c>
      <c r="F50" s="25">
        <f>F47/dscr_m</f>
        <v/>
      </c>
      <c r="G50" s="25">
        <f>G47/dscr_m</f>
        <v/>
      </c>
      <c r="H50" s="25">
        <f>H47/dscr_m</f>
        <v/>
      </c>
      <c r="I50" s="25">
        <f>I47/dscr_m</f>
        <v/>
      </c>
      <c r="J50" s="25">
        <f>J47/dscr_m</f>
        <v/>
      </c>
      <c r="K50" s="25">
        <f>K47/dscr_m</f>
        <v/>
      </c>
      <c r="L50" s="25">
        <f>L47/dscr_m</f>
        <v/>
      </c>
      <c r="M50" s="25">
        <f>M47/dscr_m</f>
        <v/>
      </c>
      <c r="N50" s="25">
        <f>N47/dscr_m</f>
        <v/>
      </c>
      <c r="O50" s="25">
        <f>O47/dscr_m</f>
        <v/>
      </c>
      <c r="P50" s="25">
        <f>P47/dscr_m</f>
        <v/>
      </c>
      <c r="Q50" s="25">
        <f>Q47/dscr_m</f>
        <v/>
      </c>
      <c r="R50" s="25">
        <f>R47/dscr_m</f>
        <v/>
      </c>
      <c r="S50" s="25">
        <f>S47/dscr_m</f>
        <v/>
      </c>
      <c r="T50" s="25">
        <f>T47/dscr_m</f>
        <v/>
      </c>
      <c r="U50" s="25">
        <f>U47/dscr_m</f>
        <v/>
      </c>
      <c r="V50" s="25">
        <f>V47/dscr_m</f>
        <v/>
      </c>
      <c r="W50" s="25">
        <f>W47/dscr_m</f>
        <v/>
      </c>
      <c r="X50" s="25">
        <f>X47/dscr_m</f>
        <v/>
      </c>
      <c r="Y50" s="25">
        <f>Y47/dscr_m</f>
        <v/>
      </c>
      <c r="Z50" s="25">
        <f>Z47/dscr_m</f>
        <v/>
      </c>
      <c r="AA50" s="25">
        <f>AA47/dscr_m</f>
        <v/>
      </c>
      <c r="AB50" s="25">
        <f>AB47/dscr_m</f>
        <v/>
      </c>
      <c r="AC50" s="25">
        <f>AC47/dscr_m</f>
        <v/>
      </c>
      <c r="AD50" s="25">
        <f>AD47/dscr_m</f>
        <v/>
      </c>
      <c r="AE50" s="25">
        <f>AE47/dscr_m</f>
        <v/>
      </c>
      <c r="AF50" s="25">
        <f>AF47/dscr_m</f>
        <v/>
      </c>
      <c r="AG50" s="25">
        <f>AG47/dscr_m</f>
        <v/>
      </c>
      <c r="AH50" s="25">
        <f>AH47/dscr_m</f>
        <v/>
      </c>
      <c r="AI50" s="25">
        <f>AI47/dscr_m</f>
        <v/>
      </c>
      <c r="AJ50" s="25">
        <f>AJ47/dscr_m</f>
        <v/>
      </c>
      <c r="AK50" s="25">
        <f>AK47/dscr_m</f>
        <v/>
      </c>
      <c r="AL50" s="25">
        <f>AL47/dscr_m</f>
        <v/>
      </c>
    </row>
    <row r="51">
      <c r="B51" s="7" t="inlineStr">
        <is>
          <t>CFADS at P99 / ratio ($)</t>
        </is>
      </c>
      <c r="D51" s="25" t="inlineStr"/>
      <c r="E51" s="25" t="inlineStr"/>
      <c r="F51" s="25" t="inlineStr"/>
      <c r="G51" s="25" t="inlineStr"/>
      <c r="H51" s="25" t="inlineStr"/>
      <c r="I51" s="25" t="inlineStr"/>
      <c r="J51" s="25" t="inlineStr"/>
      <c r="K51" s="25" t="inlineStr"/>
      <c r="L51" s="25" t="inlineStr"/>
      <c r="M51" s="25" t="inlineStr"/>
      <c r="N51" s="25" t="inlineStr"/>
      <c r="O51" s="25" t="inlineStr"/>
      <c r="P51" s="25" t="inlineStr"/>
      <c r="Q51" s="25" t="inlineStr"/>
      <c r="R51" s="25" t="inlineStr"/>
      <c r="S51" s="25" t="inlineStr"/>
      <c r="T51" s="25" t="inlineStr"/>
      <c r="U51" s="25" t="inlineStr"/>
      <c r="V51" s="25" t="inlineStr"/>
      <c r="W51" s="25" t="inlineStr"/>
      <c r="X51" s="25" t="inlineStr"/>
      <c r="Y51" s="25" t="inlineStr"/>
      <c r="Z51" s="25" t="inlineStr"/>
      <c r="AA51" s="25" t="inlineStr"/>
      <c r="AB51" s="25" t="inlineStr"/>
      <c r="AC51" s="25" t="inlineStr"/>
      <c r="AD51" s="25" t="inlineStr"/>
      <c r="AE51" s="25" t="inlineStr"/>
      <c r="AF51" s="25" t="inlineStr"/>
      <c r="AG51" s="25" t="inlineStr"/>
      <c r="AH51" s="25" t="inlineStr"/>
      <c r="AI51" s="25" t="inlineStr"/>
      <c r="AJ51" s="25" t="inlineStr"/>
      <c r="AK51" s="25" t="inlineStr"/>
      <c r="AL51" s="25" t="inlineStr"/>
    </row>
    <row r="52">
      <c r="B52" s="14" t="inlineStr">
        <is>
          <t>Debt service ($)</t>
        </is>
      </c>
      <c r="D52" s="26">
        <f>D50</f>
        <v/>
      </c>
      <c r="E52" s="26">
        <f>E50</f>
        <v/>
      </c>
      <c r="F52" s="26">
        <f>F50</f>
        <v/>
      </c>
      <c r="G52" s="26">
        <f>G50</f>
        <v/>
      </c>
      <c r="H52" s="26">
        <f>H50</f>
        <v/>
      </c>
      <c r="I52" s="26">
        <f>I50</f>
        <v/>
      </c>
      <c r="J52" s="26">
        <f>J50</f>
        <v/>
      </c>
      <c r="K52" s="26">
        <f>K50</f>
        <v/>
      </c>
      <c r="L52" s="26">
        <f>L50</f>
        <v/>
      </c>
      <c r="M52" s="26">
        <f>M50</f>
        <v/>
      </c>
      <c r="N52" s="26">
        <f>N50</f>
        <v/>
      </c>
      <c r="O52" s="26">
        <f>O50</f>
        <v/>
      </c>
      <c r="P52" s="26">
        <f>P50</f>
        <v/>
      </c>
      <c r="Q52" s="26">
        <f>Q50</f>
        <v/>
      </c>
      <c r="R52" s="26">
        <f>R50</f>
        <v/>
      </c>
      <c r="S52" s="26">
        <f>S50</f>
        <v/>
      </c>
      <c r="T52" s="26">
        <f>T50</f>
        <v/>
      </c>
      <c r="U52" s="26">
        <f>U50</f>
        <v/>
      </c>
      <c r="V52" s="26">
        <f>V50</f>
        <v/>
      </c>
      <c r="W52" s="26">
        <f>W50</f>
        <v/>
      </c>
      <c r="X52" s="26">
        <f>X50</f>
        <v/>
      </c>
      <c r="Y52" s="26">
        <f>Y50</f>
        <v/>
      </c>
      <c r="Z52" s="26">
        <f>Z50</f>
        <v/>
      </c>
      <c r="AA52" s="26">
        <f>AA50</f>
        <v/>
      </c>
      <c r="AB52" s="26">
        <f>AB50</f>
        <v/>
      </c>
      <c r="AC52" s="26">
        <f>AC50</f>
        <v/>
      </c>
      <c r="AD52" s="26">
        <f>AD50</f>
        <v/>
      </c>
      <c r="AE52" s="26">
        <f>AE50</f>
        <v/>
      </c>
      <c r="AF52" s="26">
        <f>AF50</f>
        <v/>
      </c>
      <c r="AG52" s="26">
        <f>AG50</f>
        <v/>
      </c>
      <c r="AH52" s="26">
        <f>AH50</f>
        <v/>
      </c>
      <c r="AI52" s="26">
        <f>AI50</f>
        <v/>
      </c>
      <c r="AJ52" s="26">
        <f>AJ50</f>
        <v/>
      </c>
      <c r="AK52" s="26">
        <f>AK50</f>
        <v/>
      </c>
      <c r="AL52" s="26">
        <f>AL50</f>
        <v/>
      </c>
    </row>
    <row r="53">
      <c r="B53" s="7" t="inlineStr">
        <is>
          <t>Binding constraint</t>
        </is>
      </c>
      <c r="D53" s="7">
        <f>IF(D46=1,"P50","")</f>
        <v/>
      </c>
      <c r="E53" s="7">
        <f>IF(E46=1,"P50","")</f>
        <v/>
      </c>
      <c r="F53" s="7">
        <f>IF(F46=1,"P50","")</f>
        <v/>
      </c>
      <c r="G53" s="7">
        <f>IF(G46=1,"P50","")</f>
        <v/>
      </c>
      <c r="H53" s="7">
        <f>IF(H46=1,"P50","")</f>
        <v/>
      </c>
      <c r="I53" s="7">
        <f>IF(I46=1,"P50","")</f>
        <v/>
      </c>
      <c r="J53" s="7">
        <f>IF(J46=1,"P50","")</f>
        <v/>
      </c>
      <c r="K53" s="7">
        <f>IF(K46=1,"P50","")</f>
        <v/>
      </c>
      <c r="L53" s="7">
        <f>IF(L46=1,"P50","")</f>
        <v/>
      </c>
      <c r="M53" s="7">
        <f>IF(M46=1,"P50","")</f>
        <v/>
      </c>
      <c r="N53" s="7">
        <f>IF(N46=1,"P50","")</f>
        <v/>
      </c>
      <c r="O53" s="7">
        <f>IF(O46=1,"P50","")</f>
        <v/>
      </c>
      <c r="P53" s="7">
        <f>IF(P46=1,"P50","")</f>
        <v/>
      </c>
      <c r="Q53" s="7">
        <f>IF(Q46=1,"P50","")</f>
        <v/>
      </c>
      <c r="R53" s="7">
        <f>IF(R46=1,"P50","")</f>
        <v/>
      </c>
      <c r="S53" s="7">
        <f>IF(S46=1,"P50","")</f>
        <v/>
      </c>
      <c r="T53" s="7">
        <f>IF(T46=1,"P50","")</f>
        <v/>
      </c>
      <c r="U53" s="7">
        <f>IF(U46=1,"P50","")</f>
        <v/>
      </c>
      <c r="V53" s="7">
        <f>IF(V46=1,"P50","")</f>
        <v/>
      </c>
      <c r="W53" s="7">
        <f>IF(W46=1,"P50","")</f>
        <v/>
      </c>
      <c r="X53" s="7">
        <f>IF(X46=1,"P50","")</f>
        <v/>
      </c>
      <c r="Y53" s="7">
        <f>IF(Y46=1,"P50","")</f>
        <v/>
      </c>
      <c r="Z53" s="7">
        <f>IF(Z46=1,"P50","")</f>
        <v/>
      </c>
      <c r="AA53" s="7">
        <f>IF(AA46=1,"P50","")</f>
        <v/>
      </c>
      <c r="AB53" s="7">
        <f>IF(AB46=1,"P50","")</f>
        <v/>
      </c>
      <c r="AC53" s="7">
        <f>IF(AC46=1,"P50","")</f>
        <v/>
      </c>
      <c r="AD53" s="7">
        <f>IF(AD46=1,"P50","")</f>
        <v/>
      </c>
      <c r="AE53" s="7">
        <f>IF(AE46=1,"P50","")</f>
        <v/>
      </c>
      <c r="AF53" s="7">
        <f>IF(AF46=1,"P50","")</f>
        <v/>
      </c>
      <c r="AG53" s="7">
        <f>IF(AG46=1,"P50","")</f>
        <v/>
      </c>
      <c r="AH53" s="7">
        <f>IF(AH46=1,"P50","")</f>
        <v/>
      </c>
      <c r="AI53" s="7">
        <f>IF(AI46=1,"P50","")</f>
        <v/>
      </c>
      <c r="AJ53" s="7">
        <f>IF(AJ46=1,"P50","")</f>
        <v/>
      </c>
      <c r="AK53" s="7">
        <f>IF(AK46=1,"P50","")</f>
        <v/>
      </c>
      <c r="AL53" s="7">
        <f>IF(AL46=1,"P50","")</f>
        <v/>
      </c>
    </row>
    <row r="55">
      <c r="B55" s="14" t="inlineStr">
        <is>
          <t>Term debt drawn at COD ($)</t>
        </is>
      </c>
      <c r="C55" s="26">
        <f>SUMPRODUCT($D$52:$AL$52,$D$7:$AL$7)</f>
        <v/>
      </c>
    </row>
    <row r="56">
      <c r="B56" s="7" t="inlineStr">
        <is>
          <t>Share of the capital cost</t>
        </is>
      </c>
      <c r="C56" s="28">
        <f>C55/Cases!$C$105</f>
        <v/>
      </c>
    </row>
    <row r="57">
      <c r="B57" s="7" t="inlineStr">
        <is>
          <t>Ashgrove's equity in 2027: NTP price plus capital cost less reimbursement less debt ($)</t>
        </is>
      </c>
      <c r="C57" s="25">
        <f>ntp_price+Cases!$C$105-reimb-C55</f>
        <v/>
      </c>
    </row>
    <row r="58">
      <c r="B58" s="7" t="inlineStr">
        <is>
          <t>Equity flows by period k (0 = 1 January 2027, 1 = end 2027, 2 = end 2028 ...)</t>
        </is>
      </c>
    </row>
    <row r="59">
      <c r="C59" s="25">
        <f>Cases!C143</f>
        <v/>
      </c>
      <c r="D59" s="25">
        <f>Cases!D143+C55</f>
        <v/>
      </c>
      <c r="E59" s="25">
        <f>Cases!E143-D52</f>
        <v/>
      </c>
      <c r="F59" s="25">
        <f>Cases!F143-E52</f>
        <v/>
      </c>
      <c r="G59" s="25">
        <f>Cases!G143-F52</f>
        <v/>
      </c>
      <c r="H59" s="25">
        <f>Cases!H143-G52</f>
        <v/>
      </c>
      <c r="I59" s="25">
        <f>Cases!I143-H52</f>
        <v/>
      </c>
      <c r="J59" s="25">
        <f>Cases!J143-I52</f>
        <v/>
      </c>
      <c r="K59" s="25">
        <f>Cases!K143-J52</f>
        <v/>
      </c>
      <c r="L59" s="25">
        <f>Cases!L143-K52</f>
        <v/>
      </c>
      <c r="M59" s="25">
        <f>Cases!M143-L52</f>
        <v/>
      </c>
      <c r="N59" s="25">
        <f>Cases!N143-M52</f>
        <v/>
      </c>
      <c r="O59" s="25">
        <f>Cases!O143-N52</f>
        <v/>
      </c>
      <c r="P59" s="25">
        <f>Cases!P143-O52</f>
        <v/>
      </c>
      <c r="Q59" s="25">
        <f>Cases!Q143-P52</f>
        <v/>
      </c>
      <c r="R59" s="25">
        <f>Cases!R143-Q52</f>
        <v/>
      </c>
      <c r="S59" s="25">
        <f>Cases!S143-R52</f>
        <v/>
      </c>
      <c r="T59" s="25">
        <f>Cases!T143-S52</f>
        <v/>
      </c>
      <c r="U59" s="25">
        <f>Cases!U143-T52</f>
        <v/>
      </c>
      <c r="V59" s="25">
        <f>Cases!V143-U52</f>
        <v/>
      </c>
      <c r="W59" s="25">
        <f>Cases!W143-V52</f>
        <v/>
      </c>
      <c r="X59" s="25">
        <f>Cases!X143-W52</f>
        <v/>
      </c>
      <c r="Y59" s="25">
        <f>Cases!Y143-X52</f>
        <v/>
      </c>
      <c r="Z59" s="25">
        <f>Cases!Z143-Y52</f>
        <v/>
      </c>
      <c r="AA59" s="25">
        <f>Cases!AA143-Z52</f>
        <v/>
      </c>
      <c r="AB59" s="25">
        <f>Cases!AB143-AA52</f>
        <v/>
      </c>
      <c r="AC59" s="25">
        <f>Cases!AC143-AB52</f>
        <v/>
      </c>
      <c r="AD59" s="25">
        <f>Cases!AD143-AC52</f>
        <v/>
      </c>
      <c r="AE59" s="25">
        <f>Cases!AE143-AD52</f>
        <v/>
      </c>
      <c r="AF59" s="25">
        <f>Cases!AF143-AE52</f>
        <v/>
      </c>
      <c r="AG59" s="25">
        <f>Cases!AG143-AF52</f>
        <v/>
      </c>
      <c r="AH59" s="25">
        <f>Cases!AH143-AG52</f>
        <v/>
      </c>
      <c r="AI59" s="25">
        <f>Cases!AI143-AH52</f>
        <v/>
      </c>
      <c r="AJ59" s="25">
        <f>Cases!AJ143-AI52</f>
        <v/>
      </c>
      <c r="AK59" s="25">
        <f>Cases!AK143-AJ52</f>
        <v/>
      </c>
      <c r="AL59" s="25">
        <f>Cases!AL143-AK52</f>
        <v/>
      </c>
      <c r="AM59" s="25">
        <f>Cases!AM143-AL52</f>
        <v/>
      </c>
    </row>
    <row r="60">
      <c r="B60" s="14" t="inlineStr">
        <is>
          <t>Pre-tax equity IRR with PTC cash</t>
        </is>
      </c>
      <c r="C60" s="37">
        <f>IRR(C59:AM59,0.1)</f>
        <v/>
      </c>
    </row>
    <row r="63">
      <c r="B63" s="14" t="inlineStr">
        <is>
          <t>Selected case (sw_case): term debt and equity IRR</t>
        </is>
      </c>
      <c r="C63" s="26">
        <f>IF(sw_case="U",Debt!$C$19,IF(sw_case="C",Debt!$C$37,Debt!$C$55))</f>
        <v/>
      </c>
      <c r="D63" s="37">
        <f>IF(sw_case="U",Debt!$C$24,IF(sw_case="C",Debt!$C$42,Debt!$C$60))</f>
        <v/>
      </c>
    </row>
    <row r="65">
      <c r="B65" s="14" t="inlineStr">
        <is>
          <t>Case U in 2028, as printed in chapter 12</t>
        </is>
      </c>
    </row>
    <row r="66">
      <c r="B66" s="7" t="inlineStr">
        <is>
          <t>Revenue</t>
        </is>
      </c>
      <c r="C66" s="25">
        <f>Cases!D$30</f>
        <v/>
      </c>
    </row>
    <row r="67">
      <c r="B67" s="7" t="inlineStr">
        <is>
          <t>Operating cost</t>
        </is>
      </c>
      <c r="C67" s="25">
        <f>Cases!D$25</f>
        <v/>
      </c>
    </row>
    <row r="68">
      <c r="B68" s="7" t="inlineStr">
        <is>
          <t>CFADS</t>
        </is>
      </c>
      <c r="C68" s="25">
        <f>Cases!D$27</f>
        <v/>
      </c>
    </row>
    <row r="69">
      <c r="B69" s="7" t="inlineStr">
        <is>
          <t>CFADS / 1.30</t>
        </is>
      </c>
      <c r="C69" s="25">
        <f>Cases!D$27/dscr_p50</f>
        <v/>
      </c>
    </row>
    <row r="70">
      <c r="B70" s="7" t="inlineStr">
        <is>
          <t>CFADS at P99 one-year with all contracted revenue scaled (chapter 12 text)</t>
        </is>
      </c>
      <c r="C70" s="25">
        <f>Cases!D$27-Cases!D$22*(1-p99_1)</f>
        <v/>
      </c>
    </row>
    <row r="71">
      <c r="B71" s="7" t="inlineStr">
        <is>
          <t>Debt service</t>
        </is>
      </c>
      <c r="C71" s="25">
        <f>Debt!$D$16</f>
        <v/>
      </c>
    </row>
    <row r="73">
      <c r="B73" s="7" t="inlineStr">
        <is>
          <t>Construction loan interest: average balance x rate x one year (not in the unlevered model)</t>
        </is>
      </c>
      <c r="C73" s="25">
        <f>Cases!$C$17*constr_avg*constr_rate</f>
        <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B2:AL29"/>
  <sheetViews>
    <sheetView showGridLines="0" workbookViewId="0">
      <selection activeCell="A1" sqref="A1"/>
    </sheetView>
  </sheetViews>
  <sheetFormatPr baseColWidth="8" defaultRowHeight="15"/>
  <cols>
    <col width="2" customWidth="1" min="1" max="1"/>
    <col width="62"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Illustrative partnership flip with the PTC, back-leverage and the two capital stacks, case U (chapter 12)</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Before the flip (1 = yes)</t>
        </is>
      </c>
      <c r="D7" s="30">
        <f>IF(D$5&lt;te_flip,1,0)</f>
        <v/>
      </c>
      <c r="E7" s="30">
        <f>IF(E$5&lt;te_flip,1,0)</f>
        <v/>
      </c>
      <c r="F7" s="30">
        <f>IF(F$5&lt;te_flip,1,0)</f>
        <v/>
      </c>
      <c r="G7" s="30">
        <f>IF(G$5&lt;te_flip,1,0)</f>
        <v/>
      </c>
      <c r="H7" s="30">
        <f>IF(H$5&lt;te_flip,1,0)</f>
        <v/>
      </c>
      <c r="I7" s="30">
        <f>IF(I$5&lt;te_flip,1,0)</f>
        <v/>
      </c>
      <c r="J7" s="30">
        <f>IF(J$5&lt;te_flip,1,0)</f>
        <v/>
      </c>
      <c r="K7" s="30">
        <f>IF(K$5&lt;te_flip,1,0)</f>
        <v/>
      </c>
      <c r="L7" s="30">
        <f>IF(L$5&lt;te_flip,1,0)</f>
        <v/>
      </c>
      <c r="M7" s="30">
        <f>IF(M$5&lt;te_flip,1,0)</f>
        <v/>
      </c>
      <c r="N7" s="30">
        <f>IF(N$5&lt;te_flip,1,0)</f>
        <v/>
      </c>
      <c r="O7" s="30">
        <f>IF(O$5&lt;te_flip,1,0)</f>
        <v/>
      </c>
      <c r="P7" s="30">
        <f>IF(P$5&lt;te_flip,1,0)</f>
        <v/>
      </c>
      <c r="Q7" s="30">
        <f>IF(Q$5&lt;te_flip,1,0)</f>
        <v/>
      </c>
      <c r="R7" s="30">
        <f>IF(R$5&lt;te_flip,1,0)</f>
        <v/>
      </c>
      <c r="S7" s="30">
        <f>IF(S$5&lt;te_flip,1,0)</f>
        <v/>
      </c>
      <c r="T7" s="30">
        <f>IF(T$5&lt;te_flip,1,0)</f>
        <v/>
      </c>
      <c r="U7" s="30">
        <f>IF(U$5&lt;te_flip,1,0)</f>
        <v/>
      </c>
      <c r="V7" s="30">
        <f>IF(V$5&lt;te_flip,1,0)</f>
        <v/>
      </c>
      <c r="W7" s="30">
        <f>IF(W$5&lt;te_flip,1,0)</f>
        <v/>
      </c>
      <c r="X7" s="30">
        <f>IF(X$5&lt;te_flip,1,0)</f>
        <v/>
      </c>
      <c r="Y7" s="30">
        <f>IF(Y$5&lt;te_flip,1,0)</f>
        <v/>
      </c>
      <c r="Z7" s="30">
        <f>IF(Z$5&lt;te_flip,1,0)</f>
        <v/>
      </c>
      <c r="AA7" s="30">
        <f>IF(AA$5&lt;te_flip,1,0)</f>
        <v/>
      </c>
      <c r="AB7" s="30">
        <f>IF(AB$5&lt;te_flip,1,0)</f>
        <v/>
      </c>
      <c r="AC7" s="30">
        <f>IF(AC$5&lt;te_flip,1,0)</f>
        <v/>
      </c>
      <c r="AD7" s="30">
        <f>IF(AD$5&lt;te_flip,1,0)</f>
        <v/>
      </c>
      <c r="AE7" s="30">
        <f>IF(AE$5&lt;te_flip,1,0)</f>
        <v/>
      </c>
      <c r="AF7" s="30">
        <f>IF(AF$5&lt;te_flip,1,0)</f>
        <v/>
      </c>
      <c r="AG7" s="30">
        <f>IF(AG$5&lt;te_flip,1,0)</f>
        <v/>
      </c>
      <c r="AH7" s="30">
        <f>IF(AH$5&lt;te_flip,1,0)</f>
        <v/>
      </c>
      <c r="AI7" s="30">
        <f>IF(AI$5&lt;te_flip,1,0)</f>
        <v/>
      </c>
      <c r="AJ7" s="30">
        <f>IF(AJ$5&lt;te_flip,1,0)</f>
        <v/>
      </c>
      <c r="AK7" s="30">
        <f>IF(AK$5&lt;te_flip,1,0)</f>
        <v/>
      </c>
      <c r="AL7" s="30">
        <f>IF(AL$5&lt;te_flip,1,0)</f>
        <v/>
      </c>
    </row>
    <row r="8">
      <c r="B8" s="7" t="inlineStr">
        <is>
          <t>Investor's allocation of income, loss and PTC</t>
        </is>
      </c>
      <c r="D8" s="21">
        <f>IF(D7=1,te_alloc_pre,te_cash_post)</f>
        <v/>
      </c>
      <c r="E8" s="21">
        <f>IF(E7=1,te_alloc_pre,te_cash_post)</f>
        <v/>
      </c>
      <c r="F8" s="21">
        <f>IF(F7=1,te_alloc_pre,te_cash_post)</f>
        <v/>
      </c>
      <c r="G8" s="21">
        <f>IF(G7=1,te_alloc_pre,te_cash_post)</f>
        <v/>
      </c>
      <c r="H8" s="21">
        <f>IF(H7=1,te_alloc_pre,te_cash_post)</f>
        <v/>
      </c>
      <c r="I8" s="21">
        <f>IF(I7=1,te_alloc_pre,te_cash_post)</f>
        <v/>
      </c>
      <c r="J8" s="21">
        <f>IF(J7=1,te_alloc_pre,te_cash_post)</f>
        <v/>
      </c>
      <c r="K8" s="21">
        <f>IF(K7=1,te_alloc_pre,te_cash_post)</f>
        <v/>
      </c>
      <c r="L8" s="21">
        <f>IF(L7=1,te_alloc_pre,te_cash_post)</f>
        <v/>
      </c>
      <c r="M8" s="21">
        <f>IF(M7=1,te_alloc_pre,te_cash_post)</f>
        <v/>
      </c>
      <c r="N8" s="21">
        <f>IF(N7=1,te_alloc_pre,te_cash_post)</f>
        <v/>
      </c>
      <c r="O8" s="21">
        <f>IF(O7=1,te_alloc_pre,te_cash_post)</f>
        <v/>
      </c>
      <c r="P8" s="21">
        <f>IF(P7=1,te_alloc_pre,te_cash_post)</f>
        <v/>
      </c>
      <c r="Q8" s="21">
        <f>IF(Q7=1,te_alloc_pre,te_cash_post)</f>
        <v/>
      </c>
      <c r="R8" s="21">
        <f>IF(R7=1,te_alloc_pre,te_cash_post)</f>
        <v/>
      </c>
      <c r="S8" s="21">
        <f>IF(S7=1,te_alloc_pre,te_cash_post)</f>
        <v/>
      </c>
      <c r="T8" s="21">
        <f>IF(T7=1,te_alloc_pre,te_cash_post)</f>
        <v/>
      </c>
      <c r="U8" s="21">
        <f>IF(U7=1,te_alloc_pre,te_cash_post)</f>
        <v/>
      </c>
      <c r="V8" s="21">
        <f>IF(V7=1,te_alloc_pre,te_cash_post)</f>
        <v/>
      </c>
      <c r="W8" s="21">
        <f>IF(W7=1,te_alloc_pre,te_cash_post)</f>
        <v/>
      </c>
      <c r="X8" s="21">
        <f>IF(X7=1,te_alloc_pre,te_cash_post)</f>
        <v/>
      </c>
      <c r="Y8" s="21">
        <f>IF(Y7=1,te_alloc_pre,te_cash_post)</f>
        <v/>
      </c>
      <c r="Z8" s="21">
        <f>IF(Z7=1,te_alloc_pre,te_cash_post)</f>
        <v/>
      </c>
      <c r="AA8" s="21">
        <f>IF(AA7=1,te_alloc_pre,te_cash_post)</f>
        <v/>
      </c>
      <c r="AB8" s="21">
        <f>IF(AB7=1,te_alloc_pre,te_cash_post)</f>
        <v/>
      </c>
      <c r="AC8" s="21">
        <f>IF(AC7=1,te_alloc_pre,te_cash_post)</f>
        <v/>
      </c>
      <c r="AD8" s="21">
        <f>IF(AD7=1,te_alloc_pre,te_cash_post)</f>
        <v/>
      </c>
      <c r="AE8" s="21">
        <f>IF(AE7=1,te_alloc_pre,te_cash_post)</f>
        <v/>
      </c>
      <c r="AF8" s="21">
        <f>IF(AF7=1,te_alloc_pre,te_cash_post)</f>
        <v/>
      </c>
      <c r="AG8" s="21">
        <f>IF(AG7=1,te_alloc_pre,te_cash_post)</f>
        <v/>
      </c>
      <c r="AH8" s="21">
        <f>IF(AH7=1,te_alloc_pre,te_cash_post)</f>
        <v/>
      </c>
      <c r="AI8" s="21">
        <f>IF(AI7=1,te_alloc_pre,te_cash_post)</f>
        <v/>
      </c>
      <c r="AJ8" s="21">
        <f>IF(AJ7=1,te_alloc_pre,te_cash_post)</f>
        <v/>
      </c>
      <c r="AK8" s="21">
        <f>IF(AK7=1,te_alloc_pre,te_cash_post)</f>
        <v/>
      </c>
      <c r="AL8" s="21">
        <f>IF(AL7=1,te_alloc_pre,te_cash_post)</f>
        <v/>
      </c>
    </row>
    <row r="9">
      <c r="B9" s="7" t="inlineStr">
        <is>
          <t>5-year MACRS depreciation ($)</t>
        </is>
      </c>
      <c r="D9" s="25">
        <f>IF(D$5&lt;ROWS(macrs),$C$16*INDEX(macrs,D$5+1),0)</f>
        <v/>
      </c>
      <c r="E9" s="25">
        <f>IF(E$5&lt;ROWS(macrs),$C$16*INDEX(macrs,E$5+1),0)</f>
        <v/>
      </c>
      <c r="F9" s="25">
        <f>IF(F$5&lt;ROWS(macrs),$C$16*INDEX(macrs,F$5+1),0)</f>
        <v/>
      </c>
      <c r="G9" s="25">
        <f>IF(G$5&lt;ROWS(macrs),$C$16*INDEX(macrs,G$5+1),0)</f>
        <v/>
      </c>
      <c r="H9" s="25">
        <f>IF(H$5&lt;ROWS(macrs),$C$16*INDEX(macrs,H$5+1),0)</f>
        <v/>
      </c>
      <c r="I9" s="25">
        <f>IF(I$5&lt;ROWS(macrs),$C$16*INDEX(macrs,I$5+1),0)</f>
        <v/>
      </c>
      <c r="J9" s="25">
        <f>IF(J$5&lt;ROWS(macrs),$C$16*INDEX(macrs,J$5+1),0)</f>
        <v/>
      </c>
      <c r="K9" s="25">
        <f>IF(K$5&lt;ROWS(macrs),$C$16*INDEX(macrs,K$5+1),0)</f>
        <v/>
      </c>
      <c r="L9" s="25">
        <f>IF(L$5&lt;ROWS(macrs),$C$16*INDEX(macrs,L$5+1),0)</f>
        <v/>
      </c>
      <c r="M9" s="25">
        <f>IF(M$5&lt;ROWS(macrs),$C$16*INDEX(macrs,M$5+1),0)</f>
        <v/>
      </c>
      <c r="N9" s="25">
        <f>IF(N$5&lt;ROWS(macrs),$C$16*INDEX(macrs,N$5+1),0)</f>
        <v/>
      </c>
      <c r="O9" s="25">
        <f>IF(O$5&lt;ROWS(macrs),$C$16*INDEX(macrs,O$5+1),0)</f>
        <v/>
      </c>
      <c r="P9" s="25">
        <f>IF(P$5&lt;ROWS(macrs),$C$16*INDEX(macrs,P$5+1),0)</f>
        <v/>
      </c>
      <c r="Q9" s="25">
        <f>IF(Q$5&lt;ROWS(macrs),$C$16*INDEX(macrs,Q$5+1),0)</f>
        <v/>
      </c>
      <c r="R9" s="25">
        <f>IF(R$5&lt;ROWS(macrs),$C$16*INDEX(macrs,R$5+1),0)</f>
        <v/>
      </c>
      <c r="S9" s="25">
        <f>IF(S$5&lt;ROWS(macrs),$C$16*INDEX(macrs,S$5+1),0)</f>
        <v/>
      </c>
      <c r="T9" s="25">
        <f>IF(T$5&lt;ROWS(macrs),$C$16*INDEX(macrs,T$5+1),0)</f>
        <v/>
      </c>
      <c r="U9" s="25">
        <f>IF(U$5&lt;ROWS(macrs),$C$16*INDEX(macrs,U$5+1),0)</f>
        <v/>
      </c>
      <c r="V9" s="25">
        <f>IF(V$5&lt;ROWS(macrs),$C$16*INDEX(macrs,V$5+1),0)</f>
        <v/>
      </c>
      <c r="W9" s="25">
        <f>IF(W$5&lt;ROWS(macrs),$C$16*INDEX(macrs,W$5+1),0)</f>
        <v/>
      </c>
      <c r="X9" s="25">
        <f>IF(X$5&lt;ROWS(macrs),$C$16*INDEX(macrs,X$5+1),0)</f>
        <v/>
      </c>
      <c r="Y9" s="25">
        <f>IF(Y$5&lt;ROWS(macrs),$C$16*INDEX(macrs,Y$5+1),0)</f>
        <v/>
      </c>
      <c r="Z9" s="25">
        <f>IF(Z$5&lt;ROWS(macrs),$C$16*INDEX(macrs,Z$5+1),0)</f>
        <v/>
      </c>
      <c r="AA9" s="25">
        <f>IF(AA$5&lt;ROWS(macrs),$C$16*INDEX(macrs,AA$5+1),0)</f>
        <v/>
      </c>
      <c r="AB9" s="25">
        <f>IF(AB$5&lt;ROWS(macrs),$C$16*INDEX(macrs,AB$5+1),0)</f>
        <v/>
      </c>
      <c r="AC9" s="25">
        <f>IF(AC$5&lt;ROWS(macrs),$C$16*INDEX(macrs,AC$5+1),0)</f>
        <v/>
      </c>
      <c r="AD9" s="25">
        <f>IF(AD$5&lt;ROWS(macrs),$C$16*INDEX(macrs,AD$5+1),0)</f>
        <v/>
      </c>
      <c r="AE9" s="25">
        <f>IF(AE$5&lt;ROWS(macrs),$C$16*INDEX(macrs,AE$5+1),0)</f>
        <v/>
      </c>
      <c r="AF9" s="25">
        <f>IF(AF$5&lt;ROWS(macrs),$C$16*INDEX(macrs,AF$5+1),0)</f>
        <v/>
      </c>
      <c r="AG9" s="25">
        <f>IF(AG$5&lt;ROWS(macrs),$C$16*INDEX(macrs,AG$5+1),0)</f>
        <v/>
      </c>
      <c r="AH9" s="25">
        <f>IF(AH$5&lt;ROWS(macrs),$C$16*INDEX(macrs,AH$5+1),0)</f>
        <v/>
      </c>
      <c r="AI9" s="25">
        <f>IF(AI$5&lt;ROWS(macrs),$C$16*INDEX(macrs,AI$5+1),0)</f>
        <v/>
      </c>
      <c r="AJ9" s="25">
        <f>IF(AJ$5&lt;ROWS(macrs),$C$16*INDEX(macrs,AJ$5+1),0)</f>
        <v/>
      </c>
      <c r="AK9" s="25">
        <f>IF(AK$5&lt;ROWS(macrs),$C$16*INDEX(macrs,AK$5+1),0)</f>
        <v/>
      </c>
      <c r="AL9" s="25">
        <f>IF(AL$5&lt;ROWS(macrs),$C$16*INDEX(macrs,AL$5+1),0)</f>
        <v/>
      </c>
    </row>
    <row r="10">
      <c r="B10" s="7" t="inlineStr">
        <is>
          <t>Investor's PTC ($; P50 energy, no bonus)</t>
        </is>
      </c>
      <c r="D10" s="25">
        <f>IF(D$5&lt;ptc_years,D8*Credits!D$10,0)</f>
        <v/>
      </c>
      <c r="E10" s="25">
        <f>IF(E$5&lt;ptc_years,E8*Credits!E$10,0)</f>
        <v/>
      </c>
      <c r="F10" s="25">
        <f>IF(F$5&lt;ptc_years,F8*Credits!F$10,0)</f>
        <v/>
      </c>
      <c r="G10" s="25">
        <f>IF(G$5&lt;ptc_years,G8*Credits!G$10,0)</f>
        <v/>
      </c>
      <c r="H10" s="25">
        <f>IF(H$5&lt;ptc_years,H8*Credits!H$10,0)</f>
        <v/>
      </c>
      <c r="I10" s="25">
        <f>IF(I$5&lt;ptc_years,I8*Credits!I$10,0)</f>
        <v/>
      </c>
      <c r="J10" s="25">
        <f>IF(J$5&lt;ptc_years,J8*Credits!J$10,0)</f>
        <v/>
      </c>
      <c r="K10" s="25">
        <f>IF(K$5&lt;ptc_years,K8*Credits!K$10,0)</f>
        <v/>
      </c>
      <c r="L10" s="25">
        <f>IF(L$5&lt;ptc_years,L8*Credits!L$10,0)</f>
        <v/>
      </c>
      <c r="M10" s="25">
        <f>IF(M$5&lt;ptc_years,M8*Credits!M$10,0)</f>
        <v/>
      </c>
      <c r="N10" s="25">
        <f>IF(N$5&lt;ptc_years,N8*Credits!N$10,0)</f>
        <v/>
      </c>
      <c r="O10" s="25">
        <f>IF(O$5&lt;ptc_years,O8*Credits!O$10,0)</f>
        <v/>
      </c>
      <c r="P10" s="25">
        <f>IF(P$5&lt;ptc_years,P8*Credits!P$10,0)</f>
        <v/>
      </c>
      <c r="Q10" s="25">
        <f>IF(Q$5&lt;ptc_years,Q8*Credits!Q$10,0)</f>
        <v/>
      </c>
      <c r="R10" s="25">
        <f>IF(R$5&lt;ptc_years,R8*Credits!R$10,0)</f>
        <v/>
      </c>
      <c r="S10" s="25">
        <f>IF(S$5&lt;ptc_years,S8*Credits!S$10,0)</f>
        <v/>
      </c>
      <c r="T10" s="25">
        <f>IF(T$5&lt;ptc_years,T8*Credits!T$10,0)</f>
        <v/>
      </c>
      <c r="U10" s="25">
        <f>IF(U$5&lt;ptc_years,U8*Credits!U$10,0)</f>
        <v/>
      </c>
      <c r="V10" s="25">
        <f>IF(V$5&lt;ptc_years,V8*Credits!V$10,0)</f>
        <v/>
      </c>
      <c r="W10" s="25">
        <f>IF(W$5&lt;ptc_years,W8*Credits!W$10,0)</f>
        <v/>
      </c>
      <c r="X10" s="25">
        <f>IF(X$5&lt;ptc_years,X8*Credits!X$10,0)</f>
        <v/>
      </c>
      <c r="Y10" s="25">
        <f>IF(Y$5&lt;ptc_years,Y8*Credits!Y$10,0)</f>
        <v/>
      </c>
      <c r="Z10" s="25">
        <f>IF(Z$5&lt;ptc_years,Z8*Credits!Z$10,0)</f>
        <v/>
      </c>
      <c r="AA10" s="25">
        <f>IF(AA$5&lt;ptc_years,AA8*Credits!AA$10,0)</f>
        <v/>
      </c>
      <c r="AB10" s="25">
        <f>IF(AB$5&lt;ptc_years,AB8*Credits!AB$10,0)</f>
        <v/>
      </c>
      <c r="AC10" s="25">
        <f>IF(AC$5&lt;ptc_years,AC8*Credits!AC$10,0)</f>
        <v/>
      </c>
      <c r="AD10" s="25">
        <f>IF(AD$5&lt;ptc_years,AD8*Credits!AD$10,0)</f>
        <v/>
      </c>
      <c r="AE10" s="25">
        <f>IF(AE$5&lt;ptc_years,AE8*Credits!AE$10,0)</f>
        <v/>
      </c>
      <c r="AF10" s="25">
        <f>IF(AF$5&lt;ptc_years,AF8*Credits!AF$10,0)</f>
        <v/>
      </c>
      <c r="AG10" s="25">
        <f>IF(AG$5&lt;ptc_years,AG8*Credits!AG$10,0)</f>
        <v/>
      </c>
      <c r="AH10" s="25">
        <f>IF(AH$5&lt;ptc_years,AH8*Credits!AH$10,0)</f>
        <v/>
      </c>
      <c r="AI10" s="25">
        <f>IF(AI$5&lt;ptc_years,AI8*Credits!AI$10,0)</f>
        <v/>
      </c>
      <c r="AJ10" s="25">
        <f>IF(AJ$5&lt;ptc_years,AJ8*Credits!AJ$10,0)</f>
        <v/>
      </c>
      <c r="AK10" s="25">
        <f>IF(AK$5&lt;ptc_years,AK8*Credits!AK$10,0)</f>
        <v/>
      </c>
      <c r="AL10" s="25">
        <f>IF(AL$5&lt;ptc_years,AL8*Credits!AL$10,0)</f>
        <v/>
      </c>
    </row>
    <row r="11">
      <c r="B11" s="7" t="inlineStr">
        <is>
          <t>Tax saved (+) or paid (-) by the investor ($)</t>
        </is>
      </c>
      <c r="D11" s="25">
        <f>-D8*(Cases!D$27-D9)*tax_rate</f>
        <v/>
      </c>
      <c r="E11" s="25">
        <f>-E8*(Cases!E$27-E9)*tax_rate</f>
        <v/>
      </c>
      <c r="F11" s="25">
        <f>-F8*(Cases!F$27-F9)*tax_rate</f>
        <v/>
      </c>
      <c r="G11" s="25">
        <f>-G8*(Cases!G$27-G9)*tax_rate</f>
        <v/>
      </c>
      <c r="H11" s="25">
        <f>-H8*(Cases!H$27-H9)*tax_rate</f>
        <v/>
      </c>
      <c r="I11" s="25">
        <f>-I8*(Cases!I$27-I9)*tax_rate</f>
        <v/>
      </c>
      <c r="J11" s="25">
        <f>-J8*(Cases!J$27-J9)*tax_rate</f>
        <v/>
      </c>
      <c r="K11" s="25">
        <f>-K8*(Cases!K$27-K9)*tax_rate</f>
        <v/>
      </c>
      <c r="L11" s="25">
        <f>-L8*(Cases!L$27-L9)*tax_rate</f>
        <v/>
      </c>
      <c r="M11" s="25">
        <f>-M8*(Cases!M$27-M9)*tax_rate</f>
        <v/>
      </c>
      <c r="N11" s="25">
        <f>-N8*(Cases!N$27-N9)*tax_rate</f>
        <v/>
      </c>
      <c r="O11" s="25">
        <f>-O8*(Cases!O$27-O9)*tax_rate</f>
        <v/>
      </c>
      <c r="P11" s="25">
        <f>-P8*(Cases!P$27-P9)*tax_rate</f>
        <v/>
      </c>
      <c r="Q11" s="25">
        <f>-Q8*(Cases!Q$27-Q9)*tax_rate</f>
        <v/>
      </c>
      <c r="R11" s="25">
        <f>-R8*(Cases!R$27-R9)*tax_rate</f>
        <v/>
      </c>
      <c r="S11" s="25">
        <f>-S8*(Cases!S$27-S9)*tax_rate</f>
        <v/>
      </c>
      <c r="T11" s="25">
        <f>-T8*(Cases!T$27-T9)*tax_rate</f>
        <v/>
      </c>
      <c r="U11" s="25">
        <f>-U8*(Cases!U$27-U9)*tax_rate</f>
        <v/>
      </c>
      <c r="V11" s="25">
        <f>-V8*(Cases!V$27-V9)*tax_rate</f>
        <v/>
      </c>
      <c r="W11" s="25">
        <f>-W8*(Cases!W$27-W9)*tax_rate</f>
        <v/>
      </c>
      <c r="X11" s="25">
        <f>-X8*(Cases!X$27-X9)*tax_rate</f>
        <v/>
      </c>
      <c r="Y11" s="25">
        <f>-Y8*(Cases!Y$27-Y9)*tax_rate</f>
        <v/>
      </c>
      <c r="Z11" s="25">
        <f>-Z8*(Cases!Z$27-Z9)*tax_rate</f>
        <v/>
      </c>
      <c r="AA11" s="25">
        <f>-AA8*(Cases!AA$27-AA9)*tax_rate</f>
        <v/>
      </c>
      <c r="AB11" s="25">
        <f>-AB8*(Cases!AB$27-AB9)*tax_rate</f>
        <v/>
      </c>
      <c r="AC11" s="25">
        <f>-AC8*(Cases!AC$27-AC9)*tax_rate</f>
        <v/>
      </c>
      <c r="AD11" s="25">
        <f>-AD8*(Cases!AD$27-AD9)*tax_rate</f>
        <v/>
      </c>
      <c r="AE11" s="25">
        <f>-AE8*(Cases!AE$27-AE9)*tax_rate</f>
        <v/>
      </c>
      <c r="AF11" s="25">
        <f>-AF8*(Cases!AF$27-AF9)*tax_rate</f>
        <v/>
      </c>
      <c r="AG11" s="25">
        <f>-AG8*(Cases!AG$27-AG9)*tax_rate</f>
        <v/>
      </c>
      <c r="AH11" s="25">
        <f>-AH8*(Cases!AH$27-AH9)*tax_rate</f>
        <v/>
      </c>
      <c r="AI11" s="25">
        <f>-AI8*(Cases!AI$27-AI9)*tax_rate</f>
        <v/>
      </c>
      <c r="AJ11" s="25">
        <f>-AJ8*(Cases!AJ$27-AJ9)*tax_rate</f>
        <v/>
      </c>
      <c r="AK11" s="25">
        <f>-AK8*(Cases!AK$27-AK9)*tax_rate</f>
        <v/>
      </c>
      <c r="AL11" s="25">
        <f>-AL8*(Cases!AL$27-AL9)*tax_rate</f>
        <v/>
      </c>
    </row>
    <row r="12">
      <c r="B12" s="7" t="inlineStr">
        <is>
          <t>Investor's cash ($)</t>
        </is>
      </c>
      <c r="D12" s="25">
        <f>IF(D7=1,te_cash_pre,te_cash_post)*Cases!D$27</f>
        <v/>
      </c>
      <c r="E12" s="25">
        <f>IF(E7=1,te_cash_pre,te_cash_post)*Cases!E$27</f>
        <v/>
      </c>
      <c r="F12" s="25">
        <f>IF(F7=1,te_cash_pre,te_cash_post)*Cases!F$27</f>
        <v/>
      </c>
      <c r="G12" s="25">
        <f>IF(G7=1,te_cash_pre,te_cash_post)*Cases!G$27</f>
        <v/>
      </c>
      <c r="H12" s="25">
        <f>IF(H7=1,te_cash_pre,te_cash_post)*Cases!H$27</f>
        <v/>
      </c>
      <c r="I12" s="25">
        <f>IF(I7=1,te_cash_pre,te_cash_post)*Cases!I$27</f>
        <v/>
      </c>
      <c r="J12" s="25">
        <f>IF(J7=1,te_cash_pre,te_cash_post)*Cases!J$27</f>
        <v/>
      </c>
      <c r="K12" s="25">
        <f>IF(K7=1,te_cash_pre,te_cash_post)*Cases!K$27</f>
        <v/>
      </c>
      <c r="L12" s="25">
        <f>IF(L7=1,te_cash_pre,te_cash_post)*Cases!L$27</f>
        <v/>
      </c>
      <c r="M12" s="25">
        <f>IF(M7=1,te_cash_pre,te_cash_post)*Cases!M$27</f>
        <v/>
      </c>
      <c r="N12" s="25">
        <f>IF(N7=1,te_cash_pre,te_cash_post)*Cases!N$27</f>
        <v/>
      </c>
      <c r="O12" s="25">
        <f>IF(O7=1,te_cash_pre,te_cash_post)*Cases!O$27</f>
        <v/>
      </c>
      <c r="P12" s="25">
        <f>IF(P7=1,te_cash_pre,te_cash_post)*Cases!P$27</f>
        <v/>
      </c>
      <c r="Q12" s="25">
        <f>IF(Q7=1,te_cash_pre,te_cash_post)*Cases!Q$27</f>
        <v/>
      </c>
      <c r="R12" s="25">
        <f>IF(R7=1,te_cash_pre,te_cash_post)*Cases!R$27</f>
        <v/>
      </c>
      <c r="S12" s="25">
        <f>IF(S7=1,te_cash_pre,te_cash_post)*Cases!S$27</f>
        <v/>
      </c>
      <c r="T12" s="25">
        <f>IF(T7=1,te_cash_pre,te_cash_post)*Cases!T$27</f>
        <v/>
      </c>
      <c r="U12" s="25">
        <f>IF(U7=1,te_cash_pre,te_cash_post)*Cases!U$27</f>
        <v/>
      </c>
      <c r="V12" s="25">
        <f>IF(V7=1,te_cash_pre,te_cash_post)*Cases!V$27</f>
        <v/>
      </c>
      <c r="W12" s="25">
        <f>IF(W7=1,te_cash_pre,te_cash_post)*Cases!W$27</f>
        <v/>
      </c>
      <c r="X12" s="25">
        <f>IF(X7=1,te_cash_pre,te_cash_post)*Cases!X$27</f>
        <v/>
      </c>
      <c r="Y12" s="25">
        <f>IF(Y7=1,te_cash_pre,te_cash_post)*Cases!Y$27</f>
        <v/>
      </c>
      <c r="Z12" s="25">
        <f>IF(Z7=1,te_cash_pre,te_cash_post)*Cases!Z$27</f>
        <v/>
      </c>
      <c r="AA12" s="25">
        <f>IF(AA7=1,te_cash_pre,te_cash_post)*Cases!AA$27</f>
        <v/>
      </c>
      <c r="AB12" s="25">
        <f>IF(AB7=1,te_cash_pre,te_cash_post)*Cases!AB$27</f>
        <v/>
      </c>
      <c r="AC12" s="25">
        <f>IF(AC7=1,te_cash_pre,te_cash_post)*Cases!AC$27</f>
        <v/>
      </c>
      <c r="AD12" s="25">
        <f>IF(AD7=1,te_cash_pre,te_cash_post)*Cases!AD$27</f>
        <v/>
      </c>
      <c r="AE12" s="25">
        <f>IF(AE7=1,te_cash_pre,te_cash_post)*Cases!AE$27</f>
        <v/>
      </c>
      <c r="AF12" s="25">
        <f>IF(AF7=1,te_cash_pre,te_cash_post)*Cases!AF$27</f>
        <v/>
      </c>
      <c r="AG12" s="25">
        <f>IF(AG7=1,te_cash_pre,te_cash_post)*Cases!AG$27</f>
        <v/>
      </c>
      <c r="AH12" s="25">
        <f>IF(AH7=1,te_cash_pre,te_cash_post)*Cases!AH$27</f>
        <v/>
      </c>
      <c r="AI12" s="25">
        <f>IF(AI7=1,te_cash_pre,te_cash_post)*Cases!AI$27</f>
        <v/>
      </c>
      <c r="AJ12" s="25">
        <f>IF(AJ7=1,te_cash_pre,te_cash_post)*Cases!AJ$27</f>
        <v/>
      </c>
      <c r="AK12" s="25">
        <f>IF(AK7=1,te_cash_pre,te_cash_post)*Cases!AK$27</f>
        <v/>
      </c>
      <c r="AL12" s="25">
        <f>IF(AL7=1,te_cash_pre,te_cash_post)*Cases!AL$27</f>
        <v/>
      </c>
    </row>
    <row r="13">
      <c r="B13" s="7" t="inlineStr">
        <is>
          <t>Discount factor at the investor's yield</t>
        </is>
      </c>
      <c r="D13" s="22">
        <f>1/(1+te_yield)^(D$5+1)</f>
        <v/>
      </c>
      <c r="E13" s="22">
        <f>1/(1+te_yield)^(E$5+1)</f>
        <v/>
      </c>
      <c r="F13" s="22">
        <f>1/(1+te_yield)^(F$5+1)</f>
        <v/>
      </c>
      <c r="G13" s="22">
        <f>1/(1+te_yield)^(G$5+1)</f>
        <v/>
      </c>
      <c r="H13" s="22">
        <f>1/(1+te_yield)^(H$5+1)</f>
        <v/>
      </c>
      <c r="I13" s="22">
        <f>1/(1+te_yield)^(I$5+1)</f>
        <v/>
      </c>
      <c r="J13" s="22">
        <f>1/(1+te_yield)^(J$5+1)</f>
        <v/>
      </c>
      <c r="K13" s="22">
        <f>1/(1+te_yield)^(K$5+1)</f>
        <v/>
      </c>
      <c r="L13" s="22">
        <f>1/(1+te_yield)^(L$5+1)</f>
        <v/>
      </c>
      <c r="M13" s="22">
        <f>1/(1+te_yield)^(M$5+1)</f>
        <v/>
      </c>
      <c r="N13" s="22">
        <f>1/(1+te_yield)^(N$5+1)</f>
        <v/>
      </c>
      <c r="O13" s="22">
        <f>1/(1+te_yield)^(O$5+1)</f>
        <v/>
      </c>
      <c r="P13" s="22">
        <f>1/(1+te_yield)^(P$5+1)</f>
        <v/>
      </c>
      <c r="Q13" s="22">
        <f>1/(1+te_yield)^(Q$5+1)</f>
        <v/>
      </c>
      <c r="R13" s="22">
        <f>1/(1+te_yield)^(R$5+1)</f>
        <v/>
      </c>
      <c r="S13" s="22">
        <f>1/(1+te_yield)^(S$5+1)</f>
        <v/>
      </c>
      <c r="T13" s="22">
        <f>1/(1+te_yield)^(T$5+1)</f>
        <v/>
      </c>
      <c r="U13" s="22">
        <f>1/(1+te_yield)^(U$5+1)</f>
        <v/>
      </c>
      <c r="V13" s="22">
        <f>1/(1+te_yield)^(V$5+1)</f>
        <v/>
      </c>
      <c r="W13" s="22">
        <f>1/(1+te_yield)^(W$5+1)</f>
        <v/>
      </c>
      <c r="X13" s="22">
        <f>1/(1+te_yield)^(X$5+1)</f>
        <v/>
      </c>
      <c r="Y13" s="22">
        <f>1/(1+te_yield)^(Y$5+1)</f>
        <v/>
      </c>
      <c r="Z13" s="22">
        <f>1/(1+te_yield)^(Z$5+1)</f>
        <v/>
      </c>
      <c r="AA13" s="22">
        <f>1/(1+te_yield)^(AA$5+1)</f>
        <v/>
      </c>
      <c r="AB13" s="22">
        <f>1/(1+te_yield)^(AB$5+1)</f>
        <v/>
      </c>
      <c r="AC13" s="22">
        <f>1/(1+te_yield)^(AC$5+1)</f>
        <v/>
      </c>
      <c r="AD13" s="22">
        <f>1/(1+te_yield)^(AD$5+1)</f>
        <v/>
      </c>
      <c r="AE13" s="22">
        <f>1/(1+te_yield)^(AE$5+1)</f>
        <v/>
      </c>
      <c r="AF13" s="22">
        <f>1/(1+te_yield)^(AF$5+1)</f>
        <v/>
      </c>
      <c r="AG13" s="22">
        <f>1/(1+te_yield)^(AG$5+1)</f>
        <v/>
      </c>
      <c r="AH13" s="22">
        <f>1/(1+te_yield)^(AH$5+1)</f>
        <v/>
      </c>
      <c r="AI13" s="22">
        <f>1/(1+te_yield)^(AI$5+1)</f>
        <v/>
      </c>
      <c r="AJ13" s="22">
        <f>1/(1+te_yield)^(AJ$5+1)</f>
        <v/>
      </c>
      <c r="AK13" s="22">
        <f>1/(1+te_yield)^(AK$5+1)</f>
        <v/>
      </c>
      <c r="AL13" s="22">
        <f>1/(1+te_yield)^(AL$5+1)</f>
        <v/>
      </c>
    </row>
    <row r="14">
      <c r="B14" s="7" t="inlineStr">
        <is>
          <t>Ashgrove's share of cash</t>
        </is>
      </c>
      <c r="D14" s="21">
        <f>1-IF(D7=1,te_cash_pre,te_cash_post)</f>
        <v/>
      </c>
      <c r="E14" s="21">
        <f>1-IF(E7=1,te_cash_pre,te_cash_post)</f>
        <v/>
      </c>
      <c r="F14" s="21">
        <f>1-IF(F7=1,te_cash_pre,te_cash_post)</f>
        <v/>
      </c>
      <c r="G14" s="21">
        <f>1-IF(G7=1,te_cash_pre,te_cash_post)</f>
        <v/>
      </c>
      <c r="H14" s="21">
        <f>1-IF(H7=1,te_cash_pre,te_cash_post)</f>
        <v/>
      </c>
      <c r="I14" s="21">
        <f>1-IF(I7=1,te_cash_pre,te_cash_post)</f>
        <v/>
      </c>
      <c r="J14" s="21">
        <f>1-IF(J7=1,te_cash_pre,te_cash_post)</f>
        <v/>
      </c>
      <c r="K14" s="21">
        <f>1-IF(K7=1,te_cash_pre,te_cash_post)</f>
        <v/>
      </c>
      <c r="L14" s="21">
        <f>1-IF(L7=1,te_cash_pre,te_cash_post)</f>
        <v/>
      </c>
      <c r="M14" s="21">
        <f>1-IF(M7=1,te_cash_pre,te_cash_post)</f>
        <v/>
      </c>
      <c r="N14" s="21">
        <f>1-IF(N7=1,te_cash_pre,te_cash_post)</f>
        <v/>
      </c>
      <c r="O14" s="21">
        <f>1-IF(O7=1,te_cash_pre,te_cash_post)</f>
        <v/>
      </c>
      <c r="P14" s="21">
        <f>1-IF(P7=1,te_cash_pre,te_cash_post)</f>
        <v/>
      </c>
      <c r="Q14" s="21">
        <f>1-IF(Q7=1,te_cash_pre,te_cash_post)</f>
        <v/>
      </c>
      <c r="R14" s="21">
        <f>1-IF(R7=1,te_cash_pre,te_cash_post)</f>
        <v/>
      </c>
      <c r="S14" s="21">
        <f>1-IF(S7=1,te_cash_pre,te_cash_post)</f>
        <v/>
      </c>
      <c r="T14" s="21">
        <f>1-IF(T7=1,te_cash_pre,te_cash_post)</f>
        <v/>
      </c>
      <c r="U14" s="21">
        <f>1-IF(U7=1,te_cash_pre,te_cash_post)</f>
        <v/>
      </c>
      <c r="V14" s="21">
        <f>1-IF(V7=1,te_cash_pre,te_cash_post)</f>
        <v/>
      </c>
      <c r="W14" s="21">
        <f>1-IF(W7=1,te_cash_pre,te_cash_post)</f>
        <v/>
      </c>
      <c r="X14" s="21">
        <f>1-IF(X7=1,te_cash_pre,te_cash_post)</f>
        <v/>
      </c>
      <c r="Y14" s="21">
        <f>1-IF(Y7=1,te_cash_pre,te_cash_post)</f>
        <v/>
      </c>
      <c r="Z14" s="21">
        <f>1-IF(Z7=1,te_cash_pre,te_cash_post)</f>
        <v/>
      </c>
      <c r="AA14" s="21">
        <f>1-IF(AA7=1,te_cash_pre,te_cash_post)</f>
        <v/>
      </c>
      <c r="AB14" s="21">
        <f>1-IF(AB7=1,te_cash_pre,te_cash_post)</f>
        <v/>
      </c>
      <c r="AC14" s="21">
        <f>1-IF(AC7=1,te_cash_pre,te_cash_post)</f>
        <v/>
      </c>
      <c r="AD14" s="21">
        <f>1-IF(AD7=1,te_cash_pre,te_cash_post)</f>
        <v/>
      </c>
      <c r="AE14" s="21">
        <f>1-IF(AE7=1,te_cash_pre,te_cash_post)</f>
        <v/>
      </c>
      <c r="AF14" s="21">
        <f>1-IF(AF7=1,te_cash_pre,te_cash_post)</f>
        <v/>
      </c>
      <c r="AG14" s="21">
        <f>1-IF(AG7=1,te_cash_pre,te_cash_post)</f>
        <v/>
      </c>
      <c r="AH14" s="21">
        <f>1-IF(AH7=1,te_cash_pre,te_cash_post)</f>
        <v/>
      </c>
      <c r="AI14" s="21">
        <f>1-IF(AI7=1,te_cash_pre,te_cash_post)</f>
        <v/>
      </c>
      <c r="AJ14" s="21">
        <f>1-IF(AJ7=1,te_cash_pre,te_cash_post)</f>
        <v/>
      </c>
      <c r="AK14" s="21">
        <f>1-IF(AK7=1,te_cash_pre,te_cash_post)</f>
        <v/>
      </c>
      <c r="AL14" s="21">
        <f>1-IF(AL7=1,te_cash_pre,te_cash_post)</f>
        <v/>
      </c>
    </row>
    <row r="16">
      <c r="B16" s="7" t="inlineStr">
        <is>
          <t>Depreciable base: capital cost less network upgrades and owner's costs</t>
        </is>
      </c>
      <c r="C16" s="25">
        <f>Cases!$C$17-x_ic-owner</f>
        <v/>
      </c>
    </row>
    <row r="17">
      <c r="B17" s="7" t="inlineStr">
        <is>
          <t>Present value of the PTC allocated</t>
        </is>
      </c>
      <c r="C17" s="25">
        <f>SUMPRODUCT($D$10:$AL$10,$D$13:$AL$13)</f>
        <v/>
      </c>
    </row>
    <row r="18">
      <c r="B18" s="7" t="inlineStr">
        <is>
          <t>Present value of tax saved or paid</t>
        </is>
      </c>
      <c r="C18" s="25">
        <f>SUMPRODUCT($D$11:$AL$11,$D$13:$AL$13)</f>
        <v/>
      </c>
    </row>
    <row r="19">
      <c r="B19" s="7" t="inlineStr">
        <is>
          <t>Present value of cash</t>
        </is>
      </c>
      <c r="C19" s="25">
        <f>SUMPRODUCT($D$12:$AL$12,$D$13:$AL$13)</f>
        <v/>
      </c>
    </row>
    <row r="20">
      <c r="B20" s="7" t="inlineStr">
        <is>
          <t>Tax equity investment at COD</t>
        </is>
      </c>
      <c r="C20" s="26">
        <f>C17+C18+C19</f>
        <v/>
      </c>
    </row>
    <row r="21">
      <c r="B21" s="7" t="inlineStr">
        <is>
          <t>Share of the capital cost</t>
        </is>
      </c>
      <c r="C21" s="28">
        <f>C20/Cases!$C$17</f>
        <v/>
      </c>
    </row>
    <row r="23">
      <c r="B23" s="14" t="inlineStr">
        <is>
          <t>Capital stacks at COD, case U</t>
        </is>
      </c>
    </row>
    <row r="24">
      <c r="B24" s="7" t="inlineStr">
        <is>
          <t>Uses: capital cost plus the premium (the reimbursement is already inside the capital cost)</t>
        </is>
      </c>
      <c r="C24" s="25">
        <f>Cases!$C$17+premium</f>
        <v/>
      </c>
    </row>
    <row r="25">
      <c r="B25" s="7" t="inlineStr">
        <is>
          <t>Back-leverage on Ashgrove's share of cash (same sculpting as the term debt)</t>
        </is>
      </c>
      <c r="C25" s="25">
        <f>SUMPRODUCT($D$14:$AL$14,Debt!$D$16:$AL$16,Debt!$D$7:$AL$7)</f>
        <v/>
      </c>
    </row>
    <row r="26">
      <c r="B26" s="7" t="inlineStr">
        <is>
          <t>Ashgrove's equity with tax equity</t>
        </is>
      </c>
      <c r="C26" s="26">
        <f>'Tax equity'!$C$24-'Tax equity'!$C$20-'Tax equity'!$C$25</f>
        <v/>
      </c>
    </row>
    <row r="27">
      <c r="B27" s="7" t="inlineStr">
        <is>
          <t>Term debt with credit transfer</t>
        </is>
      </c>
      <c r="C27" s="25">
        <f>Debt!$C$19</f>
        <v/>
      </c>
    </row>
    <row r="28">
      <c r="B28" s="7" t="inlineStr">
        <is>
          <t>Ashgrove's equity with credit transfer</t>
        </is>
      </c>
      <c r="C28" s="26">
        <f>'Tax equity'!$C$24-'Tax equity'!$C$27</f>
        <v/>
      </c>
    </row>
    <row r="29">
      <c r="B29" s="7" t="inlineStr">
        <is>
          <t>PTC cash in 2028</t>
        </is>
      </c>
      <c r="C29" s="25">
        <f>Cases!D$26</f>
        <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B2:F21"/>
  <sheetViews>
    <sheetView showGridLines="0" workbookViewId="0">
      <selection activeCell="A1" sqref="A1"/>
    </sheetView>
  </sheetViews>
  <sheetFormatPr baseColWidth="8" defaultRowHeight="15"/>
  <cols>
    <col width="2" customWidth="1" min="1" max="1"/>
    <col width="62" customWidth="1" min="2" max="2"/>
    <col width="14" customWidth="1" min="3" max="3"/>
    <col width="14" customWidth="1" min="4" max="4"/>
    <col width="14" customWidth="1" min="5" max="5"/>
    <col width="14" customWidth="1" min="6" max="6"/>
  </cols>
  <sheetData>
    <row r="2">
      <c r="B2" s="4" t="inlineStr">
        <is>
          <t>Material assistance cost ratio of three supply options (chapter 11); illustrative split, not the Treasury table</t>
        </is>
      </c>
    </row>
    <row r="4">
      <c r="B4" s="14" t="inlineStr">
        <is>
          <t>Component</t>
        </is>
      </c>
      <c r="C4" s="14" t="inlineStr">
        <is>
          <t>Share</t>
        </is>
      </c>
      <c r="D4" s="14" t="inlineStr">
        <is>
          <t>Option 1</t>
        </is>
      </c>
      <c r="E4" s="14" t="inlineStr">
        <is>
          <t>Option 2</t>
        </is>
      </c>
      <c r="F4" s="14" t="inlineStr">
        <is>
          <t>Option 3</t>
        </is>
      </c>
    </row>
    <row r="5">
      <c r="B5" s="7">
        <f>Inputs!B230</f>
        <v/>
      </c>
      <c r="C5" s="28">
        <f>Inputs!C230</f>
        <v/>
      </c>
      <c r="D5" s="30">
        <f>Inputs!D230</f>
        <v/>
      </c>
      <c r="E5" s="30">
        <f>Inputs!E230</f>
        <v/>
      </c>
      <c r="F5" s="30">
        <f>Inputs!F230</f>
        <v/>
      </c>
    </row>
    <row r="6">
      <c r="B6" s="7">
        <f>Inputs!B231</f>
        <v/>
      </c>
      <c r="C6" s="28">
        <f>Inputs!C231</f>
        <v/>
      </c>
      <c r="D6" s="30">
        <f>Inputs!D231</f>
        <v/>
      </c>
      <c r="E6" s="30">
        <f>Inputs!E231</f>
        <v/>
      </c>
      <c r="F6" s="30">
        <f>Inputs!F231</f>
        <v/>
      </c>
    </row>
    <row r="7">
      <c r="B7" s="7">
        <f>Inputs!B232</f>
        <v/>
      </c>
      <c r="C7" s="28">
        <f>Inputs!C232</f>
        <v/>
      </c>
      <c r="D7" s="30">
        <f>Inputs!D232</f>
        <v/>
      </c>
      <c r="E7" s="30">
        <f>Inputs!E232</f>
        <v/>
      </c>
      <c r="F7" s="30">
        <f>Inputs!F232</f>
        <v/>
      </c>
    </row>
    <row r="8">
      <c r="B8" s="7">
        <f>Inputs!B233</f>
        <v/>
      </c>
      <c r="C8" s="28">
        <f>Inputs!C233</f>
        <v/>
      </c>
      <c r="D8" s="30">
        <f>Inputs!D233</f>
        <v/>
      </c>
      <c r="E8" s="30">
        <f>Inputs!E233</f>
        <v/>
      </c>
      <c r="F8" s="30">
        <f>Inputs!F233</f>
        <v/>
      </c>
    </row>
    <row r="9">
      <c r="B9" s="7">
        <f>Inputs!B234</f>
        <v/>
      </c>
      <c r="C9" s="28">
        <f>Inputs!C234</f>
        <v/>
      </c>
      <c r="D9" s="30">
        <f>Inputs!D234</f>
        <v/>
      </c>
      <c r="E9" s="30">
        <f>Inputs!E234</f>
        <v/>
      </c>
      <c r="F9" s="30">
        <f>Inputs!F234</f>
        <v/>
      </c>
    </row>
    <row r="10">
      <c r="B10" s="7" t="inlineStr">
        <is>
          <t>Total of the split (must be 100%)</t>
        </is>
      </c>
      <c r="C10" s="28">
        <f>SUM(C5:C9)</f>
        <v/>
      </c>
    </row>
    <row r="11">
      <c r="B11" s="14" t="inlineStr">
        <is>
          <t>Material assistance cost ratio</t>
        </is>
      </c>
      <c r="D11" s="41">
        <f>1-SUMPRODUCT($C$5:$C$9,D5:D9)</f>
        <v/>
      </c>
      <c r="E11" s="41">
        <f>1-SUMPRODUCT($C$5:$C$9,E5:E9)</f>
        <v/>
      </c>
      <c r="F11" s="41">
        <f>1-SUMPRODUCT($C$5:$C$9,F5:F9)</f>
        <v/>
      </c>
    </row>
    <row r="13">
      <c r="B13" s="14" t="inlineStr">
        <is>
          <t>Passes the threshold for construction beginning in (year in column C)</t>
        </is>
      </c>
    </row>
    <row r="14">
      <c r="B14" s="7">
        <f>Inputs!B236</f>
        <v/>
      </c>
      <c r="C14" s="30">
        <f>Inputs!D236</f>
        <v/>
      </c>
      <c r="D14" s="7">
        <f>IF(ROUND(D$11-Inputs!$C$236,9)&gt;=0,"passes","fails")</f>
        <v/>
      </c>
      <c r="E14" s="7">
        <f>IF(ROUND(E$11-Inputs!$C$236,9)&gt;=0,"passes","fails")</f>
        <v/>
      </c>
      <c r="F14" s="7">
        <f>IF(ROUND(F$11-Inputs!$C$236,9)&gt;=0,"passes","fails")</f>
        <v/>
      </c>
    </row>
    <row r="15">
      <c r="B15" s="7">
        <f>Inputs!B237</f>
        <v/>
      </c>
      <c r="C15" s="30">
        <f>Inputs!D237</f>
        <v/>
      </c>
      <c r="D15" s="7">
        <f>IF(ROUND(D$11-Inputs!$C$237,9)&gt;=0,"passes","fails")</f>
        <v/>
      </c>
      <c r="E15" s="7">
        <f>IF(ROUND(E$11-Inputs!$C$237,9)&gt;=0,"passes","fails")</f>
        <v/>
      </c>
      <c r="F15" s="7">
        <f>IF(ROUND(F$11-Inputs!$C$237,9)&gt;=0,"passes","fails")</f>
        <v/>
      </c>
    </row>
    <row r="16">
      <c r="B16" s="7">
        <f>Inputs!B238</f>
        <v/>
      </c>
      <c r="C16" s="30">
        <f>Inputs!D238</f>
        <v/>
      </c>
      <c r="D16" s="7">
        <f>IF(ROUND(D$11-Inputs!$C$238,9)&gt;=0,"passes","fails")</f>
        <v/>
      </c>
      <c r="E16" s="7">
        <f>IF(ROUND(E$11-Inputs!$C$238,9)&gt;=0,"passes","fails")</f>
        <v/>
      </c>
      <c r="F16" s="7">
        <f>IF(ROUND(F$11-Inputs!$C$238,9)&gt;=0,"passes","fails")</f>
        <v/>
      </c>
    </row>
    <row r="17">
      <c r="B17" s="7">
        <f>Inputs!B239</f>
        <v/>
      </c>
      <c r="C17" s="30">
        <f>Inputs!D239</f>
        <v/>
      </c>
      <c r="D17" s="7">
        <f>IF(ROUND(D$11-Inputs!$C$239,9)&gt;=0,"passes","fails")</f>
        <v/>
      </c>
      <c r="E17" s="7">
        <f>IF(ROUND(E$11-Inputs!$C$239,9)&gt;=0,"passes","fails")</f>
        <v/>
      </c>
      <c r="F17" s="7">
        <f>IF(ROUND(F$11-Inputs!$C$239,9)&gt;=0,"passes","fails")</f>
        <v/>
      </c>
    </row>
    <row r="18">
      <c r="B18" s="7">
        <f>Inputs!B240</f>
        <v/>
      </c>
      <c r="C18" s="30">
        <f>Inputs!D240</f>
        <v/>
      </c>
      <c r="D18" s="7">
        <f>IF(ROUND(D$11-Inputs!$C$240,9)&gt;=0,"passes","fails")</f>
        <v/>
      </c>
      <c r="E18" s="7">
        <f>IF(ROUND(E$11-Inputs!$C$240,9)&gt;=0,"passes","fails")</f>
        <v/>
      </c>
      <c r="F18" s="7">
        <f>IF(ROUND(F$11-Inputs!$C$240,9)&gt;=0,"passes","fails")</f>
        <v/>
      </c>
    </row>
    <row r="20">
      <c r="B20" s="7" t="inlineStr">
        <is>
          <t>Case U development value with the credit in use</t>
        </is>
      </c>
      <c r="C20" s="25">
        <f>Cases!$C$36</f>
        <v/>
      </c>
    </row>
    <row r="21">
      <c r="B21" s="7" t="inlineStr">
        <is>
          <t>Case U development value if the test fails (no credit)</t>
        </is>
      </c>
      <c r="C21" s="25">
        <f>Sensitivities!$C$15</f>
        <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B2:AL41"/>
  <sheetViews>
    <sheetView showGridLines="0" workbookViewId="0">
      <selection activeCell="A1" sqref="A1"/>
    </sheetView>
  </sheetViews>
  <sheetFormatPr baseColWidth="8" defaultRowHeight="15"/>
  <cols>
    <col width="2" customWidth="1" min="1" max="1"/>
    <col width="62"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Hartwell Ridge Wind: capital cost, utility PPA with and without the PTC, break-even prices (chapters 2, 4, 8, 11); base inputs</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Within the life (1 = yes)</t>
        </is>
      </c>
      <c r="D7" s="30">
        <f>IF(D$5&lt;w_life,1,0)</f>
        <v/>
      </c>
      <c r="E7" s="30">
        <f>IF(E$5&lt;w_life,1,0)</f>
        <v/>
      </c>
      <c r="F7" s="30">
        <f>IF(F$5&lt;w_life,1,0)</f>
        <v/>
      </c>
      <c r="G7" s="30">
        <f>IF(G$5&lt;w_life,1,0)</f>
        <v/>
      </c>
      <c r="H7" s="30">
        <f>IF(H$5&lt;w_life,1,0)</f>
        <v/>
      </c>
      <c r="I7" s="30">
        <f>IF(I$5&lt;w_life,1,0)</f>
        <v/>
      </c>
      <c r="J7" s="30">
        <f>IF(J$5&lt;w_life,1,0)</f>
        <v/>
      </c>
      <c r="K7" s="30">
        <f>IF(K$5&lt;w_life,1,0)</f>
        <v/>
      </c>
      <c r="L7" s="30">
        <f>IF(L$5&lt;w_life,1,0)</f>
        <v/>
      </c>
      <c r="M7" s="30">
        <f>IF(M$5&lt;w_life,1,0)</f>
        <v/>
      </c>
      <c r="N7" s="30">
        <f>IF(N$5&lt;w_life,1,0)</f>
        <v/>
      </c>
      <c r="O7" s="30">
        <f>IF(O$5&lt;w_life,1,0)</f>
        <v/>
      </c>
      <c r="P7" s="30">
        <f>IF(P$5&lt;w_life,1,0)</f>
        <v/>
      </c>
      <c r="Q7" s="30">
        <f>IF(Q$5&lt;w_life,1,0)</f>
        <v/>
      </c>
      <c r="R7" s="30">
        <f>IF(R$5&lt;w_life,1,0)</f>
        <v/>
      </c>
      <c r="S7" s="30">
        <f>IF(S$5&lt;w_life,1,0)</f>
        <v/>
      </c>
      <c r="T7" s="30">
        <f>IF(T$5&lt;w_life,1,0)</f>
        <v/>
      </c>
      <c r="U7" s="30">
        <f>IF(U$5&lt;w_life,1,0)</f>
        <v/>
      </c>
      <c r="V7" s="30">
        <f>IF(V$5&lt;w_life,1,0)</f>
        <v/>
      </c>
      <c r="W7" s="30">
        <f>IF(W$5&lt;w_life,1,0)</f>
        <v/>
      </c>
      <c r="X7" s="30">
        <f>IF(X$5&lt;w_life,1,0)</f>
        <v/>
      </c>
      <c r="Y7" s="30">
        <f>IF(Y$5&lt;w_life,1,0)</f>
        <v/>
      </c>
      <c r="Z7" s="30">
        <f>IF(Z$5&lt;w_life,1,0)</f>
        <v/>
      </c>
      <c r="AA7" s="30">
        <f>IF(AA$5&lt;w_life,1,0)</f>
        <v/>
      </c>
      <c r="AB7" s="30">
        <f>IF(AB$5&lt;w_life,1,0)</f>
        <v/>
      </c>
      <c r="AC7" s="30">
        <f>IF(AC$5&lt;w_life,1,0)</f>
        <v/>
      </c>
      <c r="AD7" s="30">
        <f>IF(AD$5&lt;w_life,1,0)</f>
        <v/>
      </c>
      <c r="AE7" s="30">
        <f>IF(AE$5&lt;w_life,1,0)</f>
        <v/>
      </c>
      <c r="AF7" s="30">
        <f>IF(AF$5&lt;w_life,1,0)</f>
        <v/>
      </c>
      <c r="AG7" s="30">
        <f>IF(AG$5&lt;w_life,1,0)</f>
        <v/>
      </c>
      <c r="AH7" s="30">
        <f>IF(AH$5&lt;w_life,1,0)</f>
        <v/>
      </c>
      <c r="AI7" s="30">
        <f>IF(AI$5&lt;w_life,1,0)</f>
        <v/>
      </c>
      <c r="AJ7" s="30">
        <f>IF(AJ$5&lt;w_life,1,0)</f>
        <v/>
      </c>
      <c r="AK7" s="30">
        <f>IF(AK$5&lt;w_life,1,0)</f>
        <v/>
      </c>
      <c r="AL7" s="30">
        <f>IF(AL$5&lt;w_life,1,0)</f>
        <v/>
      </c>
    </row>
    <row r="8">
      <c r="B8" s="7" t="inlineStr">
        <is>
          <t>Energy (MWh)</t>
        </is>
      </c>
      <c r="D8" s="23">
        <f>w_mw*hours*w_cf_p50*D7</f>
        <v/>
      </c>
      <c r="E8" s="23">
        <f>w_mw*hours*w_cf_p50*E7</f>
        <v/>
      </c>
      <c r="F8" s="23">
        <f>w_mw*hours*w_cf_p50*F7</f>
        <v/>
      </c>
      <c r="G8" s="23">
        <f>w_mw*hours*w_cf_p50*G7</f>
        <v/>
      </c>
      <c r="H8" s="23">
        <f>w_mw*hours*w_cf_p50*H7</f>
        <v/>
      </c>
      <c r="I8" s="23">
        <f>w_mw*hours*w_cf_p50*I7</f>
        <v/>
      </c>
      <c r="J8" s="23">
        <f>w_mw*hours*w_cf_p50*J7</f>
        <v/>
      </c>
      <c r="K8" s="23">
        <f>w_mw*hours*w_cf_p50*K7</f>
        <v/>
      </c>
      <c r="L8" s="23">
        <f>w_mw*hours*w_cf_p50*L7</f>
        <v/>
      </c>
      <c r="M8" s="23">
        <f>w_mw*hours*w_cf_p50*M7</f>
        <v/>
      </c>
      <c r="N8" s="23">
        <f>w_mw*hours*w_cf_p50*N7</f>
        <v/>
      </c>
      <c r="O8" s="23">
        <f>w_mw*hours*w_cf_p50*O7</f>
        <v/>
      </c>
      <c r="P8" s="23">
        <f>w_mw*hours*w_cf_p50*P7</f>
        <v/>
      </c>
      <c r="Q8" s="23">
        <f>w_mw*hours*w_cf_p50*Q7</f>
        <v/>
      </c>
      <c r="R8" s="23">
        <f>w_mw*hours*w_cf_p50*R7</f>
        <v/>
      </c>
      <c r="S8" s="23">
        <f>w_mw*hours*w_cf_p50*S7</f>
        <v/>
      </c>
      <c r="T8" s="23">
        <f>w_mw*hours*w_cf_p50*T7</f>
        <v/>
      </c>
      <c r="U8" s="23">
        <f>w_mw*hours*w_cf_p50*U7</f>
        <v/>
      </c>
      <c r="V8" s="23">
        <f>w_mw*hours*w_cf_p50*V7</f>
        <v/>
      </c>
      <c r="W8" s="23">
        <f>w_mw*hours*w_cf_p50*W7</f>
        <v/>
      </c>
      <c r="X8" s="23">
        <f>w_mw*hours*w_cf_p50*X7</f>
        <v/>
      </c>
      <c r="Y8" s="23">
        <f>w_mw*hours*w_cf_p50*Y7</f>
        <v/>
      </c>
      <c r="Z8" s="23">
        <f>w_mw*hours*w_cf_p50*Z7</f>
        <v/>
      </c>
      <c r="AA8" s="23">
        <f>w_mw*hours*w_cf_p50*AA7</f>
        <v/>
      </c>
      <c r="AB8" s="23">
        <f>w_mw*hours*w_cf_p50*AB7</f>
        <v/>
      </c>
      <c r="AC8" s="23">
        <f>w_mw*hours*w_cf_p50*AC7</f>
        <v/>
      </c>
      <c r="AD8" s="23">
        <f>w_mw*hours*w_cf_p50*AD7</f>
        <v/>
      </c>
      <c r="AE8" s="23">
        <f>w_mw*hours*w_cf_p50*AE7</f>
        <v/>
      </c>
      <c r="AF8" s="23">
        <f>w_mw*hours*w_cf_p50*AF7</f>
        <v/>
      </c>
      <c r="AG8" s="23">
        <f>w_mw*hours*w_cf_p50*AG7</f>
        <v/>
      </c>
      <c r="AH8" s="23">
        <f>w_mw*hours*w_cf_p50*AH7</f>
        <v/>
      </c>
      <c r="AI8" s="23">
        <f>w_mw*hours*w_cf_p50*AI7</f>
        <v/>
      </c>
      <c r="AJ8" s="23">
        <f>w_mw*hours*w_cf_p50*AJ7</f>
        <v/>
      </c>
      <c r="AK8" s="23">
        <f>w_mw*hours*w_cf_p50*AK7</f>
        <v/>
      </c>
      <c r="AL8" s="23">
        <f>w_mw*hours*w_cf_p50*AL7</f>
        <v/>
      </c>
    </row>
    <row r="9">
      <c r="B9" s="7" t="inlineStr">
        <is>
          <t>Wind capture rate</t>
        </is>
      </c>
      <c r="D9" s="21">
        <f>MAX(w_capture_floor,w_capture0-w_capture_step*D$5)</f>
        <v/>
      </c>
      <c r="E9" s="21">
        <f>MAX(w_capture_floor,w_capture0-w_capture_step*E$5)</f>
        <v/>
      </c>
      <c r="F9" s="21">
        <f>MAX(w_capture_floor,w_capture0-w_capture_step*F$5)</f>
        <v/>
      </c>
      <c r="G9" s="21">
        <f>MAX(w_capture_floor,w_capture0-w_capture_step*G$5)</f>
        <v/>
      </c>
      <c r="H9" s="21">
        <f>MAX(w_capture_floor,w_capture0-w_capture_step*H$5)</f>
        <v/>
      </c>
      <c r="I9" s="21">
        <f>MAX(w_capture_floor,w_capture0-w_capture_step*I$5)</f>
        <v/>
      </c>
      <c r="J9" s="21">
        <f>MAX(w_capture_floor,w_capture0-w_capture_step*J$5)</f>
        <v/>
      </c>
      <c r="K9" s="21">
        <f>MAX(w_capture_floor,w_capture0-w_capture_step*K$5)</f>
        <v/>
      </c>
      <c r="L9" s="21">
        <f>MAX(w_capture_floor,w_capture0-w_capture_step*L$5)</f>
        <v/>
      </c>
      <c r="M9" s="21">
        <f>MAX(w_capture_floor,w_capture0-w_capture_step*M$5)</f>
        <v/>
      </c>
      <c r="N9" s="21">
        <f>MAX(w_capture_floor,w_capture0-w_capture_step*N$5)</f>
        <v/>
      </c>
      <c r="O9" s="21">
        <f>MAX(w_capture_floor,w_capture0-w_capture_step*O$5)</f>
        <v/>
      </c>
      <c r="P9" s="21">
        <f>MAX(w_capture_floor,w_capture0-w_capture_step*P$5)</f>
        <v/>
      </c>
      <c r="Q9" s="21">
        <f>MAX(w_capture_floor,w_capture0-w_capture_step*Q$5)</f>
        <v/>
      </c>
      <c r="R9" s="21">
        <f>MAX(w_capture_floor,w_capture0-w_capture_step*R$5)</f>
        <v/>
      </c>
      <c r="S9" s="21">
        <f>MAX(w_capture_floor,w_capture0-w_capture_step*S$5)</f>
        <v/>
      </c>
      <c r="T9" s="21">
        <f>MAX(w_capture_floor,w_capture0-w_capture_step*T$5)</f>
        <v/>
      </c>
      <c r="U9" s="21">
        <f>MAX(w_capture_floor,w_capture0-w_capture_step*U$5)</f>
        <v/>
      </c>
      <c r="V9" s="21">
        <f>MAX(w_capture_floor,w_capture0-w_capture_step*V$5)</f>
        <v/>
      </c>
      <c r="W9" s="21">
        <f>MAX(w_capture_floor,w_capture0-w_capture_step*W$5)</f>
        <v/>
      </c>
      <c r="X9" s="21">
        <f>MAX(w_capture_floor,w_capture0-w_capture_step*X$5)</f>
        <v/>
      </c>
      <c r="Y9" s="21">
        <f>MAX(w_capture_floor,w_capture0-w_capture_step*Y$5)</f>
        <v/>
      </c>
      <c r="Z9" s="21">
        <f>MAX(w_capture_floor,w_capture0-w_capture_step*Z$5)</f>
        <v/>
      </c>
      <c r="AA9" s="21">
        <f>MAX(w_capture_floor,w_capture0-w_capture_step*AA$5)</f>
        <v/>
      </c>
      <c r="AB9" s="21">
        <f>MAX(w_capture_floor,w_capture0-w_capture_step*AB$5)</f>
        <v/>
      </c>
      <c r="AC9" s="21">
        <f>MAX(w_capture_floor,w_capture0-w_capture_step*AC$5)</f>
        <v/>
      </c>
      <c r="AD9" s="21">
        <f>MAX(w_capture_floor,w_capture0-w_capture_step*AD$5)</f>
        <v/>
      </c>
      <c r="AE9" s="21">
        <f>MAX(w_capture_floor,w_capture0-w_capture_step*AE$5)</f>
        <v/>
      </c>
      <c r="AF9" s="21">
        <f>MAX(w_capture_floor,w_capture0-w_capture_step*AF$5)</f>
        <v/>
      </c>
      <c r="AG9" s="21">
        <f>MAX(w_capture_floor,w_capture0-w_capture_step*AG$5)</f>
        <v/>
      </c>
      <c r="AH9" s="21">
        <f>MAX(w_capture_floor,w_capture0-w_capture_step*AH$5)</f>
        <v/>
      </c>
      <c r="AI9" s="21">
        <f>MAX(w_capture_floor,w_capture0-w_capture_step*AI$5)</f>
        <v/>
      </c>
      <c r="AJ9" s="21">
        <f>MAX(w_capture_floor,w_capture0-w_capture_step*AJ$5)</f>
        <v/>
      </c>
      <c r="AK9" s="21">
        <f>MAX(w_capture_floor,w_capture0-w_capture_step*AK$5)</f>
        <v/>
      </c>
      <c r="AL9" s="21">
        <f>MAX(w_capture_floor,w_capture0-w_capture_step*AL$5)</f>
        <v/>
      </c>
    </row>
    <row r="10">
      <c r="B10" s="7" t="inlineStr">
        <is>
          <t>Node price ($/MWh)</t>
        </is>
      </c>
      <c r="D10" s="32">
        <f>Market!D$7*D9+w_basis*(1+hub_esc)^D$5</f>
        <v/>
      </c>
      <c r="E10" s="32">
        <f>Market!E$7*E9+w_basis*(1+hub_esc)^E$5</f>
        <v/>
      </c>
      <c r="F10" s="32">
        <f>Market!F$7*F9+w_basis*(1+hub_esc)^F$5</f>
        <v/>
      </c>
      <c r="G10" s="32">
        <f>Market!G$7*G9+w_basis*(1+hub_esc)^G$5</f>
        <v/>
      </c>
      <c r="H10" s="32">
        <f>Market!H$7*H9+w_basis*(1+hub_esc)^H$5</f>
        <v/>
      </c>
      <c r="I10" s="32">
        <f>Market!I$7*I9+w_basis*(1+hub_esc)^I$5</f>
        <v/>
      </c>
      <c r="J10" s="32">
        <f>Market!J$7*J9+w_basis*(1+hub_esc)^J$5</f>
        <v/>
      </c>
      <c r="K10" s="32">
        <f>Market!K$7*K9+w_basis*(1+hub_esc)^K$5</f>
        <v/>
      </c>
      <c r="L10" s="32">
        <f>Market!L$7*L9+w_basis*(1+hub_esc)^L$5</f>
        <v/>
      </c>
      <c r="M10" s="32">
        <f>Market!M$7*M9+w_basis*(1+hub_esc)^M$5</f>
        <v/>
      </c>
      <c r="N10" s="32">
        <f>Market!N$7*N9+w_basis*(1+hub_esc)^N$5</f>
        <v/>
      </c>
      <c r="O10" s="32">
        <f>Market!O$7*O9+w_basis*(1+hub_esc)^O$5</f>
        <v/>
      </c>
      <c r="P10" s="32">
        <f>Market!P$7*P9+w_basis*(1+hub_esc)^P$5</f>
        <v/>
      </c>
      <c r="Q10" s="32">
        <f>Market!Q$7*Q9+w_basis*(1+hub_esc)^Q$5</f>
        <v/>
      </c>
      <c r="R10" s="32">
        <f>Market!R$7*R9+w_basis*(1+hub_esc)^R$5</f>
        <v/>
      </c>
      <c r="S10" s="32">
        <f>Market!S$7*S9+w_basis*(1+hub_esc)^S$5</f>
        <v/>
      </c>
      <c r="T10" s="32">
        <f>Market!T$7*T9+w_basis*(1+hub_esc)^T$5</f>
        <v/>
      </c>
      <c r="U10" s="32">
        <f>Market!U$7*U9+w_basis*(1+hub_esc)^U$5</f>
        <v/>
      </c>
      <c r="V10" s="32">
        <f>Market!V$7*V9+w_basis*(1+hub_esc)^V$5</f>
        <v/>
      </c>
      <c r="W10" s="32">
        <f>Market!W$7*W9+w_basis*(1+hub_esc)^W$5</f>
        <v/>
      </c>
      <c r="X10" s="32">
        <f>Market!X$7*X9+w_basis*(1+hub_esc)^X$5</f>
        <v/>
      </c>
      <c r="Y10" s="32">
        <f>Market!Y$7*Y9+w_basis*(1+hub_esc)^Y$5</f>
        <v/>
      </c>
      <c r="Z10" s="32">
        <f>Market!Z$7*Z9+w_basis*(1+hub_esc)^Z$5</f>
        <v/>
      </c>
      <c r="AA10" s="32">
        <f>Market!AA$7*AA9+w_basis*(1+hub_esc)^AA$5</f>
        <v/>
      </c>
      <c r="AB10" s="32">
        <f>Market!AB$7*AB9+w_basis*(1+hub_esc)^AB$5</f>
        <v/>
      </c>
      <c r="AC10" s="32">
        <f>Market!AC$7*AC9+w_basis*(1+hub_esc)^AC$5</f>
        <v/>
      </c>
      <c r="AD10" s="32">
        <f>Market!AD$7*AD9+w_basis*(1+hub_esc)^AD$5</f>
        <v/>
      </c>
      <c r="AE10" s="32">
        <f>Market!AE$7*AE9+w_basis*(1+hub_esc)^AE$5</f>
        <v/>
      </c>
      <c r="AF10" s="32">
        <f>Market!AF$7*AF9+w_basis*(1+hub_esc)^AF$5</f>
        <v/>
      </c>
      <c r="AG10" s="32">
        <f>Market!AG$7*AG9+w_basis*(1+hub_esc)^AG$5</f>
        <v/>
      </c>
      <c r="AH10" s="32">
        <f>Market!AH$7*AH9+w_basis*(1+hub_esc)^AH$5</f>
        <v/>
      </c>
      <c r="AI10" s="32">
        <f>Market!AI$7*AI9+w_basis*(1+hub_esc)^AI$5</f>
        <v/>
      </c>
      <c r="AJ10" s="32">
        <f>Market!AJ$7*AJ9+w_basis*(1+hub_esc)^AJ$5</f>
        <v/>
      </c>
      <c r="AK10" s="32">
        <f>Market!AK$7*AK9+w_basis*(1+hub_esc)^AK$5</f>
        <v/>
      </c>
      <c r="AL10" s="32">
        <f>Market!AL$7*AL9+w_basis*(1+hub_esc)^AL$5</f>
        <v/>
      </c>
    </row>
    <row r="11">
      <c r="B11" s="7" t="inlineStr">
        <is>
          <t>Capacity revenue ($)</t>
        </is>
      </c>
      <c r="D11" s="25">
        <f>w_mw*w_acc0*cap_mwday*days_year*D7</f>
        <v/>
      </c>
      <c r="E11" s="25">
        <f>w_mw*w_acc0*cap_mwday*days_year*E7</f>
        <v/>
      </c>
      <c r="F11" s="25">
        <f>w_mw*w_acc0*cap_mwday*days_year*F7</f>
        <v/>
      </c>
      <c r="G11" s="25">
        <f>w_mw*w_acc0*cap_mwday*days_year*G7</f>
        <v/>
      </c>
      <c r="H11" s="25">
        <f>w_mw*w_acc0*cap_mwday*days_year*H7</f>
        <v/>
      </c>
      <c r="I11" s="25">
        <f>w_mw*w_acc0*cap_mwday*days_year*I7</f>
        <v/>
      </c>
      <c r="J11" s="25">
        <f>w_mw*w_acc0*cap_mwday*days_year*J7</f>
        <v/>
      </c>
      <c r="K11" s="25">
        <f>w_mw*w_acc0*cap_mwday*days_year*K7</f>
        <v/>
      </c>
      <c r="L11" s="25">
        <f>w_mw*w_acc0*cap_mwday*days_year*L7</f>
        <v/>
      </c>
      <c r="M11" s="25">
        <f>w_mw*w_acc0*cap_mwday*days_year*M7</f>
        <v/>
      </c>
      <c r="N11" s="25">
        <f>w_mw*w_acc0*cap_mwday*days_year*N7</f>
        <v/>
      </c>
      <c r="O11" s="25">
        <f>w_mw*w_acc0*cap_mwday*days_year*O7</f>
        <v/>
      </c>
      <c r="P11" s="25">
        <f>w_mw*w_acc0*cap_mwday*days_year*P7</f>
        <v/>
      </c>
      <c r="Q11" s="25">
        <f>w_mw*w_acc0*cap_mwday*days_year*Q7</f>
        <v/>
      </c>
      <c r="R11" s="25">
        <f>w_mw*w_acc0*cap_mwday*days_year*R7</f>
        <v/>
      </c>
      <c r="S11" s="25">
        <f>w_mw*w_acc0*cap_mwday*days_year*S7</f>
        <v/>
      </c>
      <c r="T11" s="25">
        <f>w_mw*w_acc0*cap_mwday*days_year*T7</f>
        <v/>
      </c>
      <c r="U11" s="25">
        <f>w_mw*w_acc0*cap_mwday*days_year*U7</f>
        <v/>
      </c>
      <c r="V11" s="25">
        <f>w_mw*w_acc0*cap_mwday*days_year*V7</f>
        <v/>
      </c>
      <c r="W11" s="25">
        <f>w_mw*w_acc0*cap_mwday*days_year*W7</f>
        <v/>
      </c>
      <c r="X11" s="25">
        <f>w_mw*w_acc0*cap_mwday*days_year*X7</f>
        <v/>
      </c>
      <c r="Y11" s="25">
        <f>w_mw*w_acc0*cap_mwday*days_year*Y7</f>
        <v/>
      </c>
      <c r="Z11" s="25">
        <f>w_mw*w_acc0*cap_mwday*days_year*Z7</f>
        <v/>
      </c>
      <c r="AA11" s="25">
        <f>w_mw*w_acc0*cap_mwday*days_year*AA7</f>
        <v/>
      </c>
      <c r="AB11" s="25">
        <f>w_mw*w_acc0*cap_mwday*days_year*AB7</f>
        <v/>
      </c>
      <c r="AC11" s="25">
        <f>w_mw*w_acc0*cap_mwday*days_year*AC7</f>
        <v/>
      </c>
      <c r="AD11" s="25">
        <f>w_mw*w_acc0*cap_mwday*days_year*AD7</f>
        <v/>
      </c>
      <c r="AE11" s="25">
        <f>w_mw*w_acc0*cap_mwday*days_year*AE7</f>
        <v/>
      </c>
      <c r="AF11" s="25">
        <f>w_mw*w_acc0*cap_mwday*days_year*AF7</f>
        <v/>
      </c>
      <c r="AG11" s="25">
        <f>w_mw*w_acc0*cap_mwday*days_year*AG7</f>
        <v/>
      </c>
      <c r="AH11" s="25">
        <f>w_mw*w_acc0*cap_mwday*days_year*AH7</f>
        <v/>
      </c>
      <c r="AI11" s="25">
        <f>w_mw*w_acc0*cap_mwday*days_year*AI7</f>
        <v/>
      </c>
      <c r="AJ11" s="25">
        <f>w_mw*w_acc0*cap_mwday*days_year*AJ7</f>
        <v/>
      </c>
      <c r="AK11" s="25">
        <f>w_mw*w_acc0*cap_mwday*days_year*AK7</f>
        <v/>
      </c>
      <c r="AL11" s="25">
        <f>w_mw*w_acc0*cap_mwday*days_year*AL7</f>
        <v/>
      </c>
    </row>
    <row r="12">
      <c r="B12" s="7" t="inlineStr">
        <is>
          <t>Merchant revenue ($)</t>
        </is>
      </c>
      <c r="D12" s="25">
        <f>D8*(D10+rec_price)+D11</f>
        <v/>
      </c>
      <c r="E12" s="25">
        <f>E8*(E10+rec_price)+E11</f>
        <v/>
      </c>
      <c r="F12" s="25">
        <f>F8*(F10+rec_price)+F11</f>
        <v/>
      </c>
      <c r="G12" s="25">
        <f>G8*(G10+rec_price)+G11</f>
        <v/>
      </c>
      <c r="H12" s="25">
        <f>H8*(H10+rec_price)+H11</f>
        <v/>
      </c>
      <c r="I12" s="25">
        <f>I8*(I10+rec_price)+I11</f>
        <v/>
      </c>
      <c r="J12" s="25">
        <f>J8*(J10+rec_price)+J11</f>
        <v/>
      </c>
      <c r="K12" s="25">
        <f>K8*(K10+rec_price)+K11</f>
        <v/>
      </c>
      <c r="L12" s="25">
        <f>L8*(L10+rec_price)+L11</f>
        <v/>
      </c>
      <c r="M12" s="25">
        <f>M8*(M10+rec_price)+M11</f>
        <v/>
      </c>
      <c r="N12" s="25">
        <f>N8*(N10+rec_price)+N11</f>
        <v/>
      </c>
      <c r="O12" s="25">
        <f>O8*(O10+rec_price)+O11</f>
        <v/>
      </c>
      <c r="P12" s="25">
        <f>P8*(P10+rec_price)+P11</f>
        <v/>
      </c>
      <c r="Q12" s="25">
        <f>Q8*(Q10+rec_price)+Q11</f>
        <v/>
      </c>
      <c r="R12" s="25">
        <f>R8*(R10+rec_price)+R11</f>
        <v/>
      </c>
      <c r="S12" s="25">
        <f>S8*(S10+rec_price)+S11</f>
        <v/>
      </c>
      <c r="T12" s="25">
        <f>T8*(T10+rec_price)+T11</f>
        <v/>
      </c>
      <c r="U12" s="25">
        <f>U8*(U10+rec_price)+U11</f>
        <v/>
      </c>
      <c r="V12" s="25">
        <f>V8*(V10+rec_price)+V11</f>
        <v/>
      </c>
      <c r="W12" s="25">
        <f>W8*(W10+rec_price)+W11</f>
        <v/>
      </c>
      <c r="X12" s="25">
        <f>X8*(X10+rec_price)+X11</f>
        <v/>
      </c>
      <c r="Y12" s="25">
        <f>Y8*(Y10+rec_price)+Y11</f>
        <v/>
      </c>
      <c r="Z12" s="25">
        <f>Z8*(Z10+rec_price)+Z11</f>
        <v/>
      </c>
      <c r="AA12" s="25">
        <f>AA8*(AA10+rec_price)+AA11</f>
        <v/>
      </c>
      <c r="AB12" s="25">
        <f>AB8*(AB10+rec_price)+AB11</f>
        <v/>
      </c>
      <c r="AC12" s="25">
        <f>AC8*(AC10+rec_price)+AC11</f>
        <v/>
      </c>
      <c r="AD12" s="25">
        <f>AD8*(AD10+rec_price)+AD11</f>
        <v/>
      </c>
      <c r="AE12" s="25">
        <f>AE8*(AE10+rec_price)+AE11</f>
        <v/>
      </c>
      <c r="AF12" s="25">
        <f>AF8*(AF10+rec_price)+AF11</f>
        <v/>
      </c>
      <c r="AG12" s="25">
        <f>AG8*(AG10+rec_price)+AG11</f>
        <v/>
      </c>
      <c r="AH12" s="25">
        <f>AH8*(AH10+rec_price)+AH11</f>
        <v/>
      </c>
      <c r="AI12" s="25">
        <f>AI8*(AI10+rec_price)+AI11</f>
        <v/>
      </c>
      <c r="AJ12" s="25">
        <f>AJ8*(AJ10+rec_price)+AJ11</f>
        <v/>
      </c>
      <c r="AK12" s="25">
        <f>AK8*(AK10+rec_price)+AK11</f>
        <v/>
      </c>
      <c r="AL12" s="25">
        <f>AL8*(AL10+rec_price)+AL11</f>
        <v/>
      </c>
    </row>
    <row r="13">
      <c r="B13" s="7" t="inlineStr">
        <is>
          <t>Utility PPA revenue ($)</t>
        </is>
      </c>
      <c r="D13" s="25">
        <f>IF(D$5&lt;w_u_years,D8*w_u_price*(1+w_u_esc)^D$5,0)</f>
        <v/>
      </c>
      <c r="E13" s="25">
        <f>IF(E$5&lt;w_u_years,E8*w_u_price*(1+w_u_esc)^E$5,0)</f>
        <v/>
      </c>
      <c r="F13" s="25">
        <f>IF(F$5&lt;w_u_years,F8*w_u_price*(1+w_u_esc)^F$5,0)</f>
        <v/>
      </c>
      <c r="G13" s="25">
        <f>IF(G$5&lt;w_u_years,G8*w_u_price*(1+w_u_esc)^G$5,0)</f>
        <v/>
      </c>
      <c r="H13" s="25">
        <f>IF(H$5&lt;w_u_years,H8*w_u_price*(1+w_u_esc)^H$5,0)</f>
        <v/>
      </c>
      <c r="I13" s="25">
        <f>IF(I$5&lt;w_u_years,I8*w_u_price*(1+w_u_esc)^I$5,0)</f>
        <v/>
      </c>
      <c r="J13" s="25">
        <f>IF(J$5&lt;w_u_years,J8*w_u_price*(1+w_u_esc)^J$5,0)</f>
        <v/>
      </c>
      <c r="K13" s="25">
        <f>IF(K$5&lt;w_u_years,K8*w_u_price*(1+w_u_esc)^K$5,0)</f>
        <v/>
      </c>
      <c r="L13" s="25">
        <f>IF(L$5&lt;w_u_years,L8*w_u_price*(1+w_u_esc)^L$5,0)</f>
        <v/>
      </c>
      <c r="M13" s="25">
        <f>IF(M$5&lt;w_u_years,M8*w_u_price*(1+w_u_esc)^M$5,0)</f>
        <v/>
      </c>
      <c r="N13" s="25">
        <f>IF(N$5&lt;w_u_years,N8*w_u_price*(1+w_u_esc)^N$5,0)</f>
        <v/>
      </c>
      <c r="O13" s="25">
        <f>IF(O$5&lt;w_u_years,O8*w_u_price*(1+w_u_esc)^O$5,0)</f>
        <v/>
      </c>
      <c r="P13" s="25">
        <f>IF(P$5&lt;w_u_years,P8*w_u_price*(1+w_u_esc)^P$5,0)</f>
        <v/>
      </c>
      <c r="Q13" s="25">
        <f>IF(Q$5&lt;w_u_years,Q8*w_u_price*(1+w_u_esc)^Q$5,0)</f>
        <v/>
      </c>
      <c r="R13" s="25">
        <f>IF(R$5&lt;w_u_years,R8*w_u_price*(1+w_u_esc)^R$5,0)</f>
        <v/>
      </c>
      <c r="S13" s="25">
        <f>IF(S$5&lt;w_u_years,S8*w_u_price*(1+w_u_esc)^S$5,0)</f>
        <v/>
      </c>
      <c r="T13" s="25">
        <f>IF(T$5&lt;w_u_years,T8*w_u_price*(1+w_u_esc)^T$5,0)</f>
        <v/>
      </c>
      <c r="U13" s="25">
        <f>IF(U$5&lt;w_u_years,U8*w_u_price*(1+w_u_esc)^U$5,0)</f>
        <v/>
      </c>
      <c r="V13" s="25">
        <f>IF(V$5&lt;w_u_years,V8*w_u_price*(1+w_u_esc)^V$5,0)</f>
        <v/>
      </c>
      <c r="W13" s="25">
        <f>IF(W$5&lt;w_u_years,W8*w_u_price*(1+w_u_esc)^W$5,0)</f>
        <v/>
      </c>
      <c r="X13" s="25">
        <f>IF(X$5&lt;w_u_years,X8*w_u_price*(1+w_u_esc)^X$5,0)</f>
        <v/>
      </c>
      <c r="Y13" s="25">
        <f>IF(Y$5&lt;w_u_years,Y8*w_u_price*(1+w_u_esc)^Y$5,0)</f>
        <v/>
      </c>
      <c r="Z13" s="25">
        <f>IF(Z$5&lt;w_u_years,Z8*w_u_price*(1+w_u_esc)^Z$5,0)</f>
        <v/>
      </c>
      <c r="AA13" s="25">
        <f>IF(AA$5&lt;w_u_years,AA8*w_u_price*(1+w_u_esc)^AA$5,0)</f>
        <v/>
      </c>
      <c r="AB13" s="25">
        <f>IF(AB$5&lt;w_u_years,AB8*w_u_price*(1+w_u_esc)^AB$5,0)</f>
        <v/>
      </c>
      <c r="AC13" s="25">
        <f>IF(AC$5&lt;w_u_years,AC8*w_u_price*(1+w_u_esc)^AC$5,0)</f>
        <v/>
      </c>
      <c r="AD13" s="25">
        <f>IF(AD$5&lt;w_u_years,AD8*w_u_price*(1+w_u_esc)^AD$5,0)</f>
        <v/>
      </c>
      <c r="AE13" s="25">
        <f>IF(AE$5&lt;w_u_years,AE8*w_u_price*(1+w_u_esc)^AE$5,0)</f>
        <v/>
      </c>
      <c r="AF13" s="25">
        <f>IF(AF$5&lt;w_u_years,AF8*w_u_price*(1+w_u_esc)^AF$5,0)</f>
        <v/>
      </c>
      <c r="AG13" s="25">
        <f>IF(AG$5&lt;w_u_years,AG8*w_u_price*(1+w_u_esc)^AG$5,0)</f>
        <v/>
      </c>
      <c r="AH13" s="25">
        <f>IF(AH$5&lt;w_u_years,AH8*w_u_price*(1+w_u_esc)^AH$5,0)</f>
        <v/>
      </c>
      <c r="AI13" s="25">
        <f>IF(AI$5&lt;w_u_years,AI8*w_u_price*(1+w_u_esc)^AI$5,0)</f>
        <v/>
      </c>
      <c r="AJ13" s="25">
        <f>IF(AJ$5&lt;w_u_years,AJ8*w_u_price*(1+w_u_esc)^AJ$5,0)</f>
        <v/>
      </c>
      <c r="AK13" s="25">
        <f>IF(AK$5&lt;w_u_years,AK8*w_u_price*(1+w_u_esc)^AK$5,0)</f>
        <v/>
      </c>
      <c r="AL13" s="25">
        <f>IF(AL$5&lt;w_u_years,AL8*w_u_price*(1+w_u_esc)^AL$5,0)</f>
        <v/>
      </c>
    </row>
    <row r="14">
      <c r="B14" s="7" t="inlineStr">
        <is>
          <t>Merchant revenue after the PPA ($)</t>
        </is>
      </c>
      <c r="D14" s="25">
        <f>IF(D$5&lt;w_u_years,0,D12)</f>
        <v/>
      </c>
      <c r="E14" s="25">
        <f>IF(E$5&lt;w_u_years,0,E12)</f>
        <v/>
      </c>
      <c r="F14" s="25">
        <f>IF(F$5&lt;w_u_years,0,F12)</f>
        <v/>
      </c>
      <c r="G14" s="25">
        <f>IF(G$5&lt;w_u_years,0,G12)</f>
        <v/>
      </c>
      <c r="H14" s="25">
        <f>IF(H$5&lt;w_u_years,0,H12)</f>
        <v/>
      </c>
      <c r="I14" s="25">
        <f>IF(I$5&lt;w_u_years,0,I12)</f>
        <v/>
      </c>
      <c r="J14" s="25">
        <f>IF(J$5&lt;w_u_years,0,J12)</f>
        <v/>
      </c>
      <c r="K14" s="25">
        <f>IF(K$5&lt;w_u_years,0,K12)</f>
        <v/>
      </c>
      <c r="L14" s="25">
        <f>IF(L$5&lt;w_u_years,0,L12)</f>
        <v/>
      </c>
      <c r="M14" s="25">
        <f>IF(M$5&lt;w_u_years,0,M12)</f>
        <v/>
      </c>
      <c r="N14" s="25">
        <f>IF(N$5&lt;w_u_years,0,N12)</f>
        <v/>
      </c>
      <c r="O14" s="25">
        <f>IF(O$5&lt;w_u_years,0,O12)</f>
        <v/>
      </c>
      <c r="P14" s="25">
        <f>IF(P$5&lt;w_u_years,0,P12)</f>
        <v/>
      </c>
      <c r="Q14" s="25">
        <f>IF(Q$5&lt;w_u_years,0,Q12)</f>
        <v/>
      </c>
      <c r="R14" s="25">
        <f>IF(R$5&lt;w_u_years,0,R12)</f>
        <v/>
      </c>
      <c r="S14" s="25">
        <f>IF(S$5&lt;w_u_years,0,S12)</f>
        <v/>
      </c>
      <c r="T14" s="25">
        <f>IF(T$5&lt;w_u_years,0,T12)</f>
        <v/>
      </c>
      <c r="U14" s="25">
        <f>IF(U$5&lt;w_u_years,0,U12)</f>
        <v/>
      </c>
      <c r="V14" s="25">
        <f>IF(V$5&lt;w_u_years,0,V12)</f>
        <v/>
      </c>
      <c r="W14" s="25">
        <f>IF(W$5&lt;w_u_years,0,W12)</f>
        <v/>
      </c>
      <c r="X14" s="25">
        <f>IF(X$5&lt;w_u_years,0,X12)</f>
        <v/>
      </c>
      <c r="Y14" s="25">
        <f>IF(Y$5&lt;w_u_years,0,Y12)</f>
        <v/>
      </c>
      <c r="Z14" s="25">
        <f>IF(Z$5&lt;w_u_years,0,Z12)</f>
        <v/>
      </c>
      <c r="AA14" s="25">
        <f>IF(AA$5&lt;w_u_years,0,AA12)</f>
        <v/>
      </c>
      <c r="AB14" s="25">
        <f>IF(AB$5&lt;w_u_years,0,AB12)</f>
        <v/>
      </c>
      <c r="AC14" s="25">
        <f>IF(AC$5&lt;w_u_years,0,AC12)</f>
        <v/>
      </c>
      <c r="AD14" s="25">
        <f>IF(AD$5&lt;w_u_years,0,AD12)</f>
        <v/>
      </c>
      <c r="AE14" s="25">
        <f>IF(AE$5&lt;w_u_years,0,AE12)</f>
        <v/>
      </c>
      <c r="AF14" s="25">
        <f>IF(AF$5&lt;w_u_years,0,AF12)</f>
        <v/>
      </c>
      <c r="AG14" s="25">
        <f>IF(AG$5&lt;w_u_years,0,AG12)</f>
        <v/>
      </c>
      <c r="AH14" s="25">
        <f>IF(AH$5&lt;w_u_years,0,AH12)</f>
        <v/>
      </c>
      <c r="AI14" s="25">
        <f>IF(AI$5&lt;w_u_years,0,AI12)</f>
        <v/>
      </c>
      <c r="AJ14" s="25">
        <f>IF(AJ$5&lt;w_u_years,0,AJ12)</f>
        <v/>
      </c>
      <c r="AK14" s="25">
        <f>IF(AK$5&lt;w_u_years,0,AK12)</f>
        <v/>
      </c>
      <c r="AL14" s="25">
        <f>IF(AL$5&lt;w_u_years,0,AL12)</f>
        <v/>
      </c>
    </row>
    <row r="15">
      <c r="B15" s="7" t="inlineStr">
        <is>
          <t>Operating cost ($)</t>
        </is>
      </c>
      <c r="D15" s="25">
        <f>w_opex_kw*w_mw*1000*(1+opex_esc)^D$5*D7</f>
        <v/>
      </c>
      <c r="E15" s="25">
        <f>w_opex_kw*w_mw*1000*(1+opex_esc)^E$5*E7</f>
        <v/>
      </c>
      <c r="F15" s="25">
        <f>w_opex_kw*w_mw*1000*(1+opex_esc)^F$5*F7</f>
        <v/>
      </c>
      <c r="G15" s="25">
        <f>w_opex_kw*w_mw*1000*(1+opex_esc)^G$5*G7</f>
        <v/>
      </c>
      <c r="H15" s="25">
        <f>w_opex_kw*w_mw*1000*(1+opex_esc)^H$5*H7</f>
        <v/>
      </c>
      <c r="I15" s="25">
        <f>w_opex_kw*w_mw*1000*(1+opex_esc)^I$5*I7</f>
        <v/>
      </c>
      <c r="J15" s="25">
        <f>w_opex_kw*w_mw*1000*(1+opex_esc)^J$5*J7</f>
        <v/>
      </c>
      <c r="K15" s="25">
        <f>w_opex_kw*w_mw*1000*(1+opex_esc)^K$5*K7</f>
        <v/>
      </c>
      <c r="L15" s="25">
        <f>w_opex_kw*w_mw*1000*(1+opex_esc)^L$5*L7</f>
        <v/>
      </c>
      <c r="M15" s="25">
        <f>w_opex_kw*w_mw*1000*(1+opex_esc)^M$5*M7</f>
        <v/>
      </c>
      <c r="N15" s="25">
        <f>w_opex_kw*w_mw*1000*(1+opex_esc)^N$5*N7</f>
        <v/>
      </c>
      <c r="O15" s="25">
        <f>w_opex_kw*w_mw*1000*(1+opex_esc)^O$5*O7</f>
        <v/>
      </c>
      <c r="P15" s="25">
        <f>w_opex_kw*w_mw*1000*(1+opex_esc)^P$5*P7</f>
        <v/>
      </c>
      <c r="Q15" s="25">
        <f>w_opex_kw*w_mw*1000*(1+opex_esc)^Q$5*Q7</f>
        <v/>
      </c>
      <c r="R15" s="25">
        <f>w_opex_kw*w_mw*1000*(1+opex_esc)^R$5*R7</f>
        <v/>
      </c>
      <c r="S15" s="25">
        <f>w_opex_kw*w_mw*1000*(1+opex_esc)^S$5*S7</f>
        <v/>
      </c>
      <c r="T15" s="25">
        <f>w_opex_kw*w_mw*1000*(1+opex_esc)^T$5*T7</f>
        <v/>
      </c>
      <c r="U15" s="25">
        <f>w_opex_kw*w_mw*1000*(1+opex_esc)^U$5*U7</f>
        <v/>
      </c>
      <c r="V15" s="25">
        <f>w_opex_kw*w_mw*1000*(1+opex_esc)^V$5*V7</f>
        <v/>
      </c>
      <c r="W15" s="25">
        <f>w_opex_kw*w_mw*1000*(1+opex_esc)^W$5*W7</f>
        <v/>
      </c>
      <c r="X15" s="25">
        <f>w_opex_kw*w_mw*1000*(1+opex_esc)^X$5*X7</f>
        <v/>
      </c>
      <c r="Y15" s="25">
        <f>w_opex_kw*w_mw*1000*(1+opex_esc)^Y$5*Y7</f>
        <v/>
      </c>
      <c r="Z15" s="25">
        <f>w_opex_kw*w_mw*1000*(1+opex_esc)^Z$5*Z7</f>
        <v/>
      </c>
      <c r="AA15" s="25">
        <f>w_opex_kw*w_mw*1000*(1+opex_esc)^AA$5*AA7</f>
        <v/>
      </c>
      <c r="AB15" s="25">
        <f>w_opex_kw*w_mw*1000*(1+opex_esc)^AB$5*AB7</f>
        <v/>
      </c>
      <c r="AC15" s="25">
        <f>w_opex_kw*w_mw*1000*(1+opex_esc)^AC$5*AC7</f>
        <v/>
      </c>
      <c r="AD15" s="25">
        <f>w_opex_kw*w_mw*1000*(1+opex_esc)^AD$5*AD7</f>
        <v/>
      </c>
      <c r="AE15" s="25">
        <f>w_opex_kw*w_mw*1000*(1+opex_esc)^AE$5*AE7</f>
        <v/>
      </c>
      <c r="AF15" s="25">
        <f>w_opex_kw*w_mw*1000*(1+opex_esc)^AF$5*AF7</f>
        <v/>
      </c>
      <c r="AG15" s="25">
        <f>w_opex_kw*w_mw*1000*(1+opex_esc)^AG$5*AG7</f>
        <v/>
      </c>
      <c r="AH15" s="25">
        <f>w_opex_kw*w_mw*1000*(1+opex_esc)^AH$5*AH7</f>
        <v/>
      </c>
      <c r="AI15" s="25">
        <f>w_opex_kw*w_mw*1000*(1+opex_esc)^AI$5*AI7</f>
        <v/>
      </c>
      <c r="AJ15" s="25">
        <f>w_opex_kw*w_mw*1000*(1+opex_esc)^AJ$5*AJ7</f>
        <v/>
      </c>
      <c r="AK15" s="25">
        <f>w_opex_kw*w_mw*1000*(1+opex_esc)^AK$5*AK7</f>
        <v/>
      </c>
      <c r="AL15" s="25">
        <f>w_opex_kw*w_mw*1000*(1+opex_esc)^AL$5*AL7</f>
        <v/>
      </c>
    </row>
    <row r="16">
      <c r="B16" s="7" t="inlineStr">
        <is>
          <t>PTC cash, if earned ($)</t>
        </is>
      </c>
      <c r="D16" s="25">
        <f>IF(D$5&lt;ptc_years,D8*Credits!D$8*transfer_ptc,0)</f>
        <v/>
      </c>
      <c r="E16" s="25">
        <f>IF(E$5&lt;ptc_years,E8*Credits!E$8*transfer_ptc,0)</f>
        <v/>
      </c>
      <c r="F16" s="25">
        <f>IF(F$5&lt;ptc_years,F8*Credits!F$8*transfer_ptc,0)</f>
        <v/>
      </c>
      <c r="G16" s="25">
        <f>IF(G$5&lt;ptc_years,G8*Credits!G$8*transfer_ptc,0)</f>
        <v/>
      </c>
      <c r="H16" s="25">
        <f>IF(H$5&lt;ptc_years,H8*Credits!H$8*transfer_ptc,0)</f>
        <v/>
      </c>
      <c r="I16" s="25">
        <f>IF(I$5&lt;ptc_years,I8*Credits!I$8*transfer_ptc,0)</f>
        <v/>
      </c>
      <c r="J16" s="25">
        <f>IF(J$5&lt;ptc_years,J8*Credits!J$8*transfer_ptc,0)</f>
        <v/>
      </c>
      <c r="K16" s="25">
        <f>IF(K$5&lt;ptc_years,K8*Credits!K$8*transfer_ptc,0)</f>
        <v/>
      </c>
      <c r="L16" s="25">
        <f>IF(L$5&lt;ptc_years,L8*Credits!L$8*transfer_ptc,0)</f>
        <v/>
      </c>
      <c r="M16" s="25">
        <f>IF(M$5&lt;ptc_years,M8*Credits!M$8*transfer_ptc,0)</f>
        <v/>
      </c>
      <c r="N16" s="25">
        <f>IF(N$5&lt;ptc_years,N8*Credits!N$8*transfer_ptc,0)</f>
        <v/>
      </c>
      <c r="O16" s="25">
        <f>IF(O$5&lt;ptc_years,O8*Credits!O$8*transfer_ptc,0)</f>
        <v/>
      </c>
      <c r="P16" s="25">
        <f>IF(P$5&lt;ptc_years,P8*Credits!P$8*transfer_ptc,0)</f>
        <v/>
      </c>
      <c r="Q16" s="25">
        <f>IF(Q$5&lt;ptc_years,Q8*Credits!Q$8*transfer_ptc,0)</f>
        <v/>
      </c>
      <c r="R16" s="25">
        <f>IF(R$5&lt;ptc_years,R8*Credits!R$8*transfer_ptc,0)</f>
        <v/>
      </c>
      <c r="S16" s="25">
        <f>IF(S$5&lt;ptc_years,S8*Credits!S$8*transfer_ptc,0)</f>
        <v/>
      </c>
      <c r="T16" s="25">
        <f>IF(T$5&lt;ptc_years,T8*Credits!T$8*transfer_ptc,0)</f>
        <v/>
      </c>
      <c r="U16" s="25">
        <f>IF(U$5&lt;ptc_years,U8*Credits!U$8*transfer_ptc,0)</f>
        <v/>
      </c>
      <c r="V16" s="25">
        <f>IF(V$5&lt;ptc_years,V8*Credits!V$8*transfer_ptc,0)</f>
        <v/>
      </c>
      <c r="W16" s="25">
        <f>IF(W$5&lt;ptc_years,W8*Credits!W$8*transfer_ptc,0)</f>
        <v/>
      </c>
      <c r="X16" s="25">
        <f>IF(X$5&lt;ptc_years,X8*Credits!X$8*transfer_ptc,0)</f>
        <v/>
      </c>
      <c r="Y16" s="25">
        <f>IF(Y$5&lt;ptc_years,Y8*Credits!Y$8*transfer_ptc,0)</f>
        <v/>
      </c>
      <c r="Z16" s="25">
        <f>IF(Z$5&lt;ptc_years,Z8*Credits!Z$8*transfer_ptc,0)</f>
        <v/>
      </c>
      <c r="AA16" s="25">
        <f>IF(AA$5&lt;ptc_years,AA8*Credits!AA$8*transfer_ptc,0)</f>
        <v/>
      </c>
      <c r="AB16" s="25">
        <f>IF(AB$5&lt;ptc_years,AB8*Credits!AB$8*transfer_ptc,0)</f>
        <v/>
      </c>
      <c r="AC16" s="25">
        <f>IF(AC$5&lt;ptc_years,AC8*Credits!AC$8*transfer_ptc,0)</f>
        <v/>
      </c>
      <c r="AD16" s="25">
        <f>IF(AD$5&lt;ptc_years,AD8*Credits!AD$8*transfer_ptc,0)</f>
        <v/>
      </c>
      <c r="AE16" s="25">
        <f>IF(AE$5&lt;ptc_years,AE8*Credits!AE$8*transfer_ptc,0)</f>
        <v/>
      </c>
      <c r="AF16" s="25">
        <f>IF(AF$5&lt;ptc_years,AF8*Credits!AF$8*transfer_ptc,0)</f>
        <v/>
      </c>
      <c r="AG16" s="25">
        <f>IF(AG$5&lt;ptc_years,AG8*Credits!AG$8*transfer_ptc,0)</f>
        <v/>
      </c>
      <c r="AH16" s="25">
        <f>IF(AH$5&lt;ptc_years,AH8*Credits!AH$8*transfer_ptc,0)</f>
        <v/>
      </c>
      <c r="AI16" s="25">
        <f>IF(AI$5&lt;ptc_years,AI8*Credits!AI$8*transfer_ptc,0)</f>
        <v/>
      </c>
      <c r="AJ16" s="25">
        <f>IF(AJ$5&lt;ptc_years,AJ8*Credits!AJ$8*transfer_ptc,0)</f>
        <v/>
      </c>
      <c r="AK16" s="25">
        <f>IF(AK$5&lt;ptc_years,AK8*Credits!AK$8*transfer_ptc,0)</f>
        <v/>
      </c>
      <c r="AL16" s="25">
        <f>IF(AL$5&lt;ptc_years,AL8*Credits!AL$8*transfer_ptc,0)</f>
        <v/>
      </c>
    </row>
    <row r="17">
      <c r="B17" s="7" t="inlineStr">
        <is>
          <t>Discount factor, contracted rate</t>
        </is>
      </c>
      <c r="D17" s="22">
        <f>1/(1+r_c)^(D$5+2)</f>
        <v/>
      </c>
      <c r="E17" s="22">
        <f>1/(1+r_c)^(E$5+2)</f>
        <v/>
      </c>
      <c r="F17" s="22">
        <f>1/(1+r_c)^(F$5+2)</f>
        <v/>
      </c>
      <c r="G17" s="22">
        <f>1/(1+r_c)^(G$5+2)</f>
        <v/>
      </c>
      <c r="H17" s="22">
        <f>1/(1+r_c)^(H$5+2)</f>
        <v/>
      </c>
      <c r="I17" s="22">
        <f>1/(1+r_c)^(I$5+2)</f>
        <v/>
      </c>
      <c r="J17" s="22">
        <f>1/(1+r_c)^(J$5+2)</f>
        <v/>
      </c>
      <c r="K17" s="22">
        <f>1/(1+r_c)^(K$5+2)</f>
        <v/>
      </c>
      <c r="L17" s="22">
        <f>1/(1+r_c)^(L$5+2)</f>
        <v/>
      </c>
      <c r="M17" s="22">
        <f>1/(1+r_c)^(M$5+2)</f>
        <v/>
      </c>
      <c r="N17" s="22">
        <f>1/(1+r_c)^(N$5+2)</f>
        <v/>
      </c>
      <c r="O17" s="22">
        <f>1/(1+r_c)^(O$5+2)</f>
        <v/>
      </c>
      <c r="P17" s="22">
        <f>1/(1+r_c)^(P$5+2)</f>
        <v/>
      </c>
      <c r="Q17" s="22">
        <f>1/(1+r_c)^(Q$5+2)</f>
        <v/>
      </c>
      <c r="R17" s="22">
        <f>1/(1+r_c)^(R$5+2)</f>
        <v/>
      </c>
      <c r="S17" s="22">
        <f>1/(1+r_c)^(S$5+2)</f>
        <v/>
      </c>
      <c r="T17" s="22">
        <f>1/(1+r_c)^(T$5+2)</f>
        <v/>
      </c>
      <c r="U17" s="22">
        <f>1/(1+r_c)^(U$5+2)</f>
        <v/>
      </c>
      <c r="V17" s="22">
        <f>1/(1+r_c)^(V$5+2)</f>
        <v/>
      </c>
      <c r="W17" s="22">
        <f>1/(1+r_c)^(W$5+2)</f>
        <v/>
      </c>
      <c r="X17" s="22">
        <f>1/(1+r_c)^(X$5+2)</f>
        <v/>
      </c>
      <c r="Y17" s="22">
        <f>1/(1+r_c)^(Y$5+2)</f>
        <v/>
      </c>
      <c r="Z17" s="22">
        <f>1/(1+r_c)^(Z$5+2)</f>
        <v/>
      </c>
      <c r="AA17" s="22">
        <f>1/(1+r_c)^(AA$5+2)</f>
        <v/>
      </c>
      <c r="AB17" s="22">
        <f>1/(1+r_c)^(AB$5+2)</f>
        <v/>
      </c>
      <c r="AC17" s="22">
        <f>1/(1+r_c)^(AC$5+2)</f>
        <v/>
      </c>
      <c r="AD17" s="22">
        <f>1/(1+r_c)^(AD$5+2)</f>
        <v/>
      </c>
      <c r="AE17" s="22">
        <f>1/(1+r_c)^(AE$5+2)</f>
        <v/>
      </c>
      <c r="AF17" s="22">
        <f>1/(1+r_c)^(AF$5+2)</f>
        <v/>
      </c>
      <c r="AG17" s="22">
        <f>1/(1+r_c)^(AG$5+2)</f>
        <v/>
      </c>
      <c r="AH17" s="22">
        <f>1/(1+r_c)^(AH$5+2)</f>
        <v/>
      </c>
      <c r="AI17" s="22">
        <f>1/(1+r_c)^(AI$5+2)</f>
        <v/>
      </c>
      <c r="AJ17" s="22">
        <f>1/(1+r_c)^(AJ$5+2)</f>
        <v/>
      </c>
      <c r="AK17" s="22">
        <f>1/(1+r_c)^(AK$5+2)</f>
        <v/>
      </c>
      <c r="AL17" s="22">
        <f>1/(1+r_c)^(AL$5+2)</f>
        <v/>
      </c>
    </row>
    <row r="18">
      <c r="B18" s="7" t="inlineStr">
        <is>
          <t>Discount factor, merchant rate</t>
        </is>
      </c>
      <c r="D18" s="22">
        <f>1/(1+r_m)^(D$5+2)</f>
        <v/>
      </c>
      <c r="E18" s="22">
        <f>1/(1+r_m)^(E$5+2)</f>
        <v/>
      </c>
      <c r="F18" s="22">
        <f>1/(1+r_m)^(F$5+2)</f>
        <v/>
      </c>
      <c r="G18" s="22">
        <f>1/(1+r_m)^(G$5+2)</f>
        <v/>
      </c>
      <c r="H18" s="22">
        <f>1/(1+r_m)^(H$5+2)</f>
        <v/>
      </c>
      <c r="I18" s="22">
        <f>1/(1+r_m)^(I$5+2)</f>
        <v/>
      </c>
      <c r="J18" s="22">
        <f>1/(1+r_m)^(J$5+2)</f>
        <v/>
      </c>
      <c r="K18" s="22">
        <f>1/(1+r_m)^(K$5+2)</f>
        <v/>
      </c>
      <c r="L18" s="22">
        <f>1/(1+r_m)^(L$5+2)</f>
        <v/>
      </c>
      <c r="M18" s="22">
        <f>1/(1+r_m)^(M$5+2)</f>
        <v/>
      </c>
      <c r="N18" s="22">
        <f>1/(1+r_m)^(N$5+2)</f>
        <v/>
      </c>
      <c r="O18" s="22">
        <f>1/(1+r_m)^(O$5+2)</f>
        <v/>
      </c>
      <c r="P18" s="22">
        <f>1/(1+r_m)^(P$5+2)</f>
        <v/>
      </c>
      <c r="Q18" s="22">
        <f>1/(1+r_m)^(Q$5+2)</f>
        <v/>
      </c>
      <c r="R18" s="22">
        <f>1/(1+r_m)^(R$5+2)</f>
        <v/>
      </c>
      <c r="S18" s="22">
        <f>1/(1+r_m)^(S$5+2)</f>
        <v/>
      </c>
      <c r="T18" s="22">
        <f>1/(1+r_m)^(T$5+2)</f>
        <v/>
      </c>
      <c r="U18" s="22">
        <f>1/(1+r_m)^(U$5+2)</f>
        <v/>
      </c>
      <c r="V18" s="22">
        <f>1/(1+r_m)^(V$5+2)</f>
        <v/>
      </c>
      <c r="W18" s="22">
        <f>1/(1+r_m)^(W$5+2)</f>
        <v/>
      </c>
      <c r="X18" s="22">
        <f>1/(1+r_m)^(X$5+2)</f>
        <v/>
      </c>
      <c r="Y18" s="22">
        <f>1/(1+r_m)^(Y$5+2)</f>
        <v/>
      </c>
      <c r="Z18" s="22">
        <f>1/(1+r_m)^(Z$5+2)</f>
        <v/>
      </c>
      <c r="AA18" s="22">
        <f>1/(1+r_m)^(AA$5+2)</f>
        <v/>
      </c>
      <c r="AB18" s="22">
        <f>1/(1+r_m)^(AB$5+2)</f>
        <v/>
      </c>
      <c r="AC18" s="22">
        <f>1/(1+r_m)^(AC$5+2)</f>
        <v/>
      </c>
      <c r="AD18" s="22">
        <f>1/(1+r_m)^(AD$5+2)</f>
        <v/>
      </c>
      <c r="AE18" s="22">
        <f>1/(1+r_m)^(AE$5+2)</f>
        <v/>
      </c>
      <c r="AF18" s="22">
        <f>1/(1+r_m)^(AF$5+2)</f>
        <v/>
      </c>
      <c r="AG18" s="22">
        <f>1/(1+r_m)^(AG$5+2)</f>
        <v/>
      </c>
      <c r="AH18" s="22">
        <f>1/(1+r_m)^(AH$5+2)</f>
        <v/>
      </c>
      <c r="AI18" s="22">
        <f>1/(1+r_m)^(AI$5+2)</f>
        <v/>
      </c>
      <c r="AJ18" s="22">
        <f>1/(1+r_m)^(AJ$5+2)</f>
        <v/>
      </c>
      <c r="AK18" s="22">
        <f>1/(1+r_m)^(AK$5+2)</f>
        <v/>
      </c>
      <c r="AL18" s="22">
        <f>1/(1+r_m)^(AL$5+2)</f>
        <v/>
      </c>
    </row>
    <row r="19">
      <c r="B19" s="7" t="inlineStr">
        <is>
          <t>Present value of $1/MWh on the PPA</t>
        </is>
      </c>
      <c r="D19" s="25">
        <f>IF(D$5&lt;w_u_years,D8*(1+w_u_esc)^D$5*D17,0)</f>
        <v/>
      </c>
      <c r="E19" s="25">
        <f>IF(E$5&lt;w_u_years,E8*(1+w_u_esc)^E$5*E17,0)</f>
        <v/>
      </c>
      <c r="F19" s="25">
        <f>IF(F$5&lt;w_u_years,F8*(1+w_u_esc)^F$5*F17,0)</f>
        <v/>
      </c>
      <c r="G19" s="25">
        <f>IF(G$5&lt;w_u_years,G8*(1+w_u_esc)^G$5*G17,0)</f>
        <v/>
      </c>
      <c r="H19" s="25">
        <f>IF(H$5&lt;w_u_years,H8*(1+w_u_esc)^H$5*H17,0)</f>
        <v/>
      </c>
      <c r="I19" s="25">
        <f>IF(I$5&lt;w_u_years,I8*(1+w_u_esc)^I$5*I17,0)</f>
        <v/>
      </c>
      <c r="J19" s="25">
        <f>IF(J$5&lt;w_u_years,J8*(1+w_u_esc)^J$5*J17,0)</f>
        <v/>
      </c>
      <c r="K19" s="25">
        <f>IF(K$5&lt;w_u_years,K8*(1+w_u_esc)^K$5*K17,0)</f>
        <v/>
      </c>
      <c r="L19" s="25">
        <f>IF(L$5&lt;w_u_years,L8*(1+w_u_esc)^L$5*L17,0)</f>
        <v/>
      </c>
      <c r="M19" s="25">
        <f>IF(M$5&lt;w_u_years,M8*(1+w_u_esc)^M$5*M17,0)</f>
        <v/>
      </c>
      <c r="N19" s="25">
        <f>IF(N$5&lt;w_u_years,N8*(1+w_u_esc)^N$5*N17,0)</f>
        <v/>
      </c>
      <c r="O19" s="25">
        <f>IF(O$5&lt;w_u_years,O8*(1+w_u_esc)^O$5*O17,0)</f>
        <v/>
      </c>
      <c r="P19" s="25">
        <f>IF(P$5&lt;w_u_years,P8*(1+w_u_esc)^P$5*P17,0)</f>
        <v/>
      </c>
      <c r="Q19" s="25">
        <f>IF(Q$5&lt;w_u_years,Q8*(1+w_u_esc)^Q$5*Q17,0)</f>
        <v/>
      </c>
      <c r="R19" s="25">
        <f>IF(R$5&lt;w_u_years,R8*(1+w_u_esc)^R$5*R17,0)</f>
        <v/>
      </c>
      <c r="S19" s="25">
        <f>IF(S$5&lt;w_u_years,S8*(1+w_u_esc)^S$5*S17,0)</f>
        <v/>
      </c>
      <c r="T19" s="25">
        <f>IF(T$5&lt;w_u_years,T8*(1+w_u_esc)^T$5*T17,0)</f>
        <v/>
      </c>
      <c r="U19" s="25">
        <f>IF(U$5&lt;w_u_years,U8*(1+w_u_esc)^U$5*U17,0)</f>
        <v/>
      </c>
      <c r="V19" s="25">
        <f>IF(V$5&lt;w_u_years,V8*(1+w_u_esc)^V$5*V17,0)</f>
        <v/>
      </c>
      <c r="W19" s="25">
        <f>IF(W$5&lt;w_u_years,W8*(1+w_u_esc)^W$5*W17,0)</f>
        <v/>
      </c>
      <c r="X19" s="25">
        <f>IF(X$5&lt;w_u_years,X8*(1+w_u_esc)^X$5*X17,0)</f>
        <v/>
      </c>
      <c r="Y19" s="25">
        <f>IF(Y$5&lt;w_u_years,Y8*(1+w_u_esc)^Y$5*Y17,0)</f>
        <v/>
      </c>
      <c r="Z19" s="25">
        <f>IF(Z$5&lt;w_u_years,Z8*(1+w_u_esc)^Z$5*Z17,0)</f>
        <v/>
      </c>
      <c r="AA19" s="25">
        <f>IF(AA$5&lt;w_u_years,AA8*(1+w_u_esc)^AA$5*AA17,0)</f>
        <v/>
      </c>
      <c r="AB19" s="25">
        <f>IF(AB$5&lt;w_u_years,AB8*(1+w_u_esc)^AB$5*AB17,0)</f>
        <v/>
      </c>
      <c r="AC19" s="25">
        <f>IF(AC$5&lt;w_u_years,AC8*(1+w_u_esc)^AC$5*AC17,0)</f>
        <v/>
      </c>
      <c r="AD19" s="25">
        <f>IF(AD$5&lt;w_u_years,AD8*(1+w_u_esc)^AD$5*AD17,0)</f>
        <v/>
      </c>
      <c r="AE19" s="25">
        <f>IF(AE$5&lt;w_u_years,AE8*(1+w_u_esc)^AE$5*AE17,0)</f>
        <v/>
      </c>
      <c r="AF19" s="25">
        <f>IF(AF$5&lt;w_u_years,AF8*(1+w_u_esc)^AF$5*AF17,0)</f>
        <v/>
      </c>
      <c r="AG19" s="25">
        <f>IF(AG$5&lt;w_u_years,AG8*(1+w_u_esc)^AG$5*AG17,0)</f>
        <v/>
      </c>
      <c r="AH19" s="25">
        <f>IF(AH$5&lt;w_u_years,AH8*(1+w_u_esc)^AH$5*AH17,0)</f>
        <v/>
      </c>
      <c r="AI19" s="25">
        <f>IF(AI$5&lt;w_u_years,AI8*(1+w_u_esc)^AI$5*AI17,0)</f>
        <v/>
      </c>
      <c r="AJ19" s="25">
        <f>IF(AJ$5&lt;w_u_years,AJ8*(1+w_u_esc)^AJ$5*AJ17,0)</f>
        <v/>
      </c>
      <c r="AK19" s="25">
        <f>IF(AK$5&lt;w_u_years,AK8*(1+w_u_esc)^AK$5*AK17,0)</f>
        <v/>
      </c>
      <c r="AL19" s="25">
        <f>IF(AL$5&lt;w_u_years,AL8*(1+w_u_esc)^AL$5*AL17,0)</f>
        <v/>
      </c>
    </row>
    <row r="21">
      <c r="B21" s="7" t="inlineStr">
        <is>
          <t>Turbines</t>
        </is>
      </c>
      <c r="C21" s="25">
        <f>w_turbine_kw*w_mw*1000</f>
        <v/>
      </c>
    </row>
    <row r="22">
      <c r="B22" s="7" t="inlineStr">
        <is>
          <t>Balance of plant</t>
        </is>
      </c>
      <c r="C22" s="25">
        <f>w_bop_kw*w_mw*1000</f>
        <v/>
      </c>
    </row>
    <row r="23">
      <c r="B23" s="7" t="inlineStr">
        <is>
          <t>Substation</t>
        </is>
      </c>
      <c r="C23" s="25">
        <f>w_substation</f>
        <v/>
      </c>
    </row>
    <row r="24">
      <c r="B24" s="7" t="inlineStr">
        <is>
          <t>Contingency</t>
        </is>
      </c>
      <c r="C24" s="25">
        <f>w_contingency*(C21+C22+C23)</f>
        <v/>
      </c>
    </row>
    <row r="25">
      <c r="B25" s="7" t="inlineStr">
        <is>
          <t>Network upgrades</t>
        </is>
      </c>
      <c r="C25" s="25">
        <f>w_interconnect</f>
        <v/>
      </c>
    </row>
    <row r="26">
      <c r="B26" s="7" t="inlineStr">
        <is>
          <t>Owner's costs</t>
        </is>
      </c>
      <c r="C26" s="25">
        <f>w_owner</f>
        <v/>
      </c>
    </row>
    <row r="27">
      <c r="B27" s="7" t="inlineStr">
        <is>
          <t>Total capital cost</t>
        </is>
      </c>
      <c r="C27" s="26">
        <f>SUM(C21:C26)</f>
        <v/>
      </c>
    </row>
    <row r="28">
      <c r="B28" s="7" t="inlineStr">
        <is>
          <t>Per kW ($)</t>
        </is>
      </c>
      <c r="C28" s="23">
        <f>C27/(w_mw*1000)</f>
        <v/>
      </c>
    </row>
    <row r="29">
      <c r="B29" s="7" t="inlineStr">
        <is>
          <t>Cedar Hollow per kWac ($)</t>
        </is>
      </c>
      <c r="C29" s="23">
        <f>Capex!$C$17</f>
        <v/>
      </c>
    </row>
    <row r="30">
      <c r="B30" s="7" t="inlineStr">
        <is>
          <t>Wind energy per kW / solar energy per kWac</t>
        </is>
      </c>
      <c r="C30" s="27">
        <f>w_cf_p50/cf_p50</f>
        <v/>
      </c>
    </row>
    <row r="31">
      <c r="B31" s="7" t="inlineStr">
        <is>
          <t>Decommissioning at the end of the life</t>
        </is>
      </c>
      <c r="C31" s="25">
        <f>w_decom_kw*w_mw*1000*(1+opex_esc)^(cod_year+w_life-ntp_year)</f>
        <v/>
      </c>
    </row>
    <row r="32">
      <c r="B32" s="7" t="inlineStr">
        <is>
          <t>Present value of decommissioning</t>
        </is>
      </c>
      <c r="C32" s="25">
        <f>C31/(1+r_c)^(w_life+1)</f>
        <v/>
      </c>
    </row>
    <row r="33">
      <c r="B33" s="7" t="inlineStr">
        <is>
          <t>Value before credits: PPA, merchant, operating cost, decommissioning, capital cost</t>
        </is>
      </c>
      <c r="C33" s="25">
        <f>SUMPRODUCT($D$13:$AL$13,$D$17:$AL$17)-SUMPRODUCT($D$15:$AL$15,$D$17:$AL$17)+SUMPRODUCT($D$14:$AL$14,$D$18:$AL$18)-C32-C27/(1+r_c)</f>
        <v/>
      </c>
    </row>
    <row r="34">
      <c r="B34" s="7" t="inlineStr">
        <is>
          <t>Present value of PTC cash</t>
        </is>
      </c>
      <c r="C34" s="25">
        <f>SUMPRODUCT($D$16:$AL$16,$D$17:$AL$17)</f>
        <v/>
      </c>
    </row>
    <row r="35">
      <c r="B35" s="7" t="inlineStr">
        <is>
          <t>Development value if it had earned the PTC</t>
        </is>
      </c>
      <c r="C35" s="26">
        <f>C33+C34</f>
        <v/>
      </c>
    </row>
    <row r="36">
      <c r="B36" s="7" t="inlineStr">
        <is>
          <t>Development value without the PTC</t>
        </is>
      </c>
      <c r="C36" s="26">
        <f>C33</f>
        <v/>
      </c>
    </row>
    <row r="37">
      <c r="B37" s="7" t="inlineStr">
        <is>
          <t>Break-even PPA price without the credit ($/MWh)</t>
        </is>
      </c>
      <c r="C37" s="33">
        <f>w_u_price-C36/SUM($D$19:$AL$19)</f>
        <v/>
      </c>
    </row>
    <row r="38">
      <c r="B38" s="7" t="inlineStr">
        <is>
          <t>Break-even PPA price with the credit ($/MWh)</t>
        </is>
      </c>
      <c r="C38" s="33">
        <f>w_u_price-C35/SUM($D$19:$AL$19)</f>
        <v/>
      </c>
    </row>
    <row r="39">
      <c r="B39" s="7" t="inlineStr">
        <is>
          <t>PTC cash in 2028</t>
        </is>
      </c>
      <c r="C39" s="25">
        <f>D16</f>
        <v/>
      </c>
    </row>
    <row r="40">
      <c r="B40" s="7" t="inlineStr">
        <is>
          <t>Levelized cost without credits ($/MWh)</t>
        </is>
      </c>
      <c r="C40" s="33">
        <f>(C27/(1+r_c)+SUMPRODUCT($D$15:$AL$15,$D$17:$AL$17)+C32)/SUMPRODUCT($D$8:$AL$8,$D$17:$AL$17)</f>
        <v/>
      </c>
    </row>
    <row r="41">
      <c r="B41" s="7" t="inlineStr">
        <is>
          <t>Levelized cost with the PTC ($/MWh)</t>
        </is>
      </c>
      <c r="C41" s="33">
        <f>(C27/(1+r_c)+SUMPRODUCT($D$15:$AL$15,$D$17:$AL$17)-C34+C32)/SUMPRODUCT($D$8:$AL$8,$D$17:$AL$17)</f>
        <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B2:AL28"/>
  <sheetViews>
    <sheetView showGridLines="0" workbookViewId="0">
      <selection activeCell="A1" sqref="A1"/>
    </sheetView>
  </sheetViews>
  <sheetFormatPr baseColWidth="8" defaultRowHeight="15"/>
  <cols>
    <col width="2" customWidth="1" min="1" max="1"/>
    <col width="62"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s>
  <sheetData>
    <row r="2">
      <c r="B2" s="4" t="inlineStr">
        <is>
          <t>Hybrid option: 75 MW / 300 MWh battery behind the point of interconnection (chapter 13); base rates</t>
        </is>
      </c>
    </row>
    <row r="4">
      <c r="B4" s="14" t="inlineStr">
        <is>
          <t>Year</t>
        </is>
      </c>
      <c r="D4" s="29">
        <f>cod_year</f>
        <v/>
      </c>
      <c r="E4" s="29">
        <f>D4+1</f>
        <v/>
      </c>
      <c r="F4" s="29">
        <f>E4+1</f>
        <v/>
      </c>
      <c r="G4" s="29">
        <f>F4+1</f>
        <v/>
      </c>
      <c r="H4" s="29">
        <f>G4+1</f>
        <v/>
      </c>
      <c r="I4" s="29">
        <f>H4+1</f>
        <v/>
      </c>
      <c r="J4" s="29">
        <f>I4+1</f>
        <v/>
      </c>
      <c r="K4" s="29">
        <f>J4+1</f>
        <v/>
      </c>
      <c r="L4" s="29">
        <f>K4+1</f>
        <v/>
      </c>
      <c r="M4" s="29">
        <f>L4+1</f>
        <v/>
      </c>
      <c r="N4" s="29">
        <f>M4+1</f>
        <v/>
      </c>
      <c r="O4" s="29">
        <f>N4+1</f>
        <v/>
      </c>
      <c r="P4" s="29">
        <f>O4+1</f>
        <v/>
      </c>
      <c r="Q4" s="29">
        <f>P4+1</f>
        <v/>
      </c>
      <c r="R4" s="29">
        <f>Q4+1</f>
        <v/>
      </c>
      <c r="S4" s="29">
        <f>R4+1</f>
        <v/>
      </c>
      <c r="T4" s="29">
        <f>S4+1</f>
        <v/>
      </c>
      <c r="U4" s="29">
        <f>T4+1</f>
        <v/>
      </c>
      <c r="V4" s="29">
        <f>U4+1</f>
        <v/>
      </c>
      <c r="W4" s="29">
        <f>V4+1</f>
        <v/>
      </c>
      <c r="X4" s="29">
        <f>W4+1</f>
        <v/>
      </c>
      <c r="Y4" s="29">
        <f>X4+1</f>
        <v/>
      </c>
      <c r="Z4" s="29">
        <f>Y4+1</f>
        <v/>
      </c>
      <c r="AA4" s="29">
        <f>Z4+1</f>
        <v/>
      </c>
      <c r="AB4" s="29">
        <f>AA4+1</f>
        <v/>
      </c>
      <c r="AC4" s="29">
        <f>AB4+1</f>
        <v/>
      </c>
      <c r="AD4" s="29">
        <f>AC4+1</f>
        <v/>
      </c>
      <c r="AE4" s="29">
        <f>AD4+1</f>
        <v/>
      </c>
      <c r="AF4" s="29">
        <f>AE4+1</f>
        <v/>
      </c>
      <c r="AG4" s="29">
        <f>AF4+1</f>
        <v/>
      </c>
      <c r="AH4" s="29">
        <f>AG4+1</f>
        <v/>
      </c>
      <c r="AI4" s="29">
        <f>AH4+1</f>
        <v/>
      </c>
      <c r="AJ4" s="29">
        <f>AI4+1</f>
        <v/>
      </c>
      <c r="AK4" s="29">
        <f>AJ4+1</f>
        <v/>
      </c>
      <c r="AL4" s="29">
        <f>AK4+1</f>
        <v/>
      </c>
    </row>
    <row r="5">
      <c r="B5" s="14" t="inlineStr">
        <is>
          <t>t (years after commercial operation)</t>
        </is>
      </c>
      <c r="D5" s="30">
        <f>D4-cod_year</f>
        <v/>
      </c>
      <c r="E5" s="30">
        <f>E4-cod_year</f>
        <v/>
      </c>
      <c r="F5" s="30">
        <f>F4-cod_year</f>
        <v/>
      </c>
      <c r="G5" s="30">
        <f>G4-cod_year</f>
        <v/>
      </c>
      <c r="H5" s="30">
        <f>H4-cod_year</f>
        <v/>
      </c>
      <c r="I5" s="30">
        <f>I4-cod_year</f>
        <v/>
      </c>
      <c r="J5" s="30">
        <f>J4-cod_year</f>
        <v/>
      </c>
      <c r="K5" s="30">
        <f>K4-cod_year</f>
        <v/>
      </c>
      <c r="L5" s="30">
        <f>L4-cod_year</f>
        <v/>
      </c>
      <c r="M5" s="30">
        <f>M4-cod_year</f>
        <v/>
      </c>
      <c r="N5" s="30">
        <f>N4-cod_year</f>
        <v/>
      </c>
      <c r="O5" s="30">
        <f>O4-cod_year</f>
        <v/>
      </c>
      <c r="P5" s="30">
        <f>P4-cod_year</f>
        <v/>
      </c>
      <c r="Q5" s="30">
        <f>Q4-cod_year</f>
        <v/>
      </c>
      <c r="R5" s="30">
        <f>R4-cod_year</f>
        <v/>
      </c>
      <c r="S5" s="30">
        <f>S4-cod_year</f>
        <v/>
      </c>
      <c r="T5" s="30">
        <f>T4-cod_year</f>
        <v/>
      </c>
      <c r="U5" s="30">
        <f>U4-cod_year</f>
        <v/>
      </c>
      <c r="V5" s="30">
        <f>V4-cod_year</f>
        <v/>
      </c>
      <c r="W5" s="30">
        <f>W4-cod_year</f>
        <v/>
      </c>
      <c r="X5" s="30">
        <f>X4-cod_year</f>
        <v/>
      </c>
      <c r="Y5" s="30">
        <f>Y4-cod_year</f>
        <v/>
      </c>
      <c r="Z5" s="30">
        <f>Z4-cod_year</f>
        <v/>
      </c>
      <c r="AA5" s="30">
        <f>AA4-cod_year</f>
        <v/>
      </c>
      <c r="AB5" s="30">
        <f>AB4-cod_year</f>
        <v/>
      </c>
      <c r="AC5" s="30">
        <f>AC4-cod_year</f>
        <v/>
      </c>
      <c r="AD5" s="30">
        <f>AD4-cod_year</f>
        <v/>
      </c>
      <c r="AE5" s="30">
        <f>AE4-cod_year</f>
        <v/>
      </c>
      <c r="AF5" s="30">
        <f>AF4-cod_year</f>
        <v/>
      </c>
      <c r="AG5" s="30">
        <f>AG4-cod_year</f>
        <v/>
      </c>
      <c r="AH5" s="30">
        <f>AH4-cod_year</f>
        <v/>
      </c>
      <c r="AI5" s="30">
        <f>AI4-cod_year</f>
        <v/>
      </c>
      <c r="AJ5" s="30">
        <f>AJ4-cod_year</f>
        <v/>
      </c>
      <c r="AK5" s="30">
        <f>AK4-cod_year</f>
        <v/>
      </c>
      <c r="AL5" s="30">
        <f>AL4-cod_year</f>
        <v/>
      </c>
    </row>
    <row r="7">
      <c r="B7" s="7" t="inlineStr">
        <is>
          <t>Within the life (1 = yes)</t>
        </is>
      </c>
      <c r="D7" s="30">
        <f>IF(D$5&lt;h_life,1,0)</f>
        <v/>
      </c>
      <c r="E7" s="30">
        <f>IF(E$5&lt;h_life,1,0)</f>
        <v/>
      </c>
      <c r="F7" s="30">
        <f>IF(F$5&lt;h_life,1,0)</f>
        <v/>
      </c>
      <c r="G7" s="30">
        <f>IF(G$5&lt;h_life,1,0)</f>
        <v/>
      </c>
      <c r="H7" s="30">
        <f>IF(H$5&lt;h_life,1,0)</f>
        <v/>
      </c>
      <c r="I7" s="30">
        <f>IF(I$5&lt;h_life,1,0)</f>
        <v/>
      </c>
      <c r="J7" s="30">
        <f>IF(J$5&lt;h_life,1,0)</f>
        <v/>
      </c>
      <c r="K7" s="30">
        <f>IF(K$5&lt;h_life,1,0)</f>
        <v/>
      </c>
      <c r="L7" s="30">
        <f>IF(L$5&lt;h_life,1,0)</f>
        <v/>
      </c>
      <c r="M7" s="30">
        <f>IF(M$5&lt;h_life,1,0)</f>
        <v/>
      </c>
      <c r="N7" s="30">
        <f>IF(N$5&lt;h_life,1,0)</f>
        <v/>
      </c>
      <c r="O7" s="30">
        <f>IF(O$5&lt;h_life,1,0)</f>
        <v/>
      </c>
      <c r="P7" s="30">
        <f>IF(P$5&lt;h_life,1,0)</f>
        <v/>
      </c>
      <c r="Q7" s="30">
        <f>IF(Q$5&lt;h_life,1,0)</f>
        <v/>
      </c>
      <c r="R7" s="30">
        <f>IF(R$5&lt;h_life,1,0)</f>
        <v/>
      </c>
      <c r="S7" s="30">
        <f>IF(S$5&lt;h_life,1,0)</f>
        <v/>
      </c>
      <c r="T7" s="30">
        <f>IF(T$5&lt;h_life,1,0)</f>
        <v/>
      </c>
      <c r="U7" s="30">
        <f>IF(U$5&lt;h_life,1,0)</f>
        <v/>
      </c>
      <c r="V7" s="30">
        <f>IF(V$5&lt;h_life,1,0)</f>
        <v/>
      </c>
      <c r="W7" s="30">
        <f>IF(W$5&lt;h_life,1,0)</f>
        <v/>
      </c>
      <c r="X7" s="30">
        <f>IF(X$5&lt;h_life,1,0)</f>
        <v/>
      </c>
      <c r="Y7" s="30">
        <f>IF(Y$5&lt;h_life,1,0)</f>
        <v/>
      </c>
      <c r="Z7" s="30">
        <f>IF(Z$5&lt;h_life,1,0)</f>
        <v/>
      </c>
      <c r="AA7" s="30">
        <f>IF(AA$5&lt;h_life,1,0)</f>
        <v/>
      </c>
      <c r="AB7" s="30">
        <f>IF(AB$5&lt;h_life,1,0)</f>
        <v/>
      </c>
      <c r="AC7" s="30">
        <f>IF(AC$5&lt;h_life,1,0)</f>
        <v/>
      </c>
      <c r="AD7" s="30">
        <f>IF(AD$5&lt;h_life,1,0)</f>
        <v/>
      </c>
      <c r="AE7" s="30">
        <f>IF(AE$5&lt;h_life,1,0)</f>
        <v/>
      </c>
      <c r="AF7" s="30">
        <f>IF(AF$5&lt;h_life,1,0)</f>
        <v/>
      </c>
      <c r="AG7" s="30">
        <f>IF(AG$5&lt;h_life,1,0)</f>
        <v/>
      </c>
      <c r="AH7" s="30">
        <f>IF(AH$5&lt;h_life,1,0)</f>
        <v/>
      </c>
      <c r="AI7" s="30">
        <f>IF(AI$5&lt;h_life,1,0)</f>
        <v/>
      </c>
      <c r="AJ7" s="30">
        <f>IF(AJ$5&lt;h_life,1,0)</f>
        <v/>
      </c>
      <c r="AK7" s="30">
        <f>IF(AK$5&lt;h_life,1,0)</f>
        <v/>
      </c>
      <c r="AL7" s="30">
        <f>IF(AL$5&lt;h_life,1,0)</f>
        <v/>
      </c>
    </row>
    <row r="8">
      <c r="B8" s="7" t="inlineStr">
        <is>
          <t>Usable energy (MWh)</t>
        </is>
      </c>
      <c r="D8" s="23">
        <f>h_mwh*(1-h_deg)^D$5*D7</f>
        <v/>
      </c>
      <c r="E8" s="23">
        <f>h_mwh*(1-h_deg)^E$5*E7</f>
        <v/>
      </c>
      <c r="F8" s="23">
        <f>h_mwh*(1-h_deg)^F$5*F7</f>
        <v/>
      </c>
      <c r="G8" s="23">
        <f>h_mwh*(1-h_deg)^G$5*G7</f>
        <v/>
      </c>
      <c r="H8" s="23">
        <f>h_mwh*(1-h_deg)^H$5*H7</f>
        <v/>
      </c>
      <c r="I8" s="23">
        <f>h_mwh*(1-h_deg)^I$5*I7</f>
        <v/>
      </c>
      <c r="J8" s="23">
        <f>h_mwh*(1-h_deg)^J$5*J7</f>
        <v/>
      </c>
      <c r="K8" s="23">
        <f>h_mwh*(1-h_deg)^K$5*K7</f>
        <v/>
      </c>
      <c r="L8" s="23">
        <f>h_mwh*(1-h_deg)^L$5*L7</f>
        <v/>
      </c>
      <c r="M8" s="23">
        <f>h_mwh*(1-h_deg)^M$5*M7</f>
        <v/>
      </c>
      <c r="N8" s="23">
        <f>h_mwh*(1-h_deg)^N$5*N7</f>
        <v/>
      </c>
      <c r="O8" s="23">
        <f>h_mwh*(1-h_deg)^O$5*O7</f>
        <v/>
      </c>
      <c r="P8" s="23">
        <f>h_mwh*(1-h_deg)^P$5*P7</f>
        <v/>
      </c>
      <c r="Q8" s="23">
        <f>h_mwh*(1-h_deg)^Q$5*Q7</f>
        <v/>
      </c>
      <c r="R8" s="23">
        <f>h_mwh*(1-h_deg)^R$5*R7</f>
        <v/>
      </c>
      <c r="S8" s="23">
        <f>h_mwh*(1-h_deg)^S$5*S7</f>
        <v/>
      </c>
      <c r="T8" s="23">
        <f>h_mwh*(1-h_deg)^T$5*T7</f>
        <v/>
      </c>
      <c r="U8" s="23">
        <f>h_mwh*(1-h_deg)^U$5*U7</f>
        <v/>
      </c>
      <c r="V8" s="23">
        <f>h_mwh*(1-h_deg)^V$5*V7</f>
        <v/>
      </c>
      <c r="W8" s="23">
        <f>h_mwh*(1-h_deg)^W$5*W7</f>
        <v/>
      </c>
      <c r="X8" s="23">
        <f>h_mwh*(1-h_deg)^X$5*X7</f>
        <v/>
      </c>
      <c r="Y8" s="23">
        <f>h_mwh*(1-h_deg)^Y$5*Y7</f>
        <v/>
      </c>
      <c r="Z8" s="23">
        <f>h_mwh*(1-h_deg)^Z$5*Z7</f>
        <v/>
      </c>
      <c r="AA8" s="23">
        <f>h_mwh*(1-h_deg)^AA$5*AA7</f>
        <v/>
      </c>
      <c r="AB8" s="23">
        <f>h_mwh*(1-h_deg)^AB$5*AB7</f>
        <v/>
      </c>
      <c r="AC8" s="23">
        <f>h_mwh*(1-h_deg)^AC$5*AC7</f>
        <v/>
      </c>
      <c r="AD8" s="23">
        <f>h_mwh*(1-h_deg)^AD$5*AD7</f>
        <v/>
      </c>
      <c r="AE8" s="23">
        <f>h_mwh*(1-h_deg)^AE$5*AE7</f>
        <v/>
      </c>
      <c r="AF8" s="23">
        <f>h_mwh*(1-h_deg)^AF$5*AF7</f>
        <v/>
      </c>
      <c r="AG8" s="23">
        <f>h_mwh*(1-h_deg)^AG$5*AG7</f>
        <v/>
      </c>
      <c r="AH8" s="23">
        <f>h_mwh*(1-h_deg)^AH$5*AH7</f>
        <v/>
      </c>
      <c r="AI8" s="23">
        <f>h_mwh*(1-h_deg)^AI$5*AI7</f>
        <v/>
      </c>
      <c r="AJ8" s="23">
        <f>h_mwh*(1-h_deg)^AJ$5*AJ7</f>
        <v/>
      </c>
      <c r="AK8" s="23">
        <f>h_mwh*(1-h_deg)^AK$5*AK7</f>
        <v/>
      </c>
      <c r="AL8" s="23">
        <f>h_mwh*(1-h_deg)^AL$5*AL7</f>
        <v/>
      </c>
    </row>
    <row r="9">
      <c r="B9" s="7" t="inlineStr">
        <is>
          <t>Energy discharged (MWh)</t>
        </is>
      </c>
      <c r="D9" s="23">
        <f>D8*h_cycles*h_avail</f>
        <v/>
      </c>
      <c r="E9" s="23">
        <f>E8*h_cycles*h_avail</f>
        <v/>
      </c>
      <c r="F9" s="23">
        <f>F8*h_cycles*h_avail</f>
        <v/>
      </c>
      <c r="G9" s="23">
        <f>G8*h_cycles*h_avail</f>
        <v/>
      </c>
      <c r="H9" s="23">
        <f>H8*h_cycles*h_avail</f>
        <v/>
      </c>
      <c r="I9" s="23">
        <f>I8*h_cycles*h_avail</f>
        <v/>
      </c>
      <c r="J9" s="23">
        <f>J8*h_cycles*h_avail</f>
        <v/>
      </c>
      <c r="K9" s="23">
        <f>K8*h_cycles*h_avail</f>
        <v/>
      </c>
      <c r="L9" s="23">
        <f>L8*h_cycles*h_avail</f>
        <v/>
      </c>
      <c r="M9" s="23">
        <f>M8*h_cycles*h_avail</f>
        <v/>
      </c>
      <c r="N9" s="23">
        <f>N8*h_cycles*h_avail</f>
        <v/>
      </c>
      <c r="O9" s="23">
        <f>O8*h_cycles*h_avail</f>
        <v/>
      </c>
      <c r="P9" s="23">
        <f>P8*h_cycles*h_avail</f>
        <v/>
      </c>
      <c r="Q9" s="23">
        <f>Q8*h_cycles*h_avail</f>
        <v/>
      </c>
      <c r="R9" s="23">
        <f>R8*h_cycles*h_avail</f>
        <v/>
      </c>
      <c r="S9" s="23">
        <f>S8*h_cycles*h_avail</f>
        <v/>
      </c>
      <c r="T9" s="23">
        <f>T8*h_cycles*h_avail</f>
        <v/>
      </c>
      <c r="U9" s="23">
        <f>U8*h_cycles*h_avail</f>
        <v/>
      </c>
      <c r="V9" s="23">
        <f>V8*h_cycles*h_avail</f>
        <v/>
      </c>
      <c r="W9" s="23">
        <f>W8*h_cycles*h_avail</f>
        <v/>
      </c>
      <c r="X9" s="23">
        <f>X8*h_cycles*h_avail</f>
        <v/>
      </c>
      <c r="Y9" s="23">
        <f>Y8*h_cycles*h_avail</f>
        <v/>
      </c>
      <c r="Z9" s="23">
        <f>Z8*h_cycles*h_avail</f>
        <v/>
      </c>
      <c r="AA9" s="23">
        <f>AA8*h_cycles*h_avail</f>
        <v/>
      </c>
      <c r="AB9" s="23">
        <f>AB8*h_cycles*h_avail</f>
        <v/>
      </c>
      <c r="AC9" s="23">
        <f>AC8*h_cycles*h_avail</f>
        <v/>
      </c>
      <c r="AD9" s="23">
        <f>AD8*h_cycles*h_avail</f>
        <v/>
      </c>
      <c r="AE9" s="23">
        <f>AE8*h_cycles*h_avail</f>
        <v/>
      </c>
      <c r="AF9" s="23">
        <f>AF8*h_cycles*h_avail</f>
        <v/>
      </c>
      <c r="AG9" s="23">
        <f>AG8*h_cycles*h_avail</f>
        <v/>
      </c>
      <c r="AH9" s="23">
        <f>AH8*h_cycles*h_avail</f>
        <v/>
      </c>
      <c r="AI9" s="23">
        <f>AI8*h_cycles*h_avail</f>
        <v/>
      </c>
      <c r="AJ9" s="23">
        <f>AJ8*h_cycles*h_avail</f>
        <v/>
      </c>
      <c r="AK9" s="23">
        <f>AK8*h_cycles*h_avail</f>
        <v/>
      </c>
      <c r="AL9" s="23">
        <f>AL8*h_cycles*h_avail</f>
        <v/>
      </c>
    </row>
    <row r="10">
      <c r="B10" s="7" t="inlineStr">
        <is>
          <t>Energy charged (MWh)</t>
        </is>
      </c>
      <c r="D10" s="23">
        <f>D9/h_rte</f>
        <v/>
      </c>
      <c r="E10" s="23">
        <f>E9/h_rte</f>
        <v/>
      </c>
      <c r="F10" s="23">
        <f>F9/h_rte</f>
        <v/>
      </c>
      <c r="G10" s="23">
        <f>G9/h_rte</f>
        <v/>
      </c>
      <c r="H10" s="23">
        <f>H9/h_rte</f>
        <v/>
      </c>
      <c r="I10" s="23">
        <f>I9/h_rte</f>
        <v/>
      </c>
      <c r="J10" s="23">
        <f>J9/h_rte</f>
        <v/>
      </c>
      <c r="K10" s="23">
        <f>K9/h_rte</f>
        <v/>
      </c>
      <c r="L10" s="23">
        <f>L9/h_rte</f>
        <v/>
      </c>
      <c r="M10" s="23">
        <f>M9/h_rte</f>
        <v/>
      </c>
      <c r="N10" s="23">
        <f>N9/h_rte</f>
        <v/>
      </c>
      <c r="O10" s="23">
        <f>O9/h_rte</f>
        <v/>
      </c>
      <c r="P10" s="23">
        <f>P9/h_rte</f>
        <v/>
      </c>
      <c r="Q10" s="23">
        <f>Q9/h_rte</f>
        <v/>
      </c>
      <c r="R10" s="23">
        <f>R9/h_rte</f>
        <v/>
      </c>
      <c r="S10" s="23">
        <f>S9/h_rte</f>
        <v/>
      </c>
      <c r="T10" s="23">
        <f>T9/h_rte</f>
        <v/>
      </c>
      <c r="U10" s="23">
        <f>U9/h_rte</f>
        <v/>
      </c>
      <c r="V10" s="23">
        <f>V9/h_rte</f>
        <v/>
      </c>
      <c r="W10" s="23">
        <f>W9/h_rte</f>
        <v/>
      </c>
      <c r="X10" s="23">
        <f>X9/h_rte</f>
        <v/>
      </c>
      <c r="Y10" s="23">
        <f>Y9/h_rte</f>
        <v/>
      </c>
      <c r="Z10" s="23">
        <f>Z9/h_rte</f>
        <v/>
      </c>
      <c r="AA10" s="23">
        <f>AA9/h_rte</f>
        <v/>
      </c>
      <c r="AB10" s="23">
        <f>AB9/h_rte</f>
        <v/>
      </c>
      <c r="AC10" s="23">
        <f>AC9/h_rte</f>
        <v/>
      </c>
      <c r="AD10" s="23">
        <f>AD9/h_rte</f>
        <v/>
      </c>
      <c r="AE10" s="23">
        <f>AE9/h_rte</f>
        <v/>
      </c>
      <c r="AF10" s="23">
        <f>AF9/h_rte</f>
        <v/>
      </c>
      <c r="AG10" s="23">
        <f>AG9/h_rte</f>
        <v/>
      </c>
      <c r="AH10" s="23">
        <f>AH9/h_rte</f>
        <v/>
      </c>
      <c r="AI10" s="23">
        <f>AI9/h_rte</f>
        <v/>
      </c>
      <c r="AJ10" s="23">
        <f>AJ9/h_rte</f>
        <v/>
      </c>
      <c r="AK10" s="23">
        <f>AK9/h_rte</f>
        <v/>
      </c>
      <c r="AL10" s="23">
        <f>AL9/h_rte</f>
        <v/>
      </c>
    </row>
    <row r="11">
      <c r="B11" s="7" t="inlineStr">
        <is>
          <t>Evening price ($/MWh)</t>
        </is>
      </c>
      <c r="D11" s="32">
        <f>h_p_eve*(1+h_esc)^D$5*(1-h_spread_real_decline)^D$5</f>
        <v/>
      </c>
      <c r="E11" s="32">
        <f>h_p_eve*(1+h_esc)^E$5*(1-h_spread_real_decline)^E$5</f>
        <v/>
      </c>
      <c r="F11" s="32">
        <f>h_p_eve*(1+h_esc)^F$5*(1-h_spread_real_decline)^F$5</f>
        <v/>
      </c>
      <c r="G11" s="32">
        <f>h_p_eve*(1+h_esc)^G$5*(1-h_spread_real_decline)^G$5</f>
        <v/>
      </c>
      <c r="H11" s="32">
        <f>h_p_eve*(1+h_esc)^H$5*(1-h_spread_real_decline)^H$5</f>
        <v/>
      </c>
      <c r="I11" s="32">
        <f>h_p_eve*(1+h_esc)^I$5*(1-h_spread_real_decline)^I$5</f>
        <v/>
      </c>
      <c r="J11" s="32">
        <f>h_p_eve*(1+h_esc)^J$5*(1-h_spread_real_decline)^J$5</f>
        <v/>
      </c>
      <c r="K11" s="32">
        <f>h_p_eve*(1+h_esc)^K$5*(1-h_spread_real_decline)^K$5</f>
        <v/>
      </c>
      <c r="L11" s="32">
        <f>h_p_eve*(1+h_esc)^L$5*(1-h_spread_real_decline)^L$5</f>
        <v/>
      </c>
      <c r="M11" s="32">
        <f>h_p_eve*(1+h_esc)^M$5*(1-h_spread_real_decline)^M$5</f>
        <v/>
      </c>
      <c r="N11" s="32">
        <f>h_p_eve*(1+h_esc)^N$5*(1-h_spread_real_decline)^N$5</f>
        <v/>
      </c>
      <c r="O11" s="32">
        <f>h_p_eve*(1+h_esc)^O$5*(1-h_spread_real_decline)^O$5</f>
        <v/>
      </c>
      <c r="P11" s="32">
        <f>h_p_eve*(1+h_esc)^P$5*(1-h_spread_real_decline)^P$5</f>
        <v/>
      </c>
      <c r="Q11" s="32">
        <f>h_p_eve*(1+h_esc)^Q$5*(1-h_spread_real_decline)^Q$5</f>
        <v/>
      </c>
      <c r="R11" s="32">
        <f>h_p_eve*(1+h_esc)^R$5*(1-h_spread_real_decline)^R$5</f>
        <v/>
      </c>
      <c r="S11" s="32">
        <f>h_p_eve*(1+h_esc)^S$5*(1-h_spread_real_decline)^S$5</f>
        <v/>
      </c>
      <c r="T11" s="32">
        <f>h_p_eve*(1+h_esc)^T$5*(1-h_spread_real_decline)^T$5</f>
        <v/>
      </c>
      <c r="U11" s="32">
        <f>h_p_eve*(1+h_esc)^U$5*(1-h_spread_real_decline)^U$5</f>
        <v/>
      </c>
      <c r="V11" s="32">
        <f>h_p_eve*(1+h_esc)^V$5*(1-h_spread_real_decline)^V$5</f>
        <v/>
      </c>
      <c r="W11" s="32">
        <f>h_p_eve*(1+h_esc)^W$5*(1-h_spread_real_decline)^W$5</f>
        <v/>
      </c>
      <c r="X11" s="32">
        <f>h_p_eve*(1+h_esc)^X$5*(1-h_spread_real_decline)^X$5</f>
        <v/>
      </c>
      <c r="Y11" s="32">
        <f>h_p_eve*(1+h_esc)^Y$5*(1-h_spread_real_decline)^Y$5</f>
        <v/>
      </c>
      <c r="Z11" s="32">
        <f>h_p_eve*(1+h_esc)^Z$5*(1-h_spread_real_decline)^Z$5</f>
        <v/>
      </c>
      <c r="AA11" s="32">
        <f>h_p_eve*(1+h_esc)^AA$5*(1-h_spread_real_decline)^AA$5</f>
        <v/>
      </c>
      <c r="AB11" s="32">
        <f>h_p_eve*(1+h_esc)^AB$5*(1-h_spread_real_decline)^AB$5</f>
        <v/>
      </c>
      <c r="AC11" s="32">
        <f>h_p_eve*(1+h_esc)^AC$5*(1-h_spread_real_decline)^AC$5</f>
        <v/>
      </c>
      <c r="AD11" s="32">
        <f>h_p_eve*(1+h_esc)^AD$5*(1-h_spread_real_decline)^AD$5</f>
        <v/>
      </c>
      <c r="AE11" s="32">
        <f>h_p_eve*(1+h_esc)^AE$5*(1-h_spread_real_decline)^AE$5</f>
        <v/>
      </c>
      <c r="AF11" s="32">
        <f>h_p_eve*(1+h_esc)^AF$5*(1-h_spread_real_decline)^AF$5</f>
        <v/>
      </c>
      <c r="AG11" s="32">
        <f>h_p_eve*(1+h_esc)^AG$5*(1-h_spread_real_decline)^AG$5</f>
        <v/>
      </c>
      <c r="AH11" s="32">
        <f>h_p_eve*(1+h_esc)^AH$5*(1-h_spread_real_decline)^AH$5</f>
        <v/>
      </c>
      <c r="AI11" s="32">
        <f>h_p_eve*(1+h_esc)^AI$5*(1-h_spread_real_decline)^AI$5</f>
        <v/>
      </c>
      <c r="AJ11" s="32">
        <f>h_p_eve*(1+h_esc)^AJ$5*(1-h_spread_real_decline)^AJ$5</f>
        <v/>
      </c>
      <c r="AK11" s="32">
        <f>h_p_eve*(1+h_esc)^AK$5*(1-h_spread_real_decline)^AK$5</f>
        <v/>
      </c>
      <c r="AL11" s="32">
        <f>h_p_eve*(1+h_esc)^AL$5*(1-h_spread_real_decline)^AL$5</f>
        <v/>
      </c>
    </row>
    <row r="12">
      <c r="B12" s="7" t="inlineStr">
        <is>
          <t>Midday charging price ($/MWh)</t>
        </is>
      </c>
      <c r="D12" s="32">
        <f>h_p_mid*(1+h_esc)^D$5</f>
        <v/>
      </c>
      <c r="E12" s="32">
        <f>h_p_mid*(1+h_esc)^E$5</f>
        <v/>
      </c>
      <c r="F12" s="32">
        <f>h_p_mid*(1+h_esc)^F$5</f>
        <v/>
      </c>
      <c r="G12" s="32">
        <f>h_p_mid*(1+h_esc)^G$5</f>
        <v/>
      </c>
      <c r="H12" s="32">
        <f>h_p_mid*(1+h_esc)^H$5</f>
        <v/>
      </c>
      <c r="I12" s="32">
        <f>h_p_mid*(1+h_esc)^I$5</f>
        <v/>
      </c>
      <c r="J12" s="32">
        <f>h_p_mid*(1+h_esc)^J$5</f>
        <v/>
      </c>
      <c r="K12" s="32">
        <f>h_p_mid*(1+h_esc)^K$5</f>
        <v/>
      </c>
      <c r="L12" s="32">
        <f>h_p_mid*(1+h_esc)^L$5</f>
        <v/>
      </c>
      <c r="M12" s="32">
        <f>h_p_mid*(1+h_esc)^M$5</f>
        <v/>
      </c>
      <c r="N12" s="32">
        <f>h_p_mid*(1+h_esc)^N$5</f>
        <v/>
      </c>
      <c r="O12" s="32">
        <f>h_p_mid*(1+h_esc)^O$5</f>
        <v/>
      </c>
      <c r="P12" s="32">
        <f>h_p_mid*(1+h_esc)^P$5</f>
        <v/>
      </c>
      <c r="Q12" s="32">
        <f>h_p_mid*(1+h_esc)^Q$5</f>
        <v/>
      </c>
      <c r="R12" s="32">
        <f>h_p_mid*(1+h_esc)^R$5</f>
        <v/>
      </c>
      <c r="S12" s="32">
        <f>h_p_mid*(1+h_esc)^S$5</f>
        <v/>
      </c>
      <c r="T12" s="32">
        <f>h_p_mid*(1+h_esc)^T$5</f>
        <v/>
      </c>
      <c r="U12" s="32">
        <f>h_p_mid*(1+h_esc)^U$5</f>
        <v/>
      </c>
      <c r="V12" s="32">
        <f>h_p_mid*(1+h_esc)^V$5</f>
        <v/>
      </c>
      <c r="W12" s="32">
        <f>h_p_mid*(1+h_esc)^W$5</f>
        <v/>
      </c>
      <c r="X12" s="32">
        <f>h_p_mid*(1+h_esc)^X$5</f>
        <v/>
      </c>
      <c r="Y12" s="32">
        <f>h_p_mid*(1+h_esc)^Y$5</f>
        <v/>
      </c>
      <c r="Z12" s="32">
        <f>h_p_mid*(1+h_esc)^Z$5</f>
        <v/>
      </c>
      <c r="AA12" s="32">
        <f>h_p_mid*(1+h_esc)^AA$5</f>
        <v/>
      </c>
      <c r="AB12" s="32">
        <f>h_p_mid*(1+h_esc)^AB$5</f>
        <v/>
      </c>
      <c r="AC12" s="32">
        <f>h_p_mid*(1+h_esc)^AC$5</f>
        <v/>
      </c>
      <c r="AD12" s="32">
        <f>h_p_mid*(1+h_esc)^AD$5</f>
        <v/>
      </c>
      <c r="AE12" s="32">
        <f>h_p_mid*(1+h_esc)^AE$5</f>
        <v/>
      </c>
      <c r="AF12" s="32">
        <f>h_p_mid*(1+h_esc)^AF$5</f>
        <v/>
      </c>
      <c r="AG12" s="32">
        <f>h_p_mid*(1+h_esc)^AG$5</f>
        <v/>
      </c>
      <c r="AH12" s="32">
        <f>h_p_mid*(1+h_esc)^AH$5</f>
        <v/>
      </c>
      <c r="AI12" s="32">
        <f>h_p_mid*(1+h_esc)^AI$5</f>
        <v/>
      </c>
      <c r="AJ12" s="32">
        <f>h_p_mid*(1+h_esc)^AJ$5</f>
        <v/>
      </c>
      <c r="AK12" s="32">
        <f>h_p_mid*(1+h_esc)^AK$5</f>
        <v/>
      </c>
      <c r="AL12" s="32">
        <f>h_p_mid*(1+h_esc)^AL$5</f>
        <v/>
      </c>
    </row>
    <row r="13">
      <c r="B13" s="7" t="inlineStr">
        <is>
          <t>Shifting margin ($)</t>
        </is>
      </c>
      <c r="D13" s="25">
        <f>D9*D11-D10*D12</f>
        <v/>
      </c>
      <c r="E13" s="25">
        <f>E9*E11-E10*E12</f>
        <v/>
      </c>
      <c r="F13" s="25">
        <f>F9*F11-F10*F12</f>
        <v/>
      </c>
      <c r="G13" s="25">
        <f>G9*G11-G10*G12</f>
        <v/>
      </c>
      <c r="H13" s="25">
        <f>H9*H11-H10*H12</f>
        <v/>
      </c>
      <c r="I13" s="25">
        <f>I9*I11-I10*I12</f>
        <v/>
      </c>
      <c r="J13" s="25">
        <f>J9*J11-J10*J12</f>
        <v/>
      </c>
      <c r="K13" s="25">
        <f>K9*K11-K10*K12</f>
        <v/>
      </c>
      <c r="L13" s="25">
        <f>L9*L11-L10*L12</f>
        <v/>
      </c>
      <c r="M13" s="25">
        <f>M9*M11-M10*M12</f>
        <v/>
      </c>
      <c r="N13" s="25">
        <f>N9*N11-N10*N12</f>
        <v/>
      </c>
      <c r="O13" s="25">
        <f>O9*O11-O10*O12</f>
        <v/>
      </c>
      <c r="P13" s="25">
        <f>P9*P11-P10*P12</f>
        <v/>
      </c>
      <c r="Q13" s="25">
        <f>Q9*Q11-Q10*Q12</f>
        <v/>
      </c>
      <c r="R13" s="25">
        <f>R9*R11-R10*R12</f>
        <v/>
      </c>
      <c r="S13" s="25">
        <f>S9*S11-S10*S12</f>
        <v/>
      </c>
      <c r="T13" s="25">
        <f>T9*T11-T10*T12</f>
        <v/>
      </c>
      <c r="U13" s="25">
        <f>U9*U11-U10*U12</f>
        <v/>
      </c>
      <c r="V13" s="25">
        <f>V9*V11-V10*V12</f>
        <v/>
      </c>
      <c r="W13" s="25">
        <f>W9*W11-W10*W12</f>
        <v/>
      </c>
      <c r="X13" s="25">
        <f>X9*X11-X10*X12</f>
        <v/>
      </c>
      <c r="Y13" s="25">
        <f>Y9*Y11-Y10*Y12</f>
        <v/>
      </c>
      <c r="Z13" s="25">
        <f>Z9*Z11-Z10*Z12</f>
        <v/>
      </c>
      <c r="AA13" s="25">
        <f>AA9*AA11-AA10*AA12</f>
        <v/>
      </c>
      <c r="AB13" s="25">
        <f>AB9*AB11-AB10*AB12</f>
        <v/>
      </c>
      <c r="AC13" s="25">
        <f>AC9*AC11-AC10*AC12</f>
        <v/>
      </c>
      <c r="AD13" s="25">
        <f>AD9*AD11-AD10*AD12</f>
        <v/>
      </c>
      <c r="AE13" s="25">
        <f>AE9*AE11-AE10*AE12</f>
        <v/>
      </c>
      <c r="AF13" s="25">
        <f>AF9*AF11-AF10*AF12</f>
        <v/>
      </c>
      <c r="AG13" s="25">
        <f>AG9*AG11-AG10*AG12</f>
        <v/>
      </c>
      <c r="AH13" s="25">
        <f>AH9*AH11-AH10*AH12</f>
        <v/>
      </c>
      <c r="AI13" s="25">
        <f>AI9*AI11-AI10*AI12</f>
        <v/>
      </c>
      <c r="AJ13" s="25">
        <f>AJ9*AJ11-AJ10*AJ12</f>
        <v/>
      </c>
      <c r="AK13" s="25">
        <f>AK9*AK11-AK10*AK12</f>
        <v/>
      </c>
      <c r="AL13" s="25">
        <f>AL9*AL11-AL10*AL12</f>
        <v/>
      </c>
    </row>
    <row r="14">
      <c r="B14" s="7" t="inlineStr">
        <is>
          <t>Recovered clipped energy ($)</t>
        </is>
      </c>
      <c r="D14" s="25">
        <f>h_clip_mwh*h_rte*D11*D7</f>
        <v/>
      </c>
      <c r="E14" s="25">
        <f>h_clip_mwh*h_rte*E11*E7</f>
        <v/>
      </c>
      <c r="F14" s="25">
        <f>h_clip_mwh*h_rte*F11*F7</f>
        <v/>
      </c>
      <c r="G14" s="25">
        <f>h_clip_mwh*h_rte*G11*G7</f>
        <v/>
      </c>
      <c r="H14" s="25">
        <f>h_clip_mwh*h_rte*H11*H7</f>
        <v/>
      </c>
      <c r="I14" s="25">
        <f>h_clip_mwh*h_rte*I11*I7</f>
        <v/>
      </c>
      <c r="J14" s="25">
        <f>h_clip_mwh*h_rte*J11*J7</f>
        <v/>
      </c>
      <c r="K14" s="25">
        <f>h_clip_mwh*h_rte*K11*K7</f>
        <v/>
      </c>
      <c r="L14" s="25">
        <f>h_clip_mwh*h_rte*L11*L7</f>
        <v/>
      </c>
      <c r="M14" s="25">
        <f>h_clip_mwh*h_rte*M11*M7</f>
        <v/>
      </c>
      <c r="N14" s="25">
        <f>h_clip_mwh*h_rte*N11*N7</f>
        <v/>
      </c>
      <c r="O14" s="25">
        <f>h_clip_mwh*h_rte*O11*O7</f>
        <v/>
      </c>
      <c r="P14" s="25">
        <f>h_clip_mwh*h_rte*P11*P7</f>
        <v/>
      </c>
      <c r="Q14" s="25">
        <f>h_clip_mwh*h_rte*Q11*Q7</f>
        <v/>
      </c>
      <c r="R14" s="25">
        <f>h_clip_mwh*h_rte*R11*R7</f>
        <v/>
      </c>
      <c r="S14" s="25">
        <f>h_clip_mwh*h_rte*S11*S7</f>
        <v/>
      </c>
      <c r="T14" s="25">
        <f>h_clip_mwh*h_rte*T11*T7</f>
        <v/>
      </c>
      <c r="U14" s="25">
        <f>h_clip_mwh*h_rte*U11*U7</f>
        <v/>
      </c>
      <c r="V14" s="25">
        <f>h_clip_mwh*h_rte*V11*V7</f>
        <v/>
      </c>
      <c r="W14" s="25">
        <f>h_clip_mwh*h_rte*W11*W7</f>
        <v/>
      </c>
      <c r="X14" s="25">
        <f>h_clip_mwh*h_rte*X11*X7</f>
        <v/>
      </c>
      <c r="Y14" s="25">
        <f>h_clip_mwh*h_rte*Y11*Y7</f>
        <v/>
      </c>
      <c r="Z14" s="25">
        <f>h_clip_mwh*h_rte*Z11*Z7</f>
        <v/>
      </c>
      <c r="AA14" s="25">
        <f>h_clip_mwh*h_rte*AA11*AA7</f>
        <v/>
      </c>
      <c r="AB14" s="25">
        <f>h_clip_mwh*h_rte*AB11*AB7</f>
        <v/>
      </c>
      <c r="AC14" s="25">
        <f>h_clip_mwh*h_rte*AC11*AC7</f>
        <v/>
      </c>
      <c r="AD14" s="25">
        <f>h_clip_mwh*h_rte*AD11*AD7</f>
        <v/>
      </c>
      <c r="AE14" s="25">
        <f>h_clip_mwh*h_rte*AE11*AE7</f>
        <v/>
      </c>
      <c r="AF14" s="25">
        <f>h_clip_mwh*h_rte*AF11*AF7</f>
        <v/>
      </c>
      <c r="AG14" s="25">
        <f>h_clip_mwh*h_rte*AG11*AG7</f>
        <v/>
      </c>
      <c r="AH14" s="25">
        <f>h_clip_mwh*h_rte*AH11*AH7</f>
        <v/>
      </c>
      <c r="AI14" s="25">
        <f>h_clip_mwh*h_rte*AI11*AI7</f>
        <v/>
      </c>
      <c r="AJ14" s="25">
        <f>h_clip_mwh*h_rte*AJ11*AJ7</f>
        <v/>
      </c>
      <c r="AK14" s="25">
        <f>h_clip_mwh*h_rte*AK11*AK7</f>
        <v/>
      </c>
      <c r="AL14" s="25">
        <f>h_clip_mwh*h_rte*AL11*AL7</f>
        <v/>
      </c>
    </row>
    <row r="15">
      <c r="B15" s="7" t="inlineStr">
        <is>
          <t>Accreditation</t>
        </is>
      </c>
      <c r="D15" s="21">
        <f>h_cap_acc*D8/h_mwh</f>
        <v/>
      </c>
      <c r="E15" s="21">
        <f>h_cap_acc*E8/h_mwh</f>
        <v/>
      </c>
      <c r="F15" s="21">
        <f>h_cap_acc*F8/h_mwh</f>
        <v/>
      </c>
      <c r="G15" s="21">
        <f>h_cap_acc*G8/h_mwh</f>
        <v/>
      </c>
      <c r="H15" s="21">
        <f>h_cap_acc*H8/h_mwh</f>
        <v/>
      </c>
      <c r="I15" s="21">
        <f>h_cap_acc*I8/h_mwh</f>
        <v/>
      </c>
      <c r="J15" s="21">
        <f>h_cap_acc*J8/h_mwh</f>
        <v/>
      </c>
      <c r="K15" s="21">
        <f>h_cap_acc*K8/h_mwh</f>
        <v/>
      </c>
      <c r="L15" s="21">
        <f>h_cap_acc*L8/h_mwh</f>
        <v/>
      </c>
      <c r="M15" s="21">
        <f>h_cap_acc*M8/h_mwh</f>
        <v/>
      </c>
      <c r="N15" s="21">
        <f>h_cap_acc*N8/h_mwh</f>
        <v/>
      </c>
      <c r="O15" s="21">
        <f>h_cap_acc*O8/h_mwh</f>
        <v/>
      </c>
      <c r="P15" s="21">
        <f>h_cap_acc*P8/h_mwh</f>
        <v/>
      </c>
      <c r="Q15" s="21">
        <f>h_cap_acc*Q8/h_mwh</f>
        <v/>
      </c>
      <c r="R15" s="21">
        <f>h_cap_acc*R8/h_mwh</f>
        <v/>
      </c>
      <c r="S15" s="21">
        <f>h_cap_acc*S8/h_mwh</f>
        <v/>
      </c>
      <c r="T15" s="21">
        <f>h_cap_acc*T8/h_mwh</f>
        <v/>
      </c>
      <c r="U15" s="21">
        <f>h_cap_acc*U8/h_mwh</f>
        <v/>
      </c>
      <c r="V15" s="21">
        <f>h_cap_acc*V8/h_mwh</f>
        <v/>
      </c>
      <c r="W15" s="21">
        <f>h_cap_acc*W8/h_mwh</f>
        <v/>
      </c>
      <c r="X15" s="21">
        <f>h_cap_acc*X8/h_mwh</f>
        <v/>
      </c>
      <c r="Y15" s="21">
        <f>h_cap_acc*Y8/h_mwh</f>
        <v/>
      </c>
      <c r="Z15" s="21">
        <f>h_cap_acc*Z8/h_mwh</f>
        <v/>
      </c>
      <c r="AA15" s="21">
        <f>h_cap_acc*AA8/h_mwh</f>
        <v/>
      </c>
      <c r="AB15" s="21">
        <f>h_cap_acc*AB8/h_mwh</f>
        <v/>
      </c>
      <c r="AC15" s="21">
        <f>h_cap_acc*AC8/h_mwh</f>
        <v/>
      </c>
      <c r="AD15" s="21">
        <f>h_cap_acc*AD8/h_mwh</f>
        <v/>
      </c>
      <c r="AE15" s="21">
        <f>h_cap_acc*AE8/h_mwh</f>
        <v/>
      </c>
      <c r="AF15" s="21">
        <f>h_cap_acc*AF8/h_mwh</f>
        <v/>
      </c>
      <c r="AG15" s="21">
        <f>h_cap_acc*AG8/h_mwh</f>
        <v/>
      </c>
      <c r="AH15" s="21">
        <f>h_cap_acc*AH8/h_mwh</f>
        <v/>
      </c>
      <c r="AI15" s="21">
        <f>h_cap_acc*AI8/h_mwh</f>
        <v/>
      </c>
      <c r="AJ15" s="21">
        <f>h_cap_acc*AJ8/h_mwh</f>
        <v/>
      </c>
      <c r="AK15" s="21">
        <f>h_cap_acc*AK8/h_mwh</f>
        <v/>
      </c>
      <c r="AL15" s="21">
        <f>h_cap_acc*AL8/h_mwh</f>
        <v/>
      </c>
    </row>
    <row r="16">
      <c r="B16" s="7" t="inlineStr">
        <is>
          <t>Merchant capacity ($)</t>
        </is>
      </c>
      <c r="D16" s="25">
        <f>h_mw*D15*cap_mwday*days_year</f>
        <v/>
      </c>
      <c r="E16" s="25">
        <f>h_mw*E15*cap_mwday*days_year</f>
        <v/>
      </c>
      <c r="F16" s="25">
        <f>h_mw*F15*cap_mwday*days_year</f>
        <v/>
      </c>
      <c r="G16" s="25">
        <f>h_mw*G15*cap_mwday*days_year</f>
        <v/>
      </c>
      <c r="H16" s="25">
        <f>h_mw*H15*cap_mwday*days_year</f>
        <v/>
      </c>
      <c r="I16" s="25">
        <f>h_mw*I15*cap_mwday*days_year</f>
        <v/>
      </c>
      <c r="J16" s="25">
        <f>h_mw*J15*cap_mwday*days_year</f>
        <v/>
      </c>
      <c r="K16" s="25">
        <f>h_mw*K15*cap_mwday*days_year</f>
        <v/>
      </c>
      <c r="L16" s="25">
        <f>h_mw*L15*cap_mwday*days_year</f>
        <v/>
      </c>
      <c r="M16" s="25">
        <f>h_mw*M15*cap_mwday*days_year</f>
        <v/>
      </c>
      <c r="N16" s="25">
        <f>h_mw*N15*cap_mwday*days_year</f>
        <v/>
      </c>
      <c r="O16" s="25">
        <f>h_mw*O15*cap_mwday*days_year</f>
        <v/>
      </c>
      <c r="P16" s="25">
        <f>h_mw*P15*cap_mwday*days_year</f>
        <v/>
      </c>
      <c r="Q16" s="25">
        <f>h_mw*Q15*cap_mwday*days_year</f>
        <v/>
      </c>
      <c r="R16" s="25">
        <f>h_mw*R15*cap_mwday*days_year</f>
        <v/>
      </c>
      <c r="S16" s="25">
        <f>h_mw*S15*cap_mwday*days_year</f>
        <v/>
      </c>
      <c r="T16" s="25">
        <f>h_mw*T15*cap_mwday*days_year</f>
        <v/>
      </c>
      <c r="U16" s="25">
        <f>h_mw*U15*cap_mwday*days_year</f>
        <v/>
      </c>
      <c r="V16" s="25">
        <f>h_mw*V15*cap_mwday*days_year</f>
        <v/>
      </c>
      <c r="W16" s="25">
        <f>h_mw*W15*cap_mwday*days_year</f>
        <v/>
      </c>
      <c r="X16" s="25">
        <f>h_mw*X15*cap_mwday*days_year</f>
        <v/>
      </c>
      <c r="Y16" s="25">
        <f>h_mw*Y15*cap_mwday*days_year</f>
        <v/>
      </c>
      <c r="Z16" s="25">
        <f>h_mw*Z15*cap_mwday*days_year</f>
        <v/>
      </c>
      <c r="AA16" s="25">
        <f>h_mw*AA15*cap_mwday*days_year</f>
        <v/>
      </c>
      <c r="AB16" s="25">
        <f>h_mw*AB15*cap_mwday*days_year</f>
        <v/>
      </c>
      <c r="AC16" s="25">
        <f>h_mw*AC15*cap_mwday*days_year</f>
        <v/>
      </c>
      <c r="AD16" s="25">
        <f>h_mw*AD15*cap_mwday*days_year</f>
        <v/>
      </c>
      <c r="AE16" s="25">
        <f>h_mw*AE15*cap_mwday*days_year</f>
        <v/>
      </c>
      <c r="AF16" s="25">
        <f>h_mw*AF15*cap_mwday*days_year</f>
        <v/>
      </c>
      <c r="AG16" s="25">
        <f>h_mw*AG15*cap_mwday*days_year</f>
        <v/>
      </c>
      <c r="AH16" s="25">
        <f>h_mw*AH15*cap_mwday*days_year</f>
        <v/>
      </c>
      <c r="AI16" s="25">
        <f>h_mw*AI15*cap_mwday*days_year</f>
        <v/>
      </c>
      <c r="AJ16" s="25">
        <f>h_mw*AJ15*cap_mwday*days_year</f>
        <v/>
      </c>
      <c r="AK16" s="25">
        <f>h_mw*AK15*cap_mwday*days_year</f>
        <v/>
      </c>
      <c r="AL16" s="25">
        <f>h_mw*AL15*cap_mwday*days_year</f>
        <v/>
      </c>
    </row>
    <row r="17">
      <c r="B17" s="7" t="inlineStr">
        <is>
          <t>Operating cost ($)</t>
        </is>
      </c>
      <c r="D17" s="25">
        <f>h_opex_kw*h_mw*1000*(1+opex_esc)^D$5*D7</f>
        <v/>
      </c>
      <c r="E17" s="25">
        <f>h_opex_kw*h_mw*1000*(1+opex_esc)^E$5*E7</f>
        <v/>
      </c>
      <c r="F17" s="25">
        <f>h_opex_kw*h_mw*1000*(1+opex_esc)^F$5*F7</f>
        <v/>
      </c>
      <c r="G17" s="25">
        <f>h_opex_kw*h_mw*1000*(1+opex_esc)^G$5*G7</f>
        <v/>
      </c>
      <c r="H17" s="25">
        <f>h_opex_kw*h_mw*1000*(1+opex_esc)^H$5*H7</f>
        <v/>
      </c>
      <c r="I17" s="25">
        <f>h_opex_kw*h_mw*1000*(1+opex_esc)^I$5*I7</f>
        <v/>
      </c>
      <c r="J17" s="25">
        <f>h_opex_kw*h_mw*1000*(1+opex_esc)^J$5*J7</f>
        <v/>
      </c>
      <c r="K17" s="25">
        <f>h_opex_kw*h_mw*1000*(1+opex_esc)^K$5*K7</f>
        <v/>
      </c>
      <c r="L17" s="25">
        <f>h_opex_kw*h_mw*1000*(1+opex_esc)^L$5*L7</f>
        <v/>
      </c>
      <c r="M17" s="25">
        <f>h_opex_kw*h_mw*1000*(1+opex_esc)^M$5*M7</f>
        <v/>
      </c>
      <c r="N17" s="25">
        <f>h_opex_kw*h_mw*1000*(1+opex_esc)^N$5*N7</f>
        <v/>
      </c>
      <c r="O17" s="25">
        <f>h_opex_kw*h_mw*1000*(1+opex_esc)^O$5*O7</f>
        <v/>
      </c>
      <c r="P17" s="25">
        <f>h_opex_kw*h_mw*1000*(1+opex_esc)^P$5*P7</f>
        <v/>
      </c>
      <c r="Q17" s="25">
        <f>h_opex_kw*h_mw*1000*(1+opex_esc)^Q$5*Q7</f>
        <v/>
      </c>
      <c r="R17" s="25">
        <f>h_opex_kw*h_mw*1000*(1+opex_esc)^R$5*R7</f>
        <v/>
      </c>
      <c r="S17" s="25">
        <f>h_opex_kw*h_mw*1000*(1+opex_esc)^S$5*S7</f>
        <v/>
      </c>
      <c r="T17" s="25">
        <f>h_opex_kw*h_mw*1000*(1+opex_esc)^T$5*T7</f>
        <v/>
      </c>
      <c r="U17" s="25">
        <f>h_opex_kw*h_mw*1000*(1+opex_esc)^U$5*U7</f>
        <v/>
      </c>
      <c r="V17" s="25">
        <f>h_opex_kw*h_mw*1000*(1+opex_esc)^V$5*V7</f>
        <v/>
      </c>
      <c r="W17" s="25">
        <f>h_opex_kw*h_mw*1000*(1+opex_esc)^W$5*W7</f>
        <v/>
      </c>
      <c r="X17" s="25">
        <f>h_opex_kw*h_mw*1000*(1+opex_esc)^X$5*X7</f>
        <v/>
      </c>
      <c r="Y17" s="25">
        <f>h_opex_kw*h_mw*1000*(1+opex_esc)^Y$5*Y7</f>
        <v/>
      </c>
      <c r="Z17" s="25">
        <f>h_opex_kw*h_mw*1000*(1+opex_esc)^Z$5*Z7</f>
        <v/>
      </c>
      <c r="AA17" s="25">
        <f>h_opex_kw*h_mw*1000*(1+opex_esc)^AA$5*AA7</f>
        <v/>
      </c>
      <c r="AB17" s="25">
        <f>h_opex_kw*h_mw*1000*(1+opex_esc)^AB$5*AB7</f>
        <v/>
      </c>
      <c r="AC17" s="25">
        <f>h_opex_kw*h_mw*1000*(1+opex_esc)^AC$5*AC7</f>
        <v/>
      </c>
      <c r="AD17" s="25">
        <f>h_opex_kw*h_mw*1000*(1+opex_esc)^AD$5*AD7</f>
        <v/>
      </c>
      <c r="AE17" s="25">
        <f>h_opex_kw*h_mw*1000*(1+opex_esc)^AE$5*AE7</f>
        <v/>
      </c>
      <c r="AF17" s="25">
        <f>h_opex_kw*h_mw*1000*(1+opex_esc)^AF$5*AF7</f>
        <v/>
      </c>
      <c r="AG17" s="25">
        <f>h_opex_kw*h_mw*1000*(1+opex_esc)^AG$5*AG7</f>
        <v/>
      </c>
      <c r="AH17" s="25">
        <f>h_opex_kw*h_mw*1000*(1+opex_esc)^AH$5*AH7</f>
        <v/>
      </c>
      <c r="AI17" s="25">
        <f>h_opex_kw*h_mw*1000*(1+opex_esc)^AI$5*AI7</f>
        <v/>
      </c>
      <c r="AJ17" s="25">
        <f>h_opex_kw*h_mw*1000*(1+opex_esc)^AJ$5*AJ7</f>
        <v/>
      </c>
      <c r="AK17" s="25">
        <f>h_opex_kw*h_mw*1000*(1+opex_esc)^AK$5*AK7</f>
        <v/>
      </c>
      <c r="AL17" s="25">
        <f>h_opex_kw*h_mw*1000*(1+opex_esc)^AL$5*AL7</f>
        <v/>
      </c>
    </row>
    <row r="18">
      <c r="B18" s="14" t="inlineStr">
        <is>
          <t>EBITDA, merchant ($)</t>
        </is>
      </c>
      <c r="D18" s="26">
        <f>D13+D14+D16-D17</f>
        <v/>
      </c>
      <c r="E18" s="26">
        <f>E13+E14+E16-E17</f>
        <v/>
      </c>
      <c r="F18" s="26">
        <f>F13+F14+F16-F17</f>
        <v/>
      </c>
      <c r="G18" s="26">
        <f>G13+G14+G16-G17</f>
        <v/>
      </c>
      <c r="H18" s="26">
        <f>H13+H14+H16-H17</f>
        <v/>
      </c>
      <c r="I18" s="26">
        <f>I13+I14+I16-I17</f>
        <v/>
      </c>
      <c r="J18" s="26">
        <f>J13+J14+J16-J17</f>
        <v/>
      </c>
      <c r="K18" s="26">
        <f>K13+K14+K16-K17</f>
        <v/>
      </c>
      <c r="L18" s="26">
        <f>L13+L14+L16-L17</f>
        <v/>
      </c>
      <c r="M18" s="26">
        <f>M13+M14+M16-M17</f>
        <v/>
      </c>
      <c r="N18" s="26">
        <f>N13+N14+N16-N17</f>
        <v/>
      </c>
      <c r="O18" s="26">
        <f>O13+O14+O16-O17</f>
        <v/>
      </c>
      <c r="P18" s="26">
        <f>P13+P14+P16-P17</f>
        <v/>
      </c>
      <c r="Q18" s="26">
        <f>Q13+Q14+Q16-Q17</f>
        <v/>
      </c>
      <c r="R18" s="26">
        <f>R13+R14+R16-R17</f>
        <v/>
      </c>
      <c r="S18" s="26">
        <f>S13+S14+S16-S17</f>
        <v/>
      </c>
      <c r="T18" s="26">
        <f>T13+T14+T16-T17</f>
        <v/>
      </c>
      <c r="U18" s="26">
        <f>U13+U14+U16-U17</f>
        <v/>
      </c>
      <c r="V18" s="26">
        <f>V13+V14+V16-V17</f>
        <v/>
      </c>
      <c r="W18" s="26">
        <f>W13+W14+W16-W17</f>
        <v/>
      </c>
      <c r="X18" s="26">
        <f>X13+X14+X16-X17</f>
        <v/>
      </c>
      <c r="Y18" s="26">
        <f>Y13+Y14+Y16-Y17</f>
        <v/>
      </c>
      <c r="Z18" s="26">
        <f>Z13+Z14+Z16-Z17</f>
        <v/>
      </c>
      <c r="AA18" s="26">
        <f>AA13+AA14+AA16-AA17</f>
        <v/>
      </c>
      <c r="AB18" s="26">
        <f>AB13+AB14+AB16-AB17</f>
        <v/>
      </c>
      <c r="AC18" s="26">
        <f>AC13+AC14+AC16-AC17</f>
        <v/>
      </c>
      <c r="AD18" s="26">
        <f>AD13+AD14+AD16-AD17</f>
        <v/>
      </c>
      <c r="AE18" s="26">
        <f>AE13+AE14+AE16-AE17</f>
        <v/>
      </c>
      <c r="AF18" s="26">
        <f>AF13+AF14+AF16-AF17</f>
        <v/>
      </c>
      <c r="AG18" s="26">
        <f>AG13+AG14+AG16-AG17</f>
        <v/>
      </c>
      <c r="AH18" s="26">
        <f>AH13+AH14+AH16-AH17</f>
        <v/>
      </c>
      <c r="AI18" s="26">
        <f>AI13+AI14+AI16-AI17</f>
        <v/>
      </c>
      <c r="AJ18" s="26">
        <f>AJ13+AJ14+AJ16-AJ17</f>
        <v/>
      </c>
      <c r="AK18" s="26">
        <f>AK13+AK14+AK16-AK17</f>
        <v/>
      </c>
      <c r="AL18" s="26">
        <f>AL13+AL14+AL16-AL17</f>
        <v/>
      </c>
    </row>
    <row r="19">
      <c r="B19" s="7" t="inlineStr">
        <is>
          <t>Within the capacity contract (1 = yes)</t>
        </is>
      </c>
      <c r="D19" s="30">
        <f>IF(D$5&lt;h_cc_years,1,0)*D7</f>
        <v/>
      </c>
      <c r="E19" s="30">
        <f>IF(E$5&lt;h_cc_years,1,0)*E7</f>
        <v/>
      </c>
      <c r="F19" s="30">
        <f>IF(F$5&lt;h_cc_years,1,0)*F7</f>
        <v/>
      </c>
      <c r="G19" s="30">
        <f>IF(G$5&lt;h_cc_years,1,0)*G7</f>
        <v/>
      </c>
      <c r="H19" s="30">
        <f>IF(H$5&lt;h_cc_years,1,0)*H7</f>
        <v/>
      </c>
      <c r="I19" s="30">
        <f>IF(I$5&lt;h_cc_years,1,0)*I7</f>
        <v/>
      </c>
      <c r="J19" s="30">
        <f>IF(J$5&lt;h_cc_years,1,0)*J7</f>
        <v/>
      </c>
      <c r="K19" s="30">
        <f>IF(K$5&lt;h_cc_years,1,0)*K7</f>
        <v/>
      </c>
      <c r="L19" s="30">
        <f>IF(L$5&lt;h_cc_years,1,0)*L7</f>
        <v/>
      </c>
      <c r="M19" s="30">
        <f>IF(M$5&lt;h_cc_years,1,0)*M7</f>
        <v/>
      </c>
      <c r="N19" s="30">
        <f>IF(N$5&lt;h_cc_years,1,0)*N7</f>
        <v/>
      </c>
      <c r="O19" s="30">
        <f>IF(O$5&lt;h_cc_years,1,0)*O7</f>
        <v/>
      </c>
      <c r="P19" s="30">
        <f>IF(P$5&lt;h_cc_years,1,0)*P7</f>
        <v/>
      </c>
      <c r="Q19" s="30">
        <f>IF(Q$5&lt;h_cc_years,1,0)*Q7</f>
        <v/>
      </c>
      <c r="R19" s="30">
        <f>IF(R$5&lt;h_cc_years,1,0)*R7</f>
        <v/>
      </c>
      <c r="S19" s="30">
        <f>IF(S$5&lt;h_cc_years,1,0)*S7</f>
        <v/>
      </c>
      <c r="T19" s="30">
        <f>IF(T$5&lt;h_cc_years,1,0)*T7</f>
        <v/>
      </c>
      <c r="U19" s="30">
        <f>IF(U$5&lt;h_cc_years,1,0)*U7</f>
        <v/>
      </c>
      <c r="V19" s="30">
        <f>IF(V$5&lt;h_cc_years,1,0)*V7</f>
        <v/>
      </c>
      <c r="W19" s="30">
        <f>IF(W$5&lt;h_cc_years,1,0)*W7</f>
        <v/>
      </c>
      <c r="X19" s="30">
        <f>IF(X$5&lt;h_cc_years,1,0)*X7</f>
        <v/>
      </c>
      <c r="Y19" s="30">
        <f>IF(Y$5&lt;h_cc_years,1,0)*Y7</f>
        <v/>
      </c>
      <c r="Z19" s="30">
        <f>IF(Z$5&lt;h_cc_years,1,0)*Z7</f>
        <v/>
      </c>
      <c r="AA19" s="30">
        <f>IF(AA$5&lt;h_cc_years,1,0)*AA7</f>
        <v/>
      </c>
      <c r="AB19" s="30">
        <f>IF(AB$5&lt;h_cc_years,1,0)*AB7</f>
        <v/>
      </c>
      <c r="AC19" s="30">
        <f>IF(AC$5&lt;h_cc_years,1,0)*AC7</f>
        <v/>
      </c>
      <c r="AD19" s="30">
        <f>IF(AD$5&lt;h_cc_years,1,0)*AD7</f>
        <v/>
      </c>
      <c r="AE19" s="30">
        <f>IF(AE$5&lt;h_cc_years,1,0)*AE7</f>
        <v/>
      </c>
      <c r="AF19" s="30">
        <f>IF(AF$5&lt;h_cc_years,1,0)*AF7</f>
        <v/>
      </c>
      <c r="AG19" s="30">
        <f>IF(AG$5&lt;h_cc_years,1,0)*AG7</f>
        <v/>
      </c>
      <c r="AH19" s="30">
        <f>IF(AH$5&lt;h_cc_years,1,0)*AH7</f>
        <v/>
      </c>
      <c r="AI19" s="30">
        <f>IF(AI$5&lt;h_cc_years,1,0)*AI7</f>
        <v/>
      </c>
      <c r="AJ19" s="30">
        <f>IF(AJ$5&lt;h_cc_years,1,0)*AJ7</f>
        <v/>
      </c>
      <c r="AK19" s="30">
        <f>IF(AK$5&lt;h_cc_years,1,0)*AK7</f>
        <v/>
      </c>
      <c r="AL19" s="30">
        <f>IF(AL$5&lt;h_cc_years,1,0)*AL7</f>
        <v/>
      </c>
    </row>
    <row r="20">
      <c r="B20" s="7" t="inlineStr">
        <is>
          <t>Discount factor, contracted rate</t>
        </is>
      </c>
      <c r="D20" s="22">
        <f>1/(1+r_c)^(D$5+2)</f>
        <v/>
      </c>
      <c r="E20" s="22">
        <f>1/(1+r_c)^(E$5+2)</f>
        <v/>
      </c>
      <c r="F20" s="22">
        <f>1/(1+r_c)^(F$5+2)</f>
        <v/>
      </c>
      <c r="G20" s="22">
        <f>1/(1+r_c)^(G$5+2)</f>
        <v/>
      </c>
      <c r="H20" s="22">
        <f>1/(1+r_c)^(H$5+2)</f>
        <v/>
      </c>
      <c r="I20" s="22">
        <f>1/(1+r_c)^(I$5+2)</f>
        <v/>
      </c>
      <c r="J20" s="22">
        <f>1/(1+r_c)^(J$5+2)</f>
        <v/>
      </c>
      <c r="K20" s="22">
        <f>1/(1+r_c)^(K$5+2)</f>
        <v/>
      </c>
      <c r="L20" s="22">
        <f>1/(1+r_c)^(L$5+2)</f>
        <v/>
      </c>
      <c r="M20" s="22">
        <f>1/(1+r_c)^(M$5+2)</f>
        <v/>
      </c>
      <c r="N20" s="22">
        <f>1/(1+r_c)^(N$5+2)</f>
        <v/>
      </c>
      <c r="O20" s="22">
        <f>1/(1+r_c)^(O$5+2)</f>
        <v/>
      </c>
      <c r="P20" s="22">
        <f>1/(1+r_c)^(P$5+2)</f>
        <v/>
      </c>
      <c r="Q20" s="22">
        <f>1/(1+r_c)^(Q$5+2)</f>
        <v/>
      </c>
      <c r="R20" s="22">
        <f>1/(1+r_c)^(R$5+2)</f>
        <v/>
      </c>
      <c r="S20" s="22">
        <f>1/(1+r_c)^(S$5+2)</f>
        <v/>
      </c>
      <c r="T20" s="22">
        <f>1/(1+r_c)^(T$5+2)</f>
        <v/>
      </c>
      <c r="U20" s="22">
        <f>1/(1+r_c)^(U$5+2)</f>
        <v/>
      </c>
      <c r="V20" s="22">
        <f>1/(1+r_c)^(V$5+2)</f>
        <v/>
      </c>
      <c r="W20" s="22">
        <f>1/(1+r_c)^(W$5+2)</f>
        <v/>
      </c>
      <c r="X20" s="22">
        <f>1/(1+r_c)^(X$5+2)</f>
        <v/>
      </c>
      <c r="Y20" s="22">
        <f>1/(1+r_c)^(Y$5+2)</f>
        <v/>
      </c>
      <c r="Z20" s="22">
        <f>1/(1+r_c)^(Z$5+2)</f>
        <v/>
      </c>
      <c r="AA20" s="22">
        <f>1/(1+r_c)^(AA$5+2)</f>
        <v/>
      </c>
      <c r="AB20" s="22">
        <f>1/(1+r_c)^(AB$5+2)</f>
        <v/>
      </c>
      <c r="AC20" s="22">
        <f>1/(1+r_c)^(AC$5+2)</f>
        <v/>
      </c>
      <c r="AD20" s="22">
        <f>1/(1+r_c)^(AD$5+2)</f>
        <v/>
      </c>
      <c r="AE20" s="22">
        <f>1/(1+r_c)^(AE$5+2)</f>
        <v/>
      </c>
      <c r="AF20" s="22">
        <f>1/(1+r_c)^(AF$5+2)</f>
        <v/>
      </c>
      <c r="AG20" s="22">
        <f>1/(1+r_c)^(AG$5+2)</f>
        <v/>
      </c>
      <c r="AH20" s="22">
        <f>1/(1+r_c)^(AH$5+2)</f>
        <v/>
      </c>
      <c r="AI20" s="22">
        <f>1/(1+r_c)^(AI$5+2)</f>
        <v/>
      </c>
      <c r="AJ20" s="22">
        <f>1/(1+r_c)^(AJ$5+2)</f>
        <v/>
      </c>
      <c r="AK20" s="22">
        <f>1/(1+r_c)^(AK$5+2)</f>
        <v/>
      </c>
      <c r="AL20" s="22">
        <f>1/(1+r_c)^(AL$5+2)</f>
        <v/>
      </c>
    </row>
    <row r="21">
      <c r="B21" s="7" t="inlineStr">
        <is>
          <t>Discount factor, merchant rate</t>
        </is>
      </c>
      <c r="D21" s="22">
        <f>1/(1+r_m)^(D$5+2)</f>
        <v/>
      </c>
      <c r="E21" s="22">
        <f>1/(1+r_m)^(E$5+2)</f>
        <v/>
      </c>
      <c r="F21" s="22">
        <f>1/(1+r_m)^(F$5+2)</f>
        <v/>
      </c>
      <c r="G21" s="22">
        <f>1/(1+r_m)^(G$5+2)</f>
        <v/>
      </c>
      <c r="H21" s="22">
        <f>1/(1+r_m)^(H$5+2)</f>
        <v/>
      </c>
      <c r="I21" s="22">
        <f>1/(1+r_m)^(I$5+2)</f>
        <v/>
      </c>
      <c r="J21" s="22">
        <f>1/(1+r_m)^(J$5+2)</f>
        <v/>
      </c>
      <c r="K21" s="22">
        <f>1/(1+r_m)^(K$5+2)</f>
        <v/>
      </c>
      <c r="L21" s="22">
        <f>1/(1+r_m)^(L$5+2)</f>
        <v/>
      </c>
      <c r="M21" s="22">
        <f>1/(1+r_m)^(M$5+2)</f>
        <v/>
      </c>
      <c r="N21" s="22">
        <f>1/(1+r_m)^(N$5+2)</f>
        <v/>
      </c>
      <c r="O21" s="22">
        <f>1/(1+r_m)^(O$5+2)</f>
        <v/>
      </c>
      <c r="P21" s="22">
        <f>1/(1+r_m)^(P$5+2)</f>
        <v/>
      </c>
      <c r="Q21" s="22">
        <f>1/(1+r_m)^(Q$5+2)</f>
        <v/>
      </c>
      <c r="R21" s="22">
        <f>1/(1+r_m)^(R$5+2)</f>
        <v/>
      </c>
      <c r="S21" s="22">
        <f>1/(1+r_m)^(S$5+2)</f>
        <v/>
      </c>
      <c r="T21" s="22">
        <f>1/(1+r_m)^(T$5+2)</f>
        <v/>
      </c>
      <c r="U21" s="22">
        <f>1/(1+r_m)^(U$5+2)</f>
        <v/>
      </c>
      <c r="V21" s="22">
        <f>1/(1+r_m)^(V$5+2)</f>
        <v/>
      </c>
      <c r="W21" s="22">
        <f>1/(1+r_m)^(W$5+2)</f>
        <v/>
      </c>
      <c r="X21" s="22">
        <f>1/(1+r_m)^(X$5+2)</f>
        <v/>
      </c>
      <c r="Y21" s="22">
        <f>1/(1+r_m)^(Y$5+2)</f>
        <v/>
      </c>
      <c r="Z21" s="22">
        <f>1/(1+r_m)^(Z$5+2)</f>
        <v/>
      </c>
      <c r="AA21" s="22">
        <f>1/(1+r_m)^(AA$5+2)</f>
        <v/>
      </c>
      <c r="AB21" s="22">
        <f>1/(1+r_m)^(AB$5+2)</f>
        <v/>
      </c>
      <c r="AC21" s="22">
        <f>1/(1+r_m)^(AC$5+2)</f>
        <v/>
      </c>
      <c r="AD21" s="22">
        <f>1/(1+r_m)^(AD$5+2)</f>
        <v/>
      </c>
      <c r="AE21" s="22">
        <f>1/(1+r_m)^(AE$5+2)</f>
        <v/>
      </c>
      <c r="AF21" s="22">
        <f>1/(1+r_m)^(AF$5+2)</f>
        <v/>
      </c>
      <c r="AG21" s="22">
        <f>1/(1+r_m)^(AG$5+2)</f>
        <v/>
      </c>
      <c r="AH21" s="22">
        <f>1/(1+r_m)^(AH$5+2)</f>
        <v/>
      </c>
      <c r="AI21" s="22">
        <f>1/(1+r_m)^(AI$5+2)</f>
        <v/>
      </c>
      <c r="AJ21" s="22">
        <f>1/(1+r_m)^(AJ$5+2)</f>
        <v/>
      </c>
      <c r="AK21" s="22">
        <f>1/(1+r_m)^(AK$5+2)</f>
        <v/>
      </c>
      <c r="AL21" s="22">
        <f>1/(1+r_m)^(AL$5+2)</f>
        <v/>
      </c>
    </row>
    <row r="23">
      <c r="B23" s="7" t="inlineStr">
        <is>
          <t>Capital cost</t>
        </is>
      </c>
      <c r="C23" s="25">
        <f>h_capex_kwh*h_mwh*1000</f>
        <v/>
      </c>
    </row>
    <row r="24">
      <c r="B24" s="7" t="inlineStr">
        <is>
          <t>Storage ITC cash at the transfer price (2028)</t>
        </is>
      </c>
      <c r="C24" s="25">
        <f>C23*h_itc*h_transfer</f>
        <v/>
      </c>
    </row>
    <row r="25">
      <c r="B25" s="7" t="inlineStr">
        <is>
          <t>Development value, fully merchant</t>
        </is>
      </c>
      <c r="C25" s="26">
        <f>C24/(1+r_c)^2-C23/(1+r_c)+SUMPRODUCT($D$13:$AL$13,$D$21:$AL$21)+SUMPRODUCT($D$14:$AL$14,$D$21:$AL$21)+SUMPRODUCT($D$16:$AL$16,$D$21:$AL$21)-SUMPRODUCT($D$17:$AL$17,$D$20:$AL$20)</f>
        <v/>
      </c>
    </row>
    <row r="26">
      <c r="B26" s="7" t="inlineStr">
        <is>
          <t>Development value with a capacity contract (h_cc_7 $/kW-month)</t>
        </is>
      </c>
      <c r="C26" s="26">
        <f>C25+h_cc_7*12*h_mw*1000*SUMPRODUCT($D$19:$AL$19,$D$20:$AL$20)-SUMPRODUCT($D$16:$AL$16,$D$19:$AL$19,$D$21:$AL$21)</f>
        <v/>
      </c>
    </row>
    <row r="27">
      <c r="B27" s="7" t="inlineStr">
        <is>
          <t>Development value with a capacity contract (h_cc_8 $/kW-month)</t>
        </is>
      </c>
      <c r="C27" s="26">
        <f>C25+h_cc_8*12*h_mw*1000*SUMPRODUCT($D$19:$AL$19,$D$20:$AL$20)-SUMPRODUCT($D$16:$AL$16,$D$19:$AL$19,$D$21:$AL$21)</f>
        <v/>
      </c>
    </row>
    <row r="28">
      <c r="B28" s="7" t="inlineStr">
        <is>
          <t>Development value with a capacity contract (h_cc_9 $/kW-month)</t>
        </is>
      </c>
      <c r="C28" s="26">
        <f>C25+h_cc_9*12*h_mw*1000*SUMPRODUCT($D$19:$AL$19,$D$20:$AL$20)-SUMPRODUCT($D$16:$AL$16,$D$19:$AL$19,$D$21:$AL$21)</f>
        <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B2:H16"/>
  <sheetViews>
    <sheetView showGridLines="0" workbookViewId="0">
      <selection activeCell="A1" sqref="A1"/>
    </sheetView>
  </sheetViews>
  <sheetFormatPr baseColWidth="8" defaultRowHeight="15"/>
  <cols>
    <col width="2" customWidth="1" min="1" max="1"/>
    <col width="70" customWidth="1" min="2" max="2"/>
    <col width="15" customWidth="1" min="3" max="3"/>
    <col width="15" customWidth="1" min="4" max="4"/>
    <col width="15" customWidth="1" min="5" max="5"/>
    <col width="15" customWidth="1" min="6" max="6"/>
    <col width="15" customWidth="1" min="7" max="7"/>
    <col width="15" customWidth="1" min="8" max="8"/>
  </cols>
  <sheetData>
    <row r="2">
      <c r="B2" s="4" t="inlineStr">
        <is>
          <t>EPC contract: delay damages, cost of delay, retention and performance buy-down (chapters 9 and 15)</t>
        </is>
      </c>
    </row>
    <row r="4">
      <c r="B4" s="7" t="inlineStr">
        <is>
          <t>EPC price (from Capex)</t>
        </is>
      </c>
      <c r="C4" s="25">
        <f>Capex!$C$14</f>
        <v/>
      </c>
    </row>
    <row r="5">
      <c r="B5" s="7" t="inlineStr">
        <is>
          <t>Delay damages a day ($)</t>
        </is>
      </c>
      <c r="C5" s="23">
        <f>ld_mw_day*mwac</f>
        <v/>
      </c>
    </row>
    <row r="6">
      <c r="B6" s="7" t="inlineStr">
        <is>
          <t>Delay damages a month</t>
        </is>
      </c>
      <c r="C6" s="25">
        <f>ld_mw_day*mwac*days_month</f>
        <v/>
      </c>
    </row>
    <row r="7">
      <c r="B7" s="7" t="inlineStr">
        <is>
          <t>Cap on delay damages</t>
        </is>
      </c>
      <c r="C7" s="25">
        <f>ld_cap*C4</f>
        <v/>
      </c>
    </row>
    <row r="8">
      <c r="B8" s="7" t="inlineStr">
        <is>
          <t>Retention at completion</t>
        </is>
      </c>
      <c r="C8" s="25">
        <f>retention*C4</f>
        <v/>
      </c>
    </row>
    <row r="9">
      <c r="B9" s="7" t="inlineStr">
        <is>
          <t>Value of 1 percent of energy, case U (from Sensitivities)</t>
        </is>
      </c>
      <c r="C9" s="25">
        <f>-Sensitivities!$D$23</f>
        <v/>
      </c>
    </row>
    <row r="10">
      <c r="B10" s="7" t="inlineStr">
        <is>
          <t>Per kWac ($)</t>
        </is>
      </c>
      <c r="C10" s="32">
        <f>C9/(mwac*1000)</f>
        <v/>
      </c>
    </row>
    <row r="12">
      <c r="B12" s="14" t="inlineStr">
        <is>
          <t>Cost of a COD delay, case U (approximation of model.delay_cost)</t>
        </is>
      </c>
      <c r="C12" s="14" t="inlineStr">
        <is>
          <t>Margin lost</t>
        </is>
      </c>
      <c r="D12" s="14" t="inlineStr">
        <is>
          <t>Time value on deferred PTC</t>
        </is>
      </c>
      <c r="E12" s="14" t="inlineStr">
        <is>
          <t>Total cost</t>
        </is>
      </c>
      <c r="F12" s="14" t="inlineStr">
        <is>
          <t>Days</t>
        </is>
      </c>
      <c r="G12" s="14" t="inlineStr">
        <is>
          <t>EPC delay damages</t>
        </is>
      </c>
      <c r="H12" s="14" t="inlineStr">
        <is>
          <t>Left with Ashgrove</t>
        </is>
      </c>
    </row>
    <row r="13">
      <c r="B13" s="7" t="inlineStr">
        <is>
          <t>Delay of delay_m1 months</t>
        </is>
      </c>
      <c r="C13" s="25">
        <f>Cases!D$27*delay_m1/12</f>
        <v/>
      </c>
      <c r="D13" s="25">
        <f>Cases!D$26*delay_m1/12*(1-1/(1+x_rc)^ptc_years)</f>
        <v/>
      </c>
      <c r="E13" s="26">
        <f>C13+D13</f>
        <v/>
      </c>
      <c r="F13" s="34">
        <f>days_month*delay_m1</f>
        <v/>
      </c>
      <c r="G13" s="25">
        <f>ld_mw_day*mwac*F13</f>
        <v/>
      </c>
      <c r="H13" s="26">
        <f>E13-G13</f>
        <v/>
      </c>
    </row>
    <row r="14">
      <c r="B14" s="7" t="inlineStr">
        <is>
          <t>Delay of delay_m3 months</t>
        </is>
      </c>
      <c r="C14" s="25">
        <f>Cases!D$27*delay_m3/12</f>
        <v/>
      </c>
      <c r="D14" s="25">
        <f>Cases!D$26*delay_m3/12*(1-1/(1+x_rc)^ptc_years)</f>
        <v/>
      </c>
      <c r="E14" s="26">
        <f>C14+D14</f>
        <v/>
      </c>
      <c r="F14" s="34">
        <f>days_month*delay_m3</f>
        <v/>
      </c>
      <c r="G14" s="25">
        <f>ld_mw_day*mwac*F14</f>
        <v/>
      </c>
      <c r="H14" s="26">
        <f>E14-G14</f>
        <v/>
      </c>
    </row>
    <row r="15">
      <c r="B15" s="7" t="inlineStr">
        <is>
          <t>Delay of delay_m6 months</t>
        </is>
      </c>
      <c r="C15" s="25">
        <f>Cases!D$27*delay_m6/12</f>
        <v/>
      </c>
      <c r="D15" s="25">
        <f>Cases!D$26*delay_m6/12*(1-1/(1+x_rc)^ptc_years)</f>
        <v/>
      </c>
      <c r="E15" s="26">
        <f>C15+D15</f>
        <v/>
      </c>
      <c r="F15" s="34">
        <f>days_month*delay_m6</f>
        <v/>
      </c>
      <c r="G15" s="25">
        <f>ld_mw_day*mwac*F15</f>
        <v/>
      </c>
      <c r="H15" s="26">
        <f>E15-G15</f>
        <v/>
      </c>
    </row>
    <row r="16">
      <c r="B16" s="5" t="inlineStr">
        <is>
          <t>The 12 converts months to a year.</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B2:H447"/>
  <sheetViews>
    <sheetView showGridLines="0" workbookViewId="0">
      <selection activeCell="A1" sqref="A1"/>
    </sheetView>
  </sheetViews>
  <sheetFormatPr baseColWidth="8" defaultRowHeight="15"/>
  <cols>
    <col width="2" customWidth="1" min="1" max="1"/>
    <col width="28" customWidth="1" min="2" max="2"/>
    <col width="44" customWidth="1" min="3" max="3"/>
    <col width="16" customWidth="1" min="4" max="4"/>
    <col width="16" customWidth="1" min="5" max="5"/>
    <col width="16" customWidth="1" min="6" max="6"/>
    <col width="16" customWidth="1" min="7" max="7"/>
    <col width="40" customWidth="1" min="8" max="8"/>
  </cols>
  <sheetData>
    <row r="2">
      <c r="B2" s="4" t="inlineStr">
        <is>
          <t>Checks: every figure the book prints beside the cell that computes it (valid with the default inputs and switches)</t>
        </is>
      </c>
    </row>
    <row r="3">
      <c r="B3" s="14" t="inlineStr">
        <is>
          <t>Result:</t>
        </is>
      </c>
      <c r="C3" s="14">
        <f>COUNTIF(G5:G435,"OK")&amp;" of 431 printed figures OK; "&amp;COUNTIF(G438:G447,"OK")&amp;" of 10 identities OK"</f>
        <v/>
      </c>
      <c r="G3" s="14">
        <f>IF(AND(COUNTIF(G5:G435,"OK")=431,COUNTIF(G438:G447,"OK")=10),"ALL OK","ERROR")</f>
        <v/>
      </c>
    </row>
    <row r="4">
      <c r="B4" s="14" t="inlineStr">
        <is>
          <t>Fact key (_FACTS.md)</t>
        </is>
      </c>
      <c r="C4" s="14" t="inlineStr">
        <is>
          <t>Figure</t>
        </is>
      </c>
      <c r="D4" s="14" t="inlineStr">
        <is>
          <t>Book value</t>
        </is>
      </c>
      <c r="E4" s="14" t="inlineStr">
        <is>
          <t>Workbook</t>
        </is>
      </c>
      <c r="F4" s="14" t="inlineStr">
        <is>
          <t>Tolerance</t>
        </is>
      </c>
      <c r="G4" s="14" t="inlineStr">
        <is>
          <t>Pass</t>
        </is>
      </c>
      <c r="H4" s="14" t="inlineStr">
        <is>
          <t>As printed in the book</t>
        </is>
      </c>
    </row>
    <row r="5">
      <c r="B5" s="7" t="inlineStr">
        <is>
          <t>capex_lines</t>
        </is>
      </c>
      <c r="C5" s="7" t="inlineStr">
        <is>
          <t>Modules</t>
        </is>
      </c>
      <c r="D5" s="25" t="n">
        <v>58500000</v>
      </c>
      <c r="E5" s="25">
        <f>Capex!$C$5</f>
        <v/>
      </c>
      <c r="F5" s="25" t="n">
        <v>50005.000000001</v>
      </c>
      <c r="G5" s="14">
        <f>IF(ISNUMBER(E5),IF(ABS(E5-D5)&lt;=F5,"OK","ERROR"),"ERROR")</f>
        <v/>
      </c>
      <c r="H5" s="5" t="inlineStr">
        <is>
          <t>$58.5 million</t>
        </is>
      </c>
    </row>
    <row r="6">
      <c r="B6" s="7" t="inlineStr">
        <is>
          <t>capex_lines</t>
        </is>
      </c>
      <c r="C6" s="7" t="inlineStr">
        <is>
          <t>Trackers</t>
        </is>
      </c>
      <c r="D6" s="25" t="n">
        <v>27300000</v>
      </c>
      <c r="E6" s="25">
        <f>Capex!$C$6</f>
        <v/>
      </c>
      <c r="F6" s="25" t="n">
        <v>50005.000000001</v>
      </c>
      <c r="G6" s="14">
        <f>IF(ISNUMBER(E6),IF(ABS(E6-D6)&lt;=F6,"OK","ERROR"),"ERROR")</f>
        <v/>
      </c>
      <c r="H6" s="5" t="inlineStr">
        <is>
          <t>$27.3 million</t>
        </is>
      </c>
    </row>
    <row r="7">
      <c r="B7" s="7" t="inlineStr">
        <is>
          <t>capex_lines</t>
        </is>
      </c>
      <c r="C7" s="7" t="inlineStr">
        <is>
          <t>Inverters</t>
        </is>
      </c>
      <c r="D7" s="25" t="n">
        <v>9000000</v>
      </c>
      <c r="E7" s="25">
        <f>Capex!$C$7</f>
        <v/>
      </c>
      <c r="F7" s="25" t="n">
        <v>50005.000000001</v>
      </c>
      <c r="G7" s="14">
        <f>IF(ISNUMBER(E7),IF(ABS(E7-D7)&lt;=F7,"OK","ERROR"),"ERROR")</f>
        <v/>
      </c>
      <c r="H7" s="5" t="inlineStr">
        <is>
          <t>$9.0 million</t>
        </is>
      </c>
    </row>
    <row r="8">
      <c r="B8" s="7" t="inlineStr">
        <is>
          <t>capex_lines</t>
        </is>
      </c>
      <c r="C8" s="7" t="inlineStr">
        <is>
          <t>Balance of system</t>
        </is>
      </c>
      <c r="D8" s="25" t="n">
        <v>78000000</v>
      </c>
      <c r="E8" s="25">
        <f>Capex!$C$8</f>
        <v/>
      </c>
      <c r="F8" s="25" t="n">
        <v>50005.000000001</v>
      </c>
      <c r="G8" s="14">
        <f>IF(ISNUMBER(E8),IF(ABS(E8-D8)&lt;=F8,"OK","ERROR"),"ERROR")</f>
        <v/>
      </c>
      <c r="H8" s="5" t="inlineStr">
        <is>
          <t>$78.0 million</t>
        </is>
      </c>
    </row>
    <row r="9">
      <c r="B9" s="7" t="inlineStr">
        <is>
          <t>capex_lines</t>
        </is>
      </c>
      <c r="C9" s="7" t="inlineStr">
        <is>
          <t>Substation and gen-tie</t>
        </is>
      </c>
      <c r="D9" s="25" t="n">
        <v>12000000</v>
      </c>
      <c r="E9" s="25">
        <f>Capex!$C$9</f>
        <v/>
      </c>
      <c r="F9" s="25" t="n">
        <v>50005.000000001</v>
      </c>
      <c r="G9" s="14">
        <f>IF(ISNUMBER(E9),IF(ABS(E9-D9)&lt;=F9,"OK","ERROR"),"ERROR")</f>
        <v/>
      </c>
      <c r="H9" s="5" t="inlineStr">
        <is>
          <t>$12.0 million</t>
        </is>
      </c>
    </row>
    <row r="10">
      <c r="B10" s="7" t="inlineStr">
        <is>
          <t>capex_lines</t>
        </is>
      </c>
      <c r="C10" s="7" t="inlineStr">
        <is>
          <t>Contingency</t>
        </is>
      </c>
      <c r="D10" s="25" t="n">
        <v>9200000</v>
      </c>
      <c r="E10" s="25">
        <f>Capex!$C$10</f>
        <v/>
      </c>
      <c r="F10" s="25" t="n">
        <v>50005.000000001</v>
      </c>
      <c r="G10" s="14">
        <f>IF(ISNUMBER(E10),IF(ABS(E10-D10)&lt;=F10,"OK","ERROR"),"ERROR")</f>
        <v/>
      </c>
      <c r="H10" s="5" t="inlineStr">
        <is>
          <t>$9.2 million</t>
        </is>
      </c>
    </row>
    <row r="11">
      <c r="B11" s="7" t="inlineStr">
        <is>
          <t>capex_lines</t>
        </is>
      </c>
      <c r="C11" s="7" t="inlineStr">
        <is>
          <t>Network upgrades</t>
        </is>
      </c>
      <c r="D11" s="25" t="n">
        <v>18000000</v>
      </c>
      <c r="E11" s="25">
        <f>Capex!$C$11</f>
        <v/>
      </c>
      <c r="F11" s="25" t="n">
        <v>50005.000000001</v>
      </c>
      <c r="G11" s="14">
        <f>IF(ISNUMBER(E11),IF(ABS(E11-D11)&lt;=F11,"OK","ERROR"),"ERROR")</f>
        <v/>
      </c>
      <c r="H11" s="5" t="inlineStr">
        <is>
          <t>$18.0 million</t>
        </is>
      </c>
    </row>
    <row r="12">
      <c r="B12" s="7" t="inlineStr">
        <is>
          <t>capex_lines</t>
        </is>
      </c>
      <c r="C12" s="7" t="inlineStr">
        <is>
          <t>Owner's costs</t>
        </is>
      </c>
      <c r="D12" s="25" t="n">
        <v>9000000</v>
      </c>
      <c r="E12" s="25">
        <f>Capex!$C$12</f>
        <v/>
      </c>
      <c r="F12" s="25" t="n">
        <v>50005.000000001</v>
      </c>
      <c r="G12" s="14">
        <f>IF(ISNUMBER(E12),IF(ABS(E12-D12)&lt;=F12,"OK","ERROR"),"ERROR")</f>
        <v/>
      </c>
      <c r="H12" s="5" t="inlineStr">
        <is>
          <t>$9.0 million</t>
        </is>
      </c>
    </row>
    <row r="13">
      <c r="B13" s="7" t="inlineStr">
        <is>
          <t>capex_total</t>
        </is>
      </c>
      <c r="C13" s="7" t="inlineStr">
        <is>
          <t>Total capital cost</t>
        </is>
      </c>
      <c r="D13" s="25" t="n">
        <v>221000000</v>
      </c>
      <c r="E13" s="25">
        <f>Capex!$C$13</f>
        <v/>
      </c>
      <c r="F13" s="25" t="n">
        <v>50005.000000001</v>
      </c>
      <c r="G13" s="14">
        <f>IF(ISNUMBER(E13),IF(ABS(E13-D13)&lt;=F13,"OK","ERROR"),"ERROR")</f>
        <v/>
      </c>
      <c r="H13" s="5" t="inlineStr">
        <is>
          <t>$221.0 million</t>
        </is>
      </c>
    </row>
    <row r="14">
      <c r="B14" s="7" t="inlineStr">
        <is>
          <t>capex_total</t>
        </is>
      </c>
      <c r="C14" s="7" t="inlineStr">
        <is>
          <t>Per Wac</t>
        </is>
      </c>
      <c r="D14" s="42" t="n">
        <v>1.47</v>
      </c>
      <c r="E14" s="42">
        <f>Capex!$C$15</f>
        <v/>
      </c>
      <c r="F14" s="42" t="n">
        <v>0.005000501</v>
      </c>
      <c r="G14" s="14">
        <f>IF(ISNUMBER(E14),IF(ABS(E14-D14)&lt;=F14,"OK","ERROR"),"ERROR")</f>
        <v/>
      </c>
      <c r="H14" s="5" t="inlineStr">
        <is>
          <t>$1.47</t>
        </is>
      </c>
    </row>
    <row r="15">
      <c r="B15" s="7" t="inlineStr">
        <is>
          <t>capex_total</t>
        </is>
      </c>
      <c r="C15" s="7" t="inlineStr">
        <is>
          <t>Per Wdc</t>
        </is>
      </c>
      <c r="D15" s="42" t="n">
        <v>1.13</v>
      </c>
      <c r="E15" s="42">
        <f>Capex!$C$16</f>
        <v/>
      </c>
      <c r="F15" s="42" t="n">
        <v>0.005000501</v>
      </c>
      <c r="G15" s="14">
        <f>IF(ISNUMBER(E15),IF(ABS(E15-D15)&lt;=F15,"OK","ERROR"),"ERROR")</f>
        <v/>
      </c>
      <c r="H15" s="5" t="inlineStr">
        <is>
          <t>$1.13</t>
        </is>
      </c>
    </row>
    <row r="16">
      <c r="B16" s="7" t="inlineStr">
        <is>
          <t>capex_total</t>
        </is>
      </c>
      <c r="C16" s="7" t="inlineStr">
        <is>
          <t>With the NTP premium</t>
        </is>
      </c>
      <c r="D16" s="25" t="n">
        <v>248000000</v>
      </c>
      <c r="E16" s="25">
        <f>Capex!$C$18</f>
        <v/>
      </c>
      <c r="F16" s="25" t="n">
        <v>50005.000000001</v>
      </c>
      <c r="G16" s="14">
        <f>IF(ISNUMBER(E16),IF(ABS(E16-D16)&lt;=F16,"OK","ERROR"),"ERROR")</f>
        <v/>
      </c>
      <c r="H16" s="5" t="inlineStr">
        <is>
          <t>$248.0 million</t>
        </is>
      </c>
    </row>
    <row r="17">
      <c r="B17" s="7" t="inlineStr">
        <is>
          <t>capex_total</t>
        </is>
      </c>
      <c r="C17" s="7" t="inlineStr">
        <is>
          <t>With the premium, per Wac</t>
        </is>
      </c>
      <c r="D17" s="42" t="n">
        <v>1.65</v>
      </c>
      <c r="E17" s="42">
        <f>Capex!$C$19</f>
        <v/>
      </c>
      <c r="F17" s="42" t="n">
        <v>0.005000501</v>
      </c>
      <c r="G17" s="14">
        <f>IF(ISNUMBER(E17),IF(ABS(E17-D17)&lt;=F17,"OK","ERROR"),"ERROR")</f>
        <v/>
      </c>
      <c r="H17" s="5" t="inlineStr">
        <is>
          <t>$1.65</t>
        </is>
      </c>
    </row>
    <row r="18">
      <c r="B18" s="7" t="inlineStr">
        <is>
          <t>capex_shares</t>
        </is>
      </c>
      <c r="C18" s="7" t="inlineStr">
        <is>
          <t>Share: mod</t>
        </is>
      </c>
      <c r="D18" s="24" t="n">
        <v>0.26</v>
      </c>
      <c r="E18" s="24">
        <f>Capex!$D$5</f>
        <v/>
      </c>
      <c r="F18" s="24" t="n">
        <v>0.005000501</v>
      </c>
      <c r="G18" s="14">
        <f>IF(ISNUMBER(E18),IF(ABS(E18-D18)&lt;=F18,"OK","ERROR"),"ERROR")</f>
        <v/>
      </c>
      <c r="H18" s="5" t="inlineStr">
        <is>
          <t>26 percent</t>
        </is>
      </c>
    </row>
    <row r="19">
      <c r="B19" s="7" t="inlineStr">
        <is>
          <t>capex_shares</t>
        </is>
      </c>
      <c r="C19" s="7" t="inlineStr">
        <is>
          <t>Share: trk</t>
        </is>
      </c>
      <c r="D19" s="24" t="n">
        <v>0.12</v>
      </c>
      <c r="E19" s="24">
        <f>Capex!$D$6</f>
        <v/>
      </c>
      <c r="F19" s="24" t="n">
        <v>0.005000501</v>
      </c>
      <c r="G19" s="14">
        <f>IF(ISNUMBER(E19),IF(ABS(E19-D19)&lt;=F19,"OK","ERROR"),"ERROR")</f>
        <v/>
      </c>
      <c r="H19" s="5" t="inlineStr">
        <is>
          <t>12 percent</t>
        </is>
      </c>
    </row>
    <row r="20">
      <c r="B20" s="7" t="inlineStr">
        <is>
          <t>capex_shares</t>
        </is>
      </c>
      <c r="C20" s="7" t="inlineStr">
        <is>
          <t>Share: inv</t>
        </is>
      </c>
      <c r="D20" s="24" t="n">
        <v>0.04</v>
      </c>
      <c r="E20" s="24">
        <f>Capex!$D$7</f>
        <v/>
      </c>
      <c r="F20" s="24" t="n">
        <v>0.005000501</v>
      </c>
      <c r="G20" s="14">
        <f>IF(ISNUMBER(E20),IF(ABS(E20-D20)&lt;=F20,"OK","ERROR"),"ERROR")</f>
        <v/>
      </c>
      <c r="H20" s="5" t="inlineStr">
        <is>
          <t>4 percent</t>
        </is>
      </c>
    </row>
    <row r="21">
      <c r="B21" s="7" t="inlineStr">
        <is>
          <t>capex_shares</t>
        </is>
      </c>
      <c r="C21" s="7" t="inlineStr">
        <is>
          <t>Share: bos</t>
        </is>
      </c>
      <c r="D21" s="24" t="n">
        <v>0.35</v>
      </c>
      <c r="E21" s="24">
        <f>Capex!$D$8</f>
        <v/>
      </c>
      <c r="F21" s="24" t="n">
        <v>0.005000501</v>
      </c>
      <c r="G21" s="14">
        <f>IF(ISNUMBER(E21),IF(ABS(E21-D21)&lt;=F21,"OK","ERROR"),"ERROR")</f>
        <v/>
      </c>
      <c r="H21" s="5" t="inlineStr">
        <is>
          <t>35 percent</t>
        </is>
      </c>
    </row>
    <row r="22">
      <c r="B22" s="7" t="inlineStr">
        <is>
          <t>capex_shares</t>
        </is>
      </c>
      <c r="C22" s="7" t="inlineStr">
        <is>
          <t>Share: sub</t>
        </is>
      </c>
      <c r="D22" s="24" t="n">
        <v>0.05</v>
      </c>
      <c r="E22" s="24">
        <f>Capex!$D$9</f>
        <v/>
      </c>
      <c r="F22" s="24" t="n">
        <v>0.005000501</v>
      </c>
      <c r="G22" s="14">
        <f>IF(ISNUMBER(E22),IF(ABS(E22-D22)&lt;=F22,"OK","ERROR"),"ERROR")</f>
        <v/>
      </c>
      <c r="H22" s="5" t="inlineStr">
        <is>
          <t>5 percent</t>
        </is>
      </c>
    </row>
    <row r="23">
      <c r="B23" s="7" t="inlineStr">
        <is>
          <t>capex_shares</t>
        </is>
      </c>
      <c r="C23" s="7" t="inlineStr">
        <is>
          <t>Share: ic</t>
        </is>
      </c>
      <c r="D23" s="24" t="n">
        <v>0.08</v>
      </c>
      <c r="E23" s="24">
        <f>Capex!$D$11</f>
        <v/>
      </c>
      <c r="F23" s="24" t="n">
        <v>0.005000501</v>
      </c>
      <c r="G23" s="14">
        <f>IF(ISNUMBER(E23),IF(ABS(E23-D23)&lt;=F23,"OK","ERROR"),"ERROR")</f>
        <v/>
      </c>
      <c r="H23" s="5" t="inlineStr">
        <is>
          <t>8 percent</t>
        </is>
      </c>
    </row>
    <row r="24">
      <c r="B24" s="7" t="inlineStr">
        <is>
          <t>module_38</t>
        </is>
      </c>
      <c r="C24" s="7" t="inlineStr">
        <is>
          <t>Capital cost</t>
        </is>
      </c>
      <c r="D24" s="25" t="n">
        <v>237400000</v>
      </c>
      <c r="E24" s="25">
        <f>Capex!$C$30</f>
        <v/>
      </c>
      <c r="F24" s="25" t="n">
        <v>50005.000000001</v>
      </c>
      <c r="G24" s="14">
        <f>IF(ISNUMBER(E24),IF(ABS(E24-D24)&lt;=F24,"OK","ERROR"),"ERROR")</f>
        <v/>
      </c>
      <c r="H24" s="5" t="inlineStr">
        <is>
          <t>$237.4 million</t>
        </is>
      </c>
    </row>
    <row r="25">
      <c r="B25" s="7" t="inlineStr">
        <is>
          <t>module_38</t>
        </is>
      </c>
      <c r="C25" s="7" t="inlineStr">
        <is>
          <t>Case U development value</t>
        </is>
      </c>
      <c r="D25" s="25" t="n">
        <v>17300000</v>
      </c>
      <c r="E25" s="25">
        <f>Sensitivities!$C$12</f>
        <v/>
      </c>
      <c r="F25" s="25" t="n">
        <v>50005.000000001</v>
      </c>
      <c r="G25" s="14">
        <f>IF(ISNUMBER(E25),IF(ABS(E25-D25)&lt;=F25,"OK","ERROR"),"ERROR")</f>
        <v/>
      </c>
      <c r="H25" s="5" t="inlineStr">
        <is>
          <t>$17.3 million</t>
        </is>
      </c>
    </row>
    <row r="26">
      <c r="B26" s="7" t="inlineStr">
        <is>
          <t>module_38</t>
        </is>
      </c>
      <c r="C26" s="7" t="inlineStr">
        <is>
          <t>Change (difference of the printed values)</t>
        </is>
      </c>
      <c r="D26" s="25" t="n">
        <v>-16100000</v>
      </c>
      <c r="E26" s="25">
        <f>ROUND(Sensitivities!$C$12/1000000,1)*1000000-ROUND(Cases!$C$36/1000000,1)*1000000</f>
        <v/>
      </c>
      <c r="F26" s="25" t="n">
        <v>50005.000000001</v>
      </c>
      <c r="G26" s="14">
        <f>IF(ISNUMBER(E26),IF(ABS(E26-D26)&lt;=F26,"OK","ERROR"),"ERROR")</f>
        <v/>
      </c>
      <c r="H26" s="5" t="inlineStr">
        <is>
          <t>minus $16.1 million</t>
        </is>
      </c>
    </row>
    <row r="27">
      <c r="B27" s="7" t="inlineStr">
        <is>
          <t>module_25</t>
        </is>
      </c>
      <c r="C27" s="7" t="inlineStr">
        <is>
          <t>Capital cost</t>
        </is>
      </c>
      <c r="D27" s="25" t="n">
        <v>210800000</v>
      </c>
      <c r="E27" s="25">
        <f>Capex!$C$32</f>
        <v/>
      </c>
      <c r="F27" s="25" t="n">
        <v>50005.000000001</v>
      </c>
      <c r="G27" s="14">
        <f>IF(ISNUMBER(E27),IF(ABS(E27-D27)&lt;=F27,"OK","ERROR"),"ERROR")</f>
        <v/>
      </c>
      <c r="H27" s="5" t="inlineStr">
        <is>
          <t>$210.8 million</t>
        </is>
      </c>
    </row>
    <row r="28">
      <c r="B28" s="7" t="inlineStr">
        <is>
          <t>module_25</t>
        </is>
      </c>
      <c r="C28" s="7" t="inlineStr">
        <is>
          <t>Case U development value</t>
        </is>
      </c>
      <c r="D28" s="25" t="n">
        <v>43400000</v>
      </c>
      <c r="E28" s="25">
        <f>Sensitivities!$C$19</f>
        <v/>
      </c>
      <c r="F28" s="25" t="n">
        <v>50005.000000001</v>
      </c>
      <c r="G28" s="14">
        <f>IF(ISNUMBER(E28),IF(ABS(E28-D28)&lt;=F28,"OK","ERROR"),"ERROR")</f>
        <v/>
      </c>
      <c r="H28" s="5" t="inlineStr">
        <is>
          <t>$43.4 million</t>
        </is>
      </c>
    </row>
    <row r="29">
      <c r="B29" s="7" t="inlineStr">
        <is>
          <t>module_25</t>
        </is>
      </c>
      <c r="C29" s="7" t="inlineStr">
        <is>
          <t>Change (difference of the printed values)</t>
        </is>
      </c>
      <c r="D29" s="25" t="n">
        <v>10000000</v>
      </c>
      <c r="E29" s="25">
        <f>ROUND(Sensitivities!$C$19/1000000,1)*1000000-ROUND(Cases!$C$36/1000000,1)*1000000</f>
        <v/>
      </c>
      <c r="F29" s="25" t="n">
        <v>50005.000000001</v>
      </c>
      <c r="G29" s="14">
        <f>IF(ISNUMBER(E29),IF(ABS(E29-D29)&lt;=F29,"OK","ERROR"),"ERROR")</f>
        <v/>
      </c>
      <c r="H29" s="5" t="inlineStr">
        <is>
          <t>+$10.0 million</t>
        </is>
      </c>
    </row>
    <row r="30">
      <c r="B30" s="7" t="inlineStr">
        <is>
          <t>module_cent</t>
        </is>
      </c>
      <c r="C30" s="7" t="inlineStr">
        <is>
          <t>Each cent on modules</t>
        </is>
      </c>
      <c r="D30" s="25" t="n">
        <v>2050000</v>
      </c>
      <c r="E30" s="25">
        <f>Capex!$C$36</f>
        <v/>
      </c>
      <c r="F30" s="25" t="n">
        <v>5000.500000001</v>
      </c>
      <c r="G30" s="14">
        <f>IF(ISNUMBER(E30),IF(ABS(E30-D30)&lt;=F30,"OK","ERROR"),"ERROR")</f>
        <v/>
      </c>
      <c r="H30" s="5" t="inlineStr">
        <is>
          <t>$2.05 million</t>
        </is>
      </c>
    </row>
    <row r="31">
      <c r="B31" s="7" t="inlineStr">
        <is>
          <t>itc_alt</t>
        </is>
      </c>
      <c r="C31" s="7" t="inlineStr">
        <is>
          <t>Eligible basis</t>
        </is>
      </c>
      <c r="D31" s="25" t="n">
        <v>189800000</v>
      </c>
      <c r="E31" s="25">
        <f>Capex!$C$24</f>
        <v/>
      </c>
      <c r="F31" s="25" t="n">
        <v>50005.000000001</v>
      </c>
      <c r="G31" s="14">
        <f>IF(ISNUMBER(E31),IF(ABS(E31-D31)&lt;=F31,"OK","ERROR"),"ERROR")</f>
        <v/>
      </c>
      <c r="H31" s="5" t="inlineStr">
        <is>
          <t>$189.8 million</t>
        </is>
      </c>
    </row>
    <row r="32">
      <c r="B32" s="7" t="inlineStr">
        <is>
          <t>itc_alt</t>
        </is>
      </c>
      <c r="C32" s="7" t="inlineStr">
        <is>
          <t>Credit at 30 percent</t>
        </is>
      </c>
      <c r="D32" s="25" t="n">
        <v>57000000</v>
      </c>
      <c r="E32" s="25">
        <f>Capex!$C$25</f>
        <v/>
      </c>
      <c r="F32" s="25" t="n">
        <v>50005.000000001</v>
      </c>
      <c r="G32" s="14">
        <f>IF(ISNUMBER(E32),IF(ABS(E32-D32)&lt;=F32,"OK","ERROR"),"ERROR")</f>
        <v/>
      </c>
      <c r="H32" s="5" t="inlineStr">
        <is>
          <t>$57.0 million</t>
        </is>
      </c>
    </row>
    <row r="33">
      <c r="B33" s="7" t="inlineStr">
        <is>
          <t>itc_alt</t>
        </is>
      </c>
      <c r="C33" s="7" t="inlineStr">
        <is>
          <t>Cash at 0.93</t>
        </is>
      </c>
      <c r="D33" s="25" t="n">
        <v>53000000</v>
      </c>
      <c r="E33" s="25">
        <f>Capex!$C$26</f>
        <v/>
      </c>
      <c r="F33" s="25" t="n">
        <v>50005.000000001</v>
      </c>
      <c r="G33" s="14">
        <f>IF(ISNUMBER(E33),IF(ABS(E33-D33)&lt;=F33,"OK","ERROR"),"ERROR")</f>
        <v/>
      </c>
      <c r="H33" s="5" t="inlineStr">
        <is>
          <t>$53.0 million</t>
        </is>
      </c>
    </row>
    <row r="34">
      <c r="B34" s="7" t="inlineStr">
        <is>
          <t>itc_alt</t>
        </is>
      </c>
      <c r="C34" s="7" t="inlineStr">
        <is>
          <t>Worth on 1 January 2027</t>
        </is>
      </c>
      <c r="D34" s="25" t="n">
        <v>46300000</v>
      </c>
      <c r="E34" s="25">
        <f>Capex!$C$27</f>
        <v/>
      </c>
      <c r="F34" s="25" t="n">
        <v>50005.000000001</v>
      </c>
      <c r="G34" s="14">
        <f>IF(ISNUMBER(E34),IF(ABS(E34-D34)&lt;=F34,"OK","ERROR"),"ERROR")</f>
        <v/>
      </c>
      <c r="H34" s="5" t="inlineStr">
        <is>
          <t>$46.3 million</t>
        </is>
      </c>
    </row>
    <row r="35">
      <c r="B35" s="7" t="inlineStr">
        <is>
          <t>epc_price</t>
        </is>
      </c>
      <c r="C35" s="7" t="inlineStr">
        <is>
          <t>EPC price</t>
        </is>
      </c>
      <c r="D35" s="25" t="n">
        <v>126300000</v>
      </c>
      <c r="E35" s="25">
        <f>Capex!$C$14</f>
        <v/>
      </c>
      <c r="F35" s="25" t="n">
        <v>50005.000000001</v>
      </c>
      <c r="G35" s="14">
        <f>IF(ISNUMBER(E35),IF(ABS(E35-D35)&lt;=F35,"OK","ERROR"),"ERROR")</f>
        <v/>
      </c>
      <c r="H35" s="5" t="inlineStr">
        <is>
          <t>$126.3 million</t>
        </is>
      </c>
    </row>
    <row r="36">
      <c r="B36" s="7" t="inlineStr">
        <is>
          <t>ic_cost</t>
        </is>
      </c>
      <c r="C36" s="7" t="inlineStr">
        <is>
          <t>Network upgrades per kWac</t>
        </is>
      </c>
      <c r="D36" s="42" t="n">
        <v>120</v>
      </c>
      <c r="E36" s="42">
        <f>Interconnection!$C$12</f>
        <v/>
      </c>
      <c r="F36" s="42" t="n">
        <v>0.500050001</v>
      </c>
      <c r="G36" s="14">
        <f>IF(ISNUMBER(E36),IF(ABS(E36-D36)&lt;=F36,"OK","ERROR"),"ERROR")</f>
        <v/>
      </c>
      <c r="H36" s="5" t="inlineStr">
        <is>
          <t>$120</t>
        </is>
      </c>
    </row>
    <row r="37">
      <c r="B37" s="7" t="inlineStr">
        <is>
          <t>ic_cost</t>
        </is>
      </c>
      <c r="C37" s="7" t="inlineStr">
        <is>
          <t>Share of the capital cost</t>
        </is>
      </c>
      <c r="D37" s="24" t="n">
        <v>0.14</v>
      </c>
      <c r="E37" s="24">
        <f>Capex!$C$21</f>
        <v/>
      </c>
      <c r="F37" s="24" t="n">
        <v>0.005000501</v>
      </c>
      <c r="G37" s="14">
        <f>IF(ISNUMBER(E37),IF(ABS(E37-D37)&lt;=F37,"OK","ERROR"),"ERROR")</f>
        <v/>
      </c>
      <c r="H37" s="5" t="inlineStr">
        <is>
          <t>14 percent</t>
        </is>
      </c>
    </row>
    <row r="38">
      <c r="B38" s="7" t="inlineStr">
        <is>
          <t>wind_vs_solar_capex</t>
        </is>
      </c>
      <c r="C38" s="7" t="inlineStr">
        <is>
          <t>Solar per kWac</t>
        </is>
      </c>
      <c r="D38" s="42" t="n">
        <v>1474</v>
      </c>
      <c r="E38" s="42">
        <f>Capex!$C$17</f>
        <v/>
      </c>
      <c r="F38" s="42" t="n">
        <v>0.500050001</v>
      </c>
      <c r="G38" s="14">
        <f>IF(ISNUMBER(E38),IF(ABS(E38-D38)&lt;=F38,"OK","ERROR"),"ERROR")</f>
        <v/>
      </c>
      <c r="H38" s="5" t="inlineStr">
        <is>
          <t>$1,474</t>
        </is>
      </c>
    </row>
    <row r="39">
      <c r="B39" s="7" t="inlineStr">
        <is>
          <t>p50</t>
        </is>
      </c>
      <c r="C39" s="7" t="inlineStr">
        <is>
          <t>P50 energy 2028</t>
        </is>
      </c>
      <c r="D39" s="32" t="n">
        <v>341640</v>
      </c>
      <c r="E39" s="32">
        <f>Energy!$C$13</f>
        <v/>
      </c>
      <c r="F39" s="32" t="n">
        <v>0.500050001</v>
      </c>
      <c r="G39" s="14">
        <f>IF(ISNUMBER(E39),IF(ABS(E39-D39)&lt;=F39,"OK","ERROR"),"ERROR")</f>
        <v/>
      </c>
      <c r="H39" s="5" t="inlineStr">
        <is>
          <t>341,640</t>
        </is>
      </c>
    </row>
    <row r="40">
      <c r="B40" s="7" t="inlineStr">
        <is>
          <t>p50</t>
        </is>
      </c>
      <c r="C40" s="7" t="inlineStr">
        <is>
          <t>P50 energy 2037</t>
        </is>
      </c>
      <c r="D40" s="32" t="n">
        <v>329536</v>
      </c>
      <c r="E40" s="32">
        <f>Energy!$C$16</f>
        <v/>
      </c>
      <c r="F40" s="32" t="n">
        <v>0.500050001</v>
      </c>
      <c r="G40" s="14">
        <f>IF(ISNUMBER(E40),IF(ABS(E40-D40)&lt;=F40,"OK","ERROR"),"ERROR")</f>
        <v/>
      </c>
      <c r="H40" s="5" t="inlineStr">
        <is>
          <t>329,536</t>
        </is>
      </c>
    </row>
    <row r="41">
      <c r="B41" s="7" t="inlineStr">
        <is>
          <t>p50</t>
        </is>
      </c>
      <c r="C41" s="7" t="inlineStr">
        <is>
          <t>P50 energy 2062</t>
        </is>
      </c>
      <c r="D41" s="32" t="n">
        <v>298117</v>
      </c>
      <c r="E41" s="32">
        <f>Energy!$C$17</f>
        <v/>
      </c>
      <c r="F41" s="32" t="n">
        <v>0.500050001</v>
      </c>
      <c r="G41" s="14">
        <f>IF(ISNUMBER(E41),IF(ABS(E41-D41)&lt;=F41,"OK","ERROR"),"ERROR")</f>
        <v/>
      </c>
      <c r="H41" s="5" t="inlineStr">
        <is>
          <t>298,117</t>
        </is>
      </c>
    </row>
    <row r="42">
      <c r="B42" s="7" t="inlineStr">
        <is>
          <t>losses</t>
        </is>
      </c>
      <c r="C42" s="7" t="inlineStr">
        <is>
          <t>Gross energy</t>
        </is>
      </c>
      <c r="D42" s="32" t="n">
        <v>410242</v>
      </c>
      <c r="E42" s="32">
        <f>Energy!$C$28</f>
        <v/>
      </c>
      <c r="F42" s="32" t="n">
        <v>0.500050001</v>
      </c>
      <c r="G42" s="14">
        <f>IF(ISNUMBER(E42),IF(ABS(E42-D42)&lt;=F42,"OK","ERROR"),"ERROR")</f>
        <v/>
      </c>
      <c r="H42" s="5" t="inlineStr">
        <is>
          <t>410,242</t>
        </is>
      </c>
    </row>
    <row r="43">
      <c r="B43" s="7" t="inlineStr">
        <is>
          <t>losses</t>
        </is>
      </c>
      <c r="C43" s="7" t="inlineStr">
        <is>
          <t>Total losses</t>
        </is>
      </c>
      <c r="D43" s="24" t="n">
        <v>0.167</v>
      </c>
      <c r="E43" s="24">
        <f>Energy!$C$29</f>
        <v/>
      </c>
      <c r="F43" s="24" t="n">
        <v>0.0005000510000000001</v>
      </c>
      <c r="G43" s="14">
        <f>IF(ISNUMBER(E43),IF(ABS(E43-D43)&lt;=F43,"OK","ERROR"),"ERROR")</f>
        <v/>
      </c>
      <c r="H43" s="5" t="inlineStr">
        <is>
          <t>16.7 percent</t>
        </is>
      </c>
    </row>
    <row r="44">
      <c r="B44" s="7" t="inlineStr">
        <is>
          <t>sigma</t>
        </is>
      </c>
      <c r="C44" s="7" t="inlineStr">
        <is>
          <t>One-year sigma</t>
        </is>
      </c>
      <c r="D44" s="24" t="n">
        <v>0.073</v>
      </c>
      <c r="E44" s="24">
        <f>Energy!$C$32</f>
        <v/>
      </c>
      <c r="F44" s="24" t="n">
        <v>0.0005000510000000001</v>
      </c>
      <c r="G44" s="14">
        <f>IF(ISNUMBER(E44),IF(ABS(E44-D44)&lt;=F44,"OK","ERROR"),"ERROR")</f>
        <v/>
      </c>
      <c r="H44" s="5" t="inlineStr">
        <is>
          <t>7.3 percent</t>
        </is>
      </c>
    </row>
    <row r="45">
      <c r="B45" s="7" t="inlineStr">
        <is>
          <t>sigma</t>
        </is>
      </c>
      <c r="C45" s="7" t="inlineStr">
        <is>
          <t>Ten-year sigma</t>
        </is>
      </c>
      <c r="D45" s="24" t="n">
        <v>0.055</v>
      </c>
      <c r="E45" s="24">
        <f>Energy!$C$33</f>
        <v/>
      </c>
      <c r="F45" s="24" t="n">
        <v>0.0005000510000000001</v>
      </c>
      <c r="G45" s="14">
        <f>IF(ISNUMBER(E45),IF(ABS(E45-D45)&lt;=F45,"OK","ERROR"),"ERROR")</f>
        <v/>
      </c>
      <c r="H45" s="5" t="inlineStr">
        <is>
          <t>5.5 percent</t>
        </is>
      </c>
    </row>
    <row r="46">
      <c r="B46" s="7" t="inlineStr">
        <is>
          <t>pxx</t>
        </is>
      </c>
      <c r="C46" s="7" t="inlineStr">
        <is>
          <t>p90_1</t>
        </is>
      </c>
      <c r="D46" s="24" t="n">
        <v>0.9059999999999999</v>
      </c>
      <c r="E46" s="24">
        <f>Energy!$C$34</f>
        <v/>
      </c>
      <c r="F46" s="24" t="n">
        <v>0.0005000510000000001</v>
      </c>
      <c r="G46" s="14">
        <f>IF(ISNUMBER(E46),IF(ABS(E46-D46)&lt;=F46,"OK","ERROR"),"ERROR")</f>
        <v/>
      </c>
      <c r="H46" s="5" t="inlineStr">
        <is>
          <t>90.6 percent</t>
        </is>
      </c>
    </row>
    <row r="47">
      <c r="B47" s="7" t="inlineStr">
        <is>
          <t>pxx</t>
        </is>
      </c>
      <c r="C47" s="7" t="inlineStr">
        <is>
          <t>p90_1 MWh</t>
        </is>
      </c>
      <c r="D47" s="32" t="n">
        <v>309689</v>
      </c>
      <c r="E47" s="32">
        <f>Energy!$C$38</f>
        <v/>
      </c>
      <c r="F47" s="32" t="n">
        <v>0.500050001</v>
      </c>
      <c r="G47" s="14">
        <f>IF(ISNUMBER(E47),IF(ABS(E47-D47)&lt;=F47,"OK","ERROR"),"ERROR")</f>
        <v/>
      </c>
      <c r="H47" s="5" t="inlineStr">
        <is>
          <t>309,689</t>
        </is>
      </c>
    </row>
    <row r="48">
      <c r="B48" s="7" t="inlineStr">
        <is>
          <t>pxx</t>
        </is>
      </c>
      <c r="C48" s="7" t="inlineStr">
        <is>
          <t>p90_10</t>
        </is>
      </c>
      <c r="D48" s="24" t="n">
        <v>0.929</v>
      </c>
      <c r="E48" s="24">
        <f>Energy!$C$35</f>
        <v/>
      </c>
      <c r="F48" s="24" t="n">
        <v>0.0005000510000000001</v>
      </c>
      <c r="G48" s="14">
        <f>IF(ISNUMBER(E48),IF(ABS(E48-D48)&lt;=F48,"OK","ERROR"),"ERROR")</f>
        <v/>
      </c>
      <c r="H48" s="5" t="inlineStr">
        <is>
          <t>92.9 percent</t>
        </is>
      </c>
    </row>
    <row r="49">
      <c r="B49" s="7" t="inlineStr">
        <is>
          <t>pxx</t>
        </is>
      </c>
      <c r="C49" s="7" t="inlineStr">
        <is>
          <t>p90_10 MWh</t>
        </is>
      </c>
      <c r="D49" s="32" t="n">
        <v>317360</v>
      </c>
      <c r="E49" s="32">
        <f>Energy!$C$39</f>
        <v/>
      </c>
      <c r="F49" s="32" t="n">
        <v>0.500050001</v>
      </c>
      <c r="G49" s="14">
        <f>IF(ISNUMBER(E49),IF(ABS(E49-D49)&lt;=F49,"OK","ERROR"),"ERROR")</f>
        <v/>
      </c>
      <c r="H49" s="5" t="inlineStr">
        <is>
          <t>317,360</t>
        </is>
      </c>
    </row>
    <row r="50">
      <c r="B50" s="7" t="inlineStr">
        <is>
          <t>pxx</t>
        </is>
      </c>
      <c r="C50" s="7" t="inlineStr">
        <is>
          <t>p99_1</t>
        </is>
      </c>
      <c r="D50" s="24" t="n">
        <v>0.8300000000000001</v>
      </c>
      <c r="E50" s="24">
        <f>Energy!$C$37</f>
        <v/>
      </c>
      <c r="F50" s="24" t="n">
        <v>0.0005000510000000001</v>
      </c>
      <c r="G50" s="14">
        <f>IF(ISNUMBER(E50),IF(ABS(E50-D50)&lt;=F50,"OK","ERROR"),"ERROR")</f>
        <v/>
      </c>
      <c r="H50" s="5" t="inlineStr">
        <is>
          <t>83.0 percent</t>
        </is>
      </c>
    </row>
    <row r="51">
      <c r="B51" s="7" t="inlineStr">
        <is>
          <t>pxx</t>
        </is>
      </c>
      <c r="C51" s="7" t="inlineStr">
        <is>
          <t>p99_1 MWh</t>
        </is>
      </c>
      <c r="D51" s="32" t="n">
        <v>283645</v>
      </c>
      <c r="E51" s="32">
        <f>Energy!$C$40</f>
        <v/>
      </c>
      <c r="F51" s="32" t="n">
        <v>0.500050001</v>
      </c>
      <c r="G51" s="14">
        <f>IF(ISNUMBER(E51),IF(ABS(E51-D51)&lt;=F51,"OK","ERROR"),"ERROR")</f>
        <v/>
      </c>
      <c r="H51" s="5" t="inlineStr">
        <is>
          <t>283,645</t>
        </is>
      </c>
    </row>
    <row r="52">
      <c r="B52" s="7" t="inlineStr">
        <is>
          <t>specific_yield</t>
        </is>
      </c>
      <c r="C52" s="7" t="inlineStr">
        <is>
          <t>kWh per kWdc</t>
        </is>
      </c>
      <c r="D52" s="32" t="n">
        <v>1752</v>
      </c>
      <c r="E52" s="32">
        <f>Energy!$C$14</f>
        <v/>
      </c>
      <c r="F52" s="32" t="n">
        <v>0.500050001</v>
      </c>
      <c r="G52" s="14">
        <f>IF(ISNUMBER(E52),IF(ABS(E52-D52)&lt;=F52,"OK","ERROR"),"ERROR")</f>
        <v/>
      </c>
      <c r="H52" s="5" t="inlineStr">
        <is>
          <t>1,752</t>
        </is>
      </c>
    </row>
    <row r="53">
      <c r="B53" s="7" t="inlineStr">
        <is>
          <t>specific_yield</t>
        </is>
      </c>
      <c r="C53" s="7" t="inlineStr">
        <is>
          <t>kWh per kWac</t>
        </is>
      </c>
      <c r="D53" s="32" t="n">
        <v>2278</v>
      </c>
      <c r="E53" s="32">
        <f>Energy!$C$15</f>
        <v/>
      </c>
      <c r="F53" s="32" t="n">
        <v>0.500050001</v>
      </c>
      <c r="G53" s="14">
        <f>IF(ISNUMBER(E53),IF(ABS(E53-D53)&lt;=F53,"OK","ERROR"),"ERROR")</f>
        <v/>
      </c>
      <c r="H53" s="5" t="inlineStr">
        <is>
          <t>2,278</t>
        </is>
      </c>
    </row>
    <row r="54">
      <c r="B54" s="7" t="inlineStr">
        <is>
          <t>p90_value</t>
        </is>
      </c>
      <c r="C54" s="7" t="inlineStr">
        <is>
          <t>P90 ten-year value</t>
        </is>
      </c>
      <c r="D54" s="25" t="n">
        <v>10900000</v>
      </c>
      <c r="E54" s="25">
        <f>Sensitivities!$C$10</f>
        <v/>
      </c>
      <c r="F54" s="25" t="n">
        <v>50005.000000001</v>
      </c>
      <c r="G54" s="14">
        <f>IF(ISNUMBER(E54),IF(ABS(E54-D54)&lt;=F54,"OK","ERROR"),"ERROR")</f>
        <v/>
      </c>
      <c r="H54" s="5" t="inlineStr">
        <is>
          <t>$10.9 million</t>
        </is>
      </c>
    </row>
    <row r="55">
      <c r="B55" s="7" t="inlineStr">
        <is>
          <t>p90_value</t>
        </is>
      </c>
      <c r="C55" s="7" t="inlineStr">
        <is>
          <t>P75 ten-year share</t>
        </is>
      </c>
      <c r="D55" s="24" t="n">
        <v>0.963</v>
      </c>
      <c r="E55" s="24">
        <f>Energy!$C$36</f>
        <v/>
      </c>
      <c r="F55" s="24" t="n">
        <v>0.0005000510000000001</v>
      </c>
      <c r="G55" s="14">
        <f>IF(ISNUMBER(E55),IF(ABS(E55-D55)&lt;=F55,"OK","ERROR"),"ERROR")</f>
        <v/>
      </c>
      <c r="H55" s="5" t="inlineStr">
        <is>
          <t>96.3 percent</t>
        </is>
      </c>
    </row>
    <row r="56">
      <c r="B56" s="7" t="inlineStr">
        <is>
          <t>p90_value</t>
        </is>
      </c>
      <c r="C56" s="7" t="inlineStr">
        <is>
          <t>P75 ten-year value</t>
        </is>
      </c>
      <c r="D56" s="25" t="n">
        <v>21500000</v>
      </c>
      <c r="E56" s="25">
        <f>Sensitivities!$C$22</f>
        <v/>
      </c>
      <c r="F56" s="25" t="n">
        <v>50005.000000001</v>
      </c>
      <c r="G56" s="14">
        <f>IF(ISNUMBER(E56),IF(ABS(E56-D56)&lt;=F56,"OK","ERROR"),"ERROR")</f>
        <v/>
      </c>
      <c r="H56" s="5" t="inlineStr">
        <is>
          <t>$21.5 million</t>
        </is>
      </c>
    </row>
    <row r="57">
      <c r="B57" s="7" t="inlineStr">
        <is>
          <t>p90_point</t>
        </is>
      </c>
      <c r="C57" s="7" t="inlineStr">
        <is>
          <t>Value of 1 percent of energy</t>
        </is>
      </c>
      <c r="D57" s="25" t="n">
        <v>3200000</v>
      </c>
      <c r="E57" s="25">
        <f>EPC!$C$9</f>
        <v/>
      </c>
      <c r="F57" s="25" t="n">
        <v>50005.000000001</v>
      </c>
      <c r="G57" s="14">
        <f>IF(ISNUMBER(E57),IF(ABS(E57-D57)&lt;=F57,"OK","ERROR"),"ERROR")</f>
        <v/>
      </c>
      <c r="H57" s="5" t="inlineStr">
        <is>
          <t>$3.2 million</t>
        </is>
      </c>
    </row>
    <row r="58">
      <c r="B58" s="7" t="inlineStr">
        <is>
          <t>wind_energy</t>
        </is>
      </c>
      <c r="C58" s="7" t="inlineStr">
        <is>
          <t>Wind MWh</t>
        </is>
      </c>
      <c r="D58" s="32" t="n">
        <v>473040</v>
      </c>
      <c r="E58" s="32">
        <f>Energy!$C$43</f>
        <v/>
      </c>
      <c r="F58" s="32" t="n">
        <v>0.500050001</v>
      </c>
      <c r="G58" s="14">
        <f>IF(ISNUMBER(E58),IF(ABS(E58-D58)&lt;=F58,"OK","ERROR"),"ERROR")</f>
        <v/>
      </c>
      <c r="H58" s="5" t="inlineStr">
        <is>
          <t>473,040</t>
        </is>
      </c>
    </row>
    <row r="59">
      <c r="B59" s="7" t="inlineStr">
        <is>
          <t>wind_energy</t>
        </is>
      </c>
      <c r="C59" s="7" t="inlineStr">
        <is>
          <t>Wind sigma one-year</t>
        </is>
      </c>
      <c r="D59" s="24" t="n">
        <v>0.098</v>
      </c>
      <c r="E59" s="24">
        <f>Energy!$C$44</f>
        <v/>
      </c>
      <c r="F59" s="24" t="n">
        <v>0.0005000510000000001</v>
      </c>
      <c r="G59" s="14">
        <f>IF(ISNUMBER(E59),IF(ABS(E59-D59)&lt;=F59,"OK","ERROR"),"ERROR")</f>
        <v/>
      </c>
      <c r="H59" s="5" t="inlineStr">
        <is>
          <t>9.8 percent</t>
        </is>
      </c>
    </row>
    <row r="60">
      <c r="B60" s="7" t="inlineStr">
        <is>
          <t>wind_energy</t>
        </is>
      </c>
      <c r="C60" s="7" t="inlineStr">
        <is>
          <t>Wind sigma ten-year</t>
        </is>
      </c>
      <c r="D60" s="24" t="n">
        <v>0.08</v>
      </c>
      <c r="E60" s="24">
        <f>Energy!$C$45</f>
        <v/>
      </c>
      <c r="F60" s="24" t="n">
        <v>0.0005000510000000001</v>
      </c>
      <c r="G60" s="14">
        <f>IF(ISNUMBER(E60),IF(ABS(E60-D60)&lt;=F60,"OK","ERROR"),"ERROR")</f>
        <v/>
      </c>
      <c r="H60" s="5" t="inlineStr">
        <is>
          <t>8.0 percent</t>
        </is>
      </c>
    </row>
    <row r="61">
      <c r="B61" s="7" t="inlineStr">
        <is>
          <t>wind_energy</t>
        </is>
      </c>
      <c r="C61" s="7" t="inlineStr">
        <is>
          <t>Wind P90 one-year</t>
        </is>
      </c>
      <c r="D61" s="24" t="n">
        <v>0.8740000000000001</v>
      </c>
      <c r="E61" s="24">
        <f>Energy!$C$46</f>
        <v/>
      </c>
      <c r="F61" s="24" t="n">
        <v>0.0005000510000000001</v>
      </c>
      <c r="G61" s="14">
        <f>IF(ISNUMBER(E61),IF(ABS(E61-D61)&lt;=F61,"OK","ERROR"),"ERROR")</f>
        <v/>
      </c>
      <c r="H61" s="5" t="inlineStr">
        <is>
          <t>87.4 percent</t>
        </is>
      </c>
    </row>
    <row r="62">
      <c r="B62" s="7" t="inlineStr">
        <is>
          <t>wind_energy</t>
        </is>
      </c>
      <c r="C62" s="7" t="inlineStr">
        <is>
          <t>Wind P90 ten-year</t>
        </is>
      </c>
      <c r="D62" s="24" t="n">
        <v>0.897</v>
      </c>
      <c r="E62" s="24">
        <f>Energy!$C$47</f>
        <v/>
      </c>
      <c r="F62" s="24" t="n">
        <v>0.0005000510000000001</v>
      </c>
      <c r="G62" s="14">
        <f>IF(ISNUMBER(E62),IF(ABS(E62-D62)&lt;=F62,"OK","ERROR"),"ERROR")</f>
        <v/>
      </c>
      <c r="H62" s="5" t="inlineStr">
        <is>
          <t>89.7 percent</t>
        </is>
      </c>
    </row>
    <row r="63">
      <c r="B63" s="7" t="inlineStr">
        <is>
          <t>wind_energy</t>
        </is>
      </c>
      <c r="C63" s="7" t="inlineStr">
        <is>
          <t>Wind P99 one-year</t>
        </is>
      </c>
      <c r="D63" s="24" t="n">
        <v>0.7709999999999999</v>
      </c>
      <c r="E63" s="24">
        <f>Energy!$C$48</f>
        <v/>
      </c>
      <c r="F63" s="24" t="n">
        <v>0.0005000510000000001</v>
      </c>
      <c r="G63" s="14">
        <f>IF(ISNUMBER(E63),IF(ABS(E63-D63)&lt;=F63,"OK","ERROR"),"ERROR")</f>
        <v/>
      </c>
      <c r="H63" s="5" t="inlineStr">
        <is>
          <t>77.1 percent</t>
        </is>
      </c>
    </row>
    <row r="64">
      <c r="B64" s="7" t="inlineStr">
        <is>
          <t>wind_vs_solar_energy</t>
        </is>
      </c>
      <c r="C64" s="7" t="inlineStr">
        <is>
          <t>Energy ratio</t>
        </is>
      </c>
      <c r="D64" s="32" t="n">
        <v>1.38</v>
      </c>
      <c r="E64" s="32">
        <f>Energy!$C$49</f>
        <v/>
      </c>
      <c r="F64" s="32" t="n">
        <v>0.005000501</v>
      </c>
      <c r="G64" s="14">
        <f>IF(ISNUMBER(E64),IF(ABS(E64-D64)&lt;=F64,"OK","ERROR"),"ERROR")</f>
        <v/>
      </c>
      <c r="H64" s="5" t="inlineStr">
        <is>
          <t>1.38</t>
        </is>
      </c>
    </row>
    <row r="65">
      <c r="B65" s="7" t="inlineStr">
        <is>
          <t>prices_2028</t>
        </is>
      </c>
      <c r="C65" s="7" t="inlineStr">
        <is>
          <t>Hub 2028</t>
        </is>
      </c>
      <c r="D65" s="42" t="n">
        <v>50</v>
      </c>
      <c r="E65" s="42">
        <f>Market!$D$7</f>
        <v/>
      </c>
      <c r="F65" s="42" t="n">
        <v>0.005000501</v>
      </c>
      <c r="G65" s="14">
        <f>IF(ISNUMBER(E65),IF(ABS(E65-D65)&lt;=F65,"OK","ERROR"),"ERROR")</f>
        <v/>
      </c>
      <c r="H65" s="5" t="inlineStr">
        <is>
          <t>$50.00</t>
        </is>
      </c>
    </row>
    <row r="66">
      <c r="B66" s="7" t="inlineStr">
        <is>
          <t>prices_2028</t>
        </is>
      </c>
      <c r="C66" s="7" t="inlineStr">
        <is>
          <t>Solar-weighted hub 2028</t>
        </is>
      </c>
      <c r="D66" s="42" t="n">
        <v>45</v>
      </c>
      <c r="E66" s="42">
        <f>Market!$D$9</f>
        <v/>
      </c>
      <c r="F66" s="42" t="n">
        <v>0.005000501</v>
      </c>
      <c r="G66" s="14">
        <f>IF(ISNUMBER(E66),IF(ABS(E66-D66)&lt;=F66,"OK","ERROR"),"ERROR")</f>
        <v/>
      </c>
      <c r="H66" s="5" t="inlineStr">
        <is>
          <t>$45.00</t>
        </is>
      </c>
    </row>
    <row r="67">
      <c r="B67" s="7" t="inlineStr">
        <is>
          <t>prices_2028</t>
        </is>
      </c>
      <c r="C67" s="7" t="inlineStr">
        <is>
          <t>Node 2028</t>
        </is>
      </c>
      <c r="D67" s="42" t="n">
        <v>42.5</v>
      </c>
      <c r="E67" s="42">
        <f>Market!$D$11</f>
        <v/>
      </c>
      <c r="F67" s="42" t="n">
        <v>0.005000501</v>
      </c>
      <c r="G67" s="14">
        <f>IF(ISNUMBER(E67),IF(ABS(E67-D67)&lt;=F67,"OK","ERROR"),"ERROR")</f>
        <v/>
      </c>
      <c r="H67" s="5" t="inlineStr">
        <is>
          <t>$42.50</t>
        </is>
      </c>
    </row>
    <row r="68">
      <c r="B68" s="7" t="inlineStr">
        <is>
          <t>prices_2028</t>
        </is>
      </c>
      <c r="C68" s="7" t="inlineStr">
        <is>
          <t>Capacity revenue 2028</t>
        </is>
      </c>
      <c r="D68" s="25" t="n">
        <v>1970000</v>
      </c>
      <c r="E68" s="25">
        <f>Market!$D$13</f>
        <v/>
      </c>
      <c r="F68" s="25" t="n">
        <v>5000.500000001</v>
      </c>
      <c r="G68" s="14">
        <f>IF(ISNUMBER(E68),IF(ABS(E68-D68)&lt;=F68,"OK","ERROR"),"ERROR")</f>
        <v/>
      </c>
      <c r="H68" s="5" t="inlineStr">
        <is>
          <t>$1.97 million</t>
        </is>
      </c>
    </row>
    <row r="69">
      <c r="B69" s="7" t="inlineStr">
        <is>
          <t>prices_2032</t>
        </is>
      </c>
      <c r="C69" s="7" t="inlineStr">
        <is>
          <t>Hub</t>
        </is>
      </c>
      <c r="D69" s="42" t="n">
        <v>55.19</v>
      </c>
      <c r="E69" s="42">
        <f>Market!$H$7</f>
        <v/>
      </c>
      <c r="F69" s="42" t="n">
        <v>0.005000501</v>
      </c>
      <c r="G69" s="14">
        <f>IF(ISNUMBER(E69),IF(ABS(E69-D69)&lt;=F69,"OK","ERROR"),"ERROR")</f>
        <v/>
      </c>
      <c r="H69" s="5" t="inlineStr">
        <is>
          <t>$55.19</t>
        </is>
      </c>
    </row>
    <row r="70">
      <c r="B70" s="7" t="inlineStr">
        <is>
          <t>prices_2032</t>
        </is>
      </c>
      <c r="C70" s="7" t="inlineStr">
        <is>
          <t>Capture</t>
        </is>
      </c>
      <c r="D70" s="24" t="n">
        <v>0.868</v>
      </c>
      <c r="E70" s="24">
        <f>Market!$H$8</f>
        <v/>
      </c>
      <c r="F70" s="24" t="n">
        <v>0.0005000510000000001</v>
      </c>
      <c r="G70" s="14">
        <f>IF(ISNUMBER(E70),IF(ABS(E70-D70)&lt;=F70,"OK","ERROR"),"ERROR")</f>
        <v/>
      </c>
      <c r="H70" s="5" t="inlineStr">
        <is>
          <t>86.8 percent</t>
        </is>
      </c>
    </row>
    <row r="71">
      <c r="B71" s="7" t="inlineStr">
        <is>
          <t>prices_2032</t>
        </is>
      </c>
      <c r="C71" s="7" t="inlineStr">
        <is>
          <t>Solar-weighted hub</t>
        </is>
      </c>
      <c r="D71" s="42" t="n">
        <v>47.91</v>
      </c>
      <c r="E71" s="42">
        <f>Market!$H$9</f>
        <v/>
      </c>
      <c r="F71" s="42" t="n">
        <v>0.005000501</v>
      </c>
      <c r="G71" s="14">
        <f>IF(ISNUMBER(E71),IF(ABS(E71-D71)&lt;=F71,"OK","ERROR"),"ERROR")</f>
        <v/>
      </c>
      <c r="H71" s="5" t="inlineStr">
        <is>
          <t>$47.91</t>
        </is>
      </c>
    </row>
    <row r="72">
      <c r="B72" s="7" t="inlineStr">
        <is>
          <t>prices_2032</t>
        </is>
      </c>
      <c r="C72" s="7" t="inlineStr">
        <is>
          <t>Node</t>
        </is>
      </c>
      <c r="D72" s="42" t="n">
        <v>45.15</v>
      </c>
      <c r="E72" s="42">
        <f>Market!$H$11</f>
        <v/>
      </c>
      <c r="F72" s="42" t="n">
        <v>0.005000501</v>
      </c>
      <c r="G72" s="14">
        <f>IF(ISNUMBER(E72),IF(ABS(E72-D72)&lt;=F72,"OK","ERROR"),"ERROR")</f>
        <v/>
      </c>
      <c r="H72" s="5" t="inlineStr">
        <is>
          <t>$45.15</t>
        </is>
      </c>
    </row>
    <row r="73">
      <c r="B73" s="7" t="inlineStr">
        <is>
          <t>prices_2032</t>
        </is>
      </c>
      <c r="C73" s="7" t="inlineStr">
        <is>
          <t>Accreditation</t>
        </is>
      </c>
      <c r="D73" s="24" t="n">
        <v>0.24</v>
      </c>
      <c r="E73" s="24">
        <f>Market!$H$12</f>
        <v/>
      </c>
      <c r="F73" s="24" t="n">
        <v>0.0005000510000000001</v>
      </c>
      <c r="G73" s="14">
        <f>IF(ISNUMBER(E73),IF(ABS(E73-D73)&lt;=F73,"OK","ERROR"),"ERROR")</f>
        <v/>
      </c>
      <c r="H73" s="5" t="inlineStr">
        <is>
          <t>24.0 percent</t>
        </is>
      </c>
    </row>
    <row r="74">
      <c r="B74" s="7" t="inlineStr">
        <is>
          <t>prices_2032</t>
        </is>
      </c>
      <c r="C74" s="7" t="inlineStr">
        <is>
          <t>Merchant revenue</t>
        </is>
      </c>
      <c r="D74" s="25" t="n">
        <v>17760000</v>
      </c>
      <c r="E74" s="25">
        <f>Market!$H$15</f>
        <v/>
      </c>
      <c r="F74" s="25" t="n">
        <v>5000.500000001</v>
      </c>
      <c r="G74" s="14">
        <f>IF(ISNUMBER(E74),IF(ABS(E74-D74)&lt;=F74,"OK","ERROR"),"ERROR")</f>
        <v/>
      </c>
      <c r="H74" s="5" t="inlineStr">
        <is>
          <t>$17.76 million</t>
        </is>
      </c>
    </row>
    <row r="75">
      <c r="B75" s="7" t="inlineStr">
        <is>
          <t>prices_2042</t>
        </is>
      </c>
      <c r="C75" s="7" t="inlineStr">
        <is>
          <t>Hub</t>
        </is>
      </c>
      <c r="D75" s="42" t="n">
        <v>70.65000000000001</v>
      </c>
      <c r="E75" s="42">
        <f>Market!$R$7</f>
        <v/>
      </c>
      <c r="F75" s="42" t="n">
        <v>0.005000501</v>
      </c>
      <c r="G75" s="14">
        <f>IF(ISNUMBER(E75),IF(ABS(E75-D75)&lt;=F75,"OK","ERROR"),"ERROR")</f>
        <v/>
      </c>
      <c r="H75" s="5" t="inlineStr">
        <is>
          <t>$70.65</t>
        </is>
      </c>
    </row>
    <row r="76">
      <c r="B76" s="7" t="inlineStr">
        <is>
          <t>prices_2042</t>
        </is>
      </c>
      <c r="C76" s="7" t="inlineStr">
        <is>
          <t>Capture</t>
        </is>
      </c>
      <c r="D76" s="24" t="n">
        <v>0.8</v>
      </c>
      <c r="E76" s="24">
        <f>Market!$R$8</f>
        <v/>
      </c>
      <c r="F76" s="24" t="n">
        <v>0.0005000510000000001</v>
      </c>
      <c r="G76" s="14">
        <f>IF(ISNUMBER(E76),IF(ABS(E76-D76)&lt;=F76,"OK","ERROR"),"ERROR")</f>
        <v/>
      </c>
      <c r="H76" s="5" t="inlineStr">
        <is>
          <t>80.0 percent</t>
        </is>
      </c>
    </row>
    <row r="77">
      <c r="B77" s="7" t="inlineStr">
        <is>
          <t>prices_2042</t>
        </is>
      </c>
      <c r="C77" s="7" t="inlineStr">
        <is>
          <t>Solar-weighted hub</t>
        </is>
      </c>
      <c r="D77" s="42" t="n">
        <v>56.52</v>
      </c>
      <c r="E77" s="42">
        <f>Market!$R$9</f>
        <v/>
      </c>
      <c r="F77" s="42" t="n">
        <v>0.005000501</v>
      </c>
      <c r="G77" s="14">
        <f>IF(ISNUMBER(E77),IF(ABS(E77-D77)&lt;=F77,"OK","ERROR"),"ERROR")</f>
        <v/>
      </c>
      <c r="H77" s="5" t="inlineStr">
        <is>
          <t>$56.52</t>
        </is>
      </c>
    </row>
    <row r="78">
      <c r="B78" s="7" t="inlineStr">
        <is>
          <t>prices_2042</t>
        </is>
      </c>
      <c r="C78" s="7" t="inlineStr">
        <is>
          <t>Node</t>
        </is>
      </c>
      <c r="D78" s="42" t="n">
        <v>52.99</v>
      </c>
      <c r="E78" s="42">
        <f>Market!$R$11</f>
        <v/>
      </c>
      <c r="F78" s="42" t="n">
        <v>0.005000501</v>
      </c>
      <c r="G78" s="14">
        <f>IF(ISNUMBER(E78),IF(ABS(E78-D78)&lt;=F78,"OK","ERROR"),"ERROR")</f>
        <v/>
      </c>
      <c r="H78" s="5" t="inlineStr">
        <is>
          <t>$52.99</t>
        </is>
      </c>
    </row>
    <row r="79">
      <c r="B79" s="7" t="inlineStr">
        <is>
          <t>prices_2042</t>
        </is>
      </c>
      <c r="C79" s="7" t="inlineStr">
        <is>
          <t>Accreditation</t>
        </is>
      </c>
      <c r="D79" s="24" t="n">
        <v>0.12</v>
      </c>
      <c r="E79" s="24">
        <f>Market!$R$12</f>
        <v/>
      </c>
      <c r="F79" s="24" t="n">
        <v>0.0005000510000000001</v>
      </c>
      <c r="G79" s="14">
        <f>IF(ISNUMBER(E79),IF(ABS(E79-D79)&lt;=F79,"OK","ERROR"),"ERROR")</f>
        <v/>
      </c>
      <c r="H79" s="5" t="inlineStr">
        <is>
          <t>12.0 percent</t>
        </is>
      </c>
    </row>
    <row r="80">
      <c r="B80" s="7" t="inlineStr">
        <is>
          <t>prices_2042</t>
        </is>
      </c>
      <c r="C80" s="7" t="inlineStr">
        <is>
          <t>Merchant revenue</t>
        </is>
      </c>
      <c r="D80" s="25" t="n">
        <v>18870000</v>
      </c>
      <c r="E80" s="25">
        <f>Market!$R$15</f>
        <v/>
      </c>
      <c r="F80" s="25" t="n">
        <v>5000.500000001</v>
      </c>
      <c r="G80" s="14">
        <f>IF(ISNUMBER(E80),IF(ABS(E80-D80)&lt;=F80,"OK","ERROR"),"ERROR")</f>
        <v/>
      </c>
      <c r="H80" s="5" t="inlineStr">
        <is>
          <t>$18.87 million</t>
        </is>
      </c>
    </row>
    <row r="81">
      <c r="B81" s="7" t="inlineStr">
        <is>
          <t>prices_2047</t>
        </is>
      </c>
      <c r="C81" s="7" t="inlineStr">
        <is>
          <t>Hub</t>
        </is>
      </c>
      <c r="D81" s="42" t="n">
        <v>79.93000000000001</v>
      </c>
      <c r="E81" s="42">
        <f>Market!$W$7</f>
        <v/>
      </c>
      <c r="F81" s="42" t="n">
        <v>0.005000501</v>
      </c>
      <c r="G81" s="14">
        <f>IF(ISNUMBER(E81),IF(ABS(E81-D81)&lt;=F81,"OK","ERROR"),"ERROR")</f>
        <v/>
      </c>
      <c r="H81" s="5" t="inlineStr">
        <is>
          <t>$79.93</t>
        </is>
      </c>
    </row>
    <row r="82">
      <c r="B82" s="7" t="inlineStr">
        <is>
          <t>prices_2047</t>
        </is>
      </c>
      <c r="C82" s="7" t="inlineStr">
        <is>
          <t>Capture</t>
        </is>
      </c>
      <c r="D82" s="24" t="n">
        <v>0.8</v>
      </c>
      <c r="E82" s="24">
        <f>Market!$W$8</f>
        <v/>
      </c>
      <c r="F82" s="24" t="n">
        <v>0.0005000510000000001</v>
      </c>
      <c r="G82" s="14">
        <f>IF(ISNUMBER(E82),IF(ABS(E82-D82)&lt;=F82,"OK","ERROR"),"ERROR")</f>
        <v/>
      </c>
      <c r="H82" s="5" t="inlineStr">
        <is>
          <t>80.0 percent</t>
        </is>
      </c>
    </row>
    <row r="83">
      <c r="B83" s="7" t="inlineStr">
        <is>
          <t>prices_2047</t>
        </is>
      </c>
      <c r="C83" s="7" t="inlineStr">
        <is>
          <t>Solar-weighted hub</t>
        </is>
      </c>
      <c r="D83" s="42" t="n">
        <v>63.95</v>
      </c>
      <c r="E83" s="42">
        <f>Market!$W$9</f>
        <v/>
      </c>
      <c r="F83" s="42" t="n">
        <v>0.005000501</v>
      </c>
      <c r="G83" s="14">
        <f>IF(ISNUMBER(E83),IF(ABS(E83-D83)&lt;=F83,"OK","ERROR"),"ERROR")</f>
        <v/>
      </c>
      <c r="H83" s="5" t="inlineStr">
        <is>
          <t>$63.95</t>
        </is>
      </c>
    </row>
    <row r="84">
      <c r="B84" s="7" t="inlineStr">
        <is>
          <t>prices_2047</t>
        </is>
      </c>
      <c r="C84" s="7" t="inlineStr">
        <is>
          <t>Node</t>
        </is>
      </c>
      <c r="D84" s="42" t="n">
        <v>59.95</v>
      </c>
      <c r="E84" s="42">
        <f>Market!$W$11</f>
        <v/>
      </c>
      <c r="F84" s="42" t="n">
        <v>0.005000501</v>
      </c>
      <c r="G84" s="14">
        <f>IF(ISNUMBER(E84),IF(ABS(E84-D84)&lt;=F84,"OK","ERROR"),"ERROR")</f>
        <v/>
      </c>
      <c r="H84" s="5" t="inlineStr">
        <is>
          <t>$59.95</t>
        </is>
      </c>
    </row>
    <row r="85">
      <c r="B85" s="7" t="inlineStr">
        <is>
          <t>prices_2047</t>
        </is>
      </c>
      <c r="C85" s="7" t="inlineStr">
        <is>
          <t>Accreditation</t>
        </is>
      </c>
      <c r="D85" s="24" t="n">
        <v>0.12</v>
      </c>
      <c r="E85" s="24">
        <f>Market!$W$12</f>
        <v/>
      </c>
      <c r="F85" s="24" t="n">
        <v>0.0005000510000000001</v>
      </c>
      <c r="G85" s="14">
        <f>IF(ISNUMBER(E85),IF(ABS(E85-D85)&lt;=F85,"OK","ERROR"),"ERROR")</f>
        <v/>
      </c>
      <c r="H85" s="5" t="inlineStr">
        <is>
          <t>12.0 percent</t>
        </is>
      </c>
    </row>
    <row r="86">
      <c r="B86" s="7" t="inlineStr">
        <is>
          <t>prices_2047</t>
        </is>
      </c>
      <c r="C86" s="7" t="inlineStr">
        <is>
          <t>Merchant revenue</t>
        </is>
      </c>
      <c r="D86" s="25" t="n">
        <v>20720000</v>
      </c>
      <c r="E86" s="25">
        <f>Market!$W$15</f>
        <v/>
      </c>
      <c r="F86" s="25" t="n">
        <v>5000.500000001</v>
      </c>
      <c r="G86" s="14">
        <f>IF(ISNUMBER(E86),IF(ABS(E86-D86)&lt;=F86,"OK","ERROR"),"ERROR")</f>
        <v/>
      </c>
      <c r="H86" s="5" t="inlineStr">
        <is>
          <t>$20.72 million</t>
        </is>
      </c>
    </row>
    <row r="87">
      <c r="B87" s="7" t="inlineStr">
        <is>
          <t>capture_floor_year</t>
        </is>
      </c>
      <c r="C87" s="7" t="inlineStr">
        <is>
          <t>Capture floor year</t>
        </is>
      </c>
      <c r="D87" s="30" t="n">
        <v>2041</v>
      </c>
      <c r="E87" s="30">
        <f>Market!$C$19</f>
        <v/>
      </c>
      <c r="F87" s="30" t="n">
        <v>0.500050001</v>
      </c>
      <c r="G87" s="14">
        <f>IF(ISNUMBER(E87),IF(ABS(E87-D87)&lt;=F87,"OK","ERROR"),"ERROR")</f>
        <v/>
      </c>
      <c r="H87" s="5" t="inlineStr">
        <is>
          <t>2041</t>
        </is>
      </c>
    </row>
    <row r="88">
      <c r="B88" s="7" t="inlineStr">
        <is>
          <t>capture_floor_year</t>
        </is>
      </c>
      <c r="C88" s="7" t="inlineStr">
        <is>
          <t>Accreditation floor year</t>
        </is>
      </c>
      <c r="D88" s="30" t="n">
        <v>2040</v>
      </c>
      <c r="E88" s="30">
        <f>Market!$C$20</f>
        <v/>
      </c>
      <c r="F88" s="30" t="n">
        <v>0.500050001</v>
      </c>
      <c r="G88" s="14">
        <f>IF(ISNUMBER(E88),IF(ABS(E88-D88)&lt;=F88,"OK","ERROR"),"ERROR")</f>
        <v/>
      </c>
      <c r="H88" s="5" t="inlineStr">
        <is>
          <t>2040</t>
        </is>
      </c>
    </row>
    <row r="89">
      <c r="B89" s="7" t="inlineStr">
        <is>
          <t>o_and_m_2028</t>
        </is>
      </c>
      <c r="C89" s="7" t="inlineStr">
        <is>
          <t>Operating cost 2028</t>
        </is>
      </c>
      <c r="D89" s="25" t="n">
        <v>4760000</v>
      </c>
      <c r="E89" s="25">
        <f>Opex!$D$13</f>
        <v/>
      </c>
      <c r="F89" s="25" t="n">
        <v>5000.500000001</v>
      </c>
      <c r="G89" s="14">
        <f>IF(ISNUMBER(E89),IF(ABS(E89-D89)&lt;=F89,"OK","ERROR"),"ERROR")</f>
        <v/>
      </c>
      <c r="H89" s="5" t="inlineStr">
        <is>
          <t>$4.76 million</t>
        </is>
      </c>
    </row>
    <row r="90">
      <c r="B90" s="7" t="inlineStr">
        <is>
          <t>o_and_m_2028</t>
        </is>
      </c>
      <c r="C90" s="7" t="inlineStr">
        <is>
          <t>O&amp;M</t>
        </is>
      </c>
      <c r="D90" s="25" t="n">
        <v>1350000</v>
      </c>
      <c r="E90" s="25">
        <f>Opex!$D$9</f>
        <v/>
      </c>
      <c r="F90" s="25" t="n">
        <v>5000.500000001</v>
      </c>
      <c r="G90" s="14">
        <f>IF(ISNUMBER(E90),IF(ABS(E90-D90)&lt;=F90,"OK","ERROR"),"ERROR")</f>
        <v/>
      </c>
      <c r="H90" s="5" t="inlineStr">
        <is>
          <t>$1.35 million</t>
        </is>
      </c>
    </row>
    <row r="91">
      <c r="B91" s="7" t="inlineStr">
        <is>
          <t>o_and_m_2028</t>
        </is>
      </c>
      <c r="C91" s="7" t="inlineStr">
        <is>
          <t>Insurance</t>
        </is>
      </c>
      <c r="D91" s="25" t="n">
        <v>660000</v>
      </c>
      <c r="E91" s="25">
        <f>Opex!$D$10</f>
        <v/>
      </c>
      <c r="F91" s="25" t="n">
        <v>5000.500000001</v>
      </c>
      <c r="G91" s="14">
        <f>IF(ISNUMBER(E91),IF(ABS(E91-D91)&lt;=F91,"OK","ERROR"),"ERROR")</f>
        <v/>
      </c>
      <c r="H91" s="5" t="inlineStr">
        <is>
          <t>$0.66 million</t>
        </is>
      </c>
    </row>
    <row r="92">
      <c r="B92" s="7" t="inlineStr">
        <is>
          <t>o_and_m_2028</t>
        </is>
      </c>
      <c r="C92" s="7" t="inlineStr">
        <is>
          <t>Rent</t>
        </is>
      </c>
      <c r="D92" s="25" t="n">
        <v>1050000</v>
      </c>
      <c r="E92" s="25">
        <f>Opex!$D$11</f>
        <v/>
      </c>
      <c r="F92" s="25" t="n">
        <v>5000.500000001</v>
      </c>
      <c r="G92" s="14">
        <f>IF(ISNUMBER(E92),IF(ABS(E92-D92)&lt;=F92,"OK","ERROR"),"ERROR")</f>
        <v/>
      </c>
      <c r="H92" s="5" t="inlineStr">
        <is>
          <t>$1.05 million</t>
        </is>
      </c>
    </row>
    <row r="93">
      <c r="B93" s="7" t="inlineStr">
        <is>
          <t>o_and_m_2028</t>
        </is>
      </c>
      <c r="C93" s="7" t="inlineStr">
        <is>
          <t>Other</t>
        </is>
      </c>
      <c r="D93" s="25" t="n">
        <v>1700000</v>
      </c>
      <c r="E93" s="25">
        <f>Opex!$D$12</f>
        <v/>
      </c>
      <c r="F93" s="25" t="n">
        <v>5000.500000001</v>
      </c>
      <c r="G93" s="14">
        <f>IF(ISNUMBER(E93),IF(ABS(E93-D93)&lt;=F93,"OK","ERROR"),"ERROR")</f>
        <v/>
      </c>
      <c r="H93" s="5" t="inlineStr">
        <is>
          <t>$1.70 million</t>
        </is>
      </c>
    </row>
    <row r="94">
      <c r="B94" s="7" t="inlineStr">
        <is>
          <t>o_and_m_2028</t>
        </is>
      </c>
      <c r="C94" s="7" t="inlineStr">
        <is>
          <t>Per kWac-year</t>
        </is>
      </c>
      <c r="D94" s="42" t="n">
        <v>31.75</v>
      </c>
      <c r="E94" s="42">
        <f>Opex!$C$15</f>
        <v/>
      </c>
      <c r="F94" s="42" t="n">
        <v>0.005000501</v>
      </c>
      <c r="G94" s="14">
        <f>IF(ISNUMBER(E94),IF(ABS(E94-D94)&lt;=F94,"OK","ERROR"),"ERROR")</f>
        <v/>
      </c>
      <c r="H94" s="5" t="inlineStr">
        <is>
          <t>$31.75</t>
        </is>
      </c>
    </row>
    <row r="95">
      <c r="B95" s="7" t="inlineStr">
        <is>
          <t>rent_path</t>
        </is>
      </c>
      <c r="C95" s="7" t="inlineStr">
        <is>
          <t>Rent 2062</t>
        </is>
      </c>
      <c r="D95" s="25" t="n">
        <v>2060000</v>
      </c>
      <c r="E95" s="25">
        <f>Opex!$AL$11</f>
        <v/>
      </c>
      <c r="F95" s="25" t="n">
        <v>5000.500000001</v>
      </c>
      <c r="G95" s="14">
        <f>IF(ISNUMBER(E95),IF(ABS(E95-D95)&lt;=F95,"OK","ERROR"),"ERROR")</f>
        <v/>
      </c>
      <c r="H95" s="5" t="inlineStr">
        <is>
          <t>$2.06 million</t>
        </is>
      </c>
    </row>
    <row r="96">
      <c r="B96" s="7" t="inlineStr">
        <is>
          <t>rent_path</t>
        </is>
      </c>
      <c r="C96" s="7" t="inlineStr">
        <is>
          <t>Total rent</t>
        </is>
      </c>
      <c r="D96" s="25" t="n">
        <v>52500000</v>
      </c>
      <c r="E96" s="25">
        <f>Opex!$C$16</f>
        <v/>
      </c>
      <c r="F96" s="25" t="n">
        <v>50005.000000001</v>
      </c>
      <c r="G96" s="14">
        <f>IF(ISNUMBER(E96),IF(ABS(E96-D96)&lt;=F96,"OK","ERROR"),"ERROR")</f>
        <v/>
      </c>
      <c r="H96" s="5" t="inlineStr">
        <is>
          <t>$52.5 million</t>
        </is>
      </c>
    </row>
    <row r="97">
      <c r="B97" s="7" t="inlineStr">
        <is>
          <t>decom_bond</t>
        </is>
      </c>
      <c r="C97" s="7" t="inlineStr">
        <is>
          <t>Decommissioning, 2027 dollars</t>
        </is>
      </c>
      <c r="D97" s="25" t="n">
        <v>7800000</v>
      </c>
      <c r="E97" s="25">
        <f>Opex!$C$21</f>
        <v/>
      </c>
      <c r="F97" s="25" t="n">
        <v>50005.000000001</v>
      </c>
      <c r="G97" s="14">
        <f>IF(ISNUMBER(E97),IF(ABS(E97-D97)&lt;=F97,"OK","ERROR"),"ERROR")</f>
        <v/>
      </c>
      <c r="H97" s="5" t="inlineStr">
        <is>
          <t>$7.8 million</t>
        </is>
      </c>
    </row>
    <row r="98">
      <c r="B98" s="7" t="inlineStr">
        <is>
          <t>decom_bond</t>
        </is>
      </c>
      <c r="C98" s="7" t="inlineStr">
        <is>
          <t>Decommissioning, escalated</t>
        </is>
      </c>
      <c r="D98" s="25" t="n">
        <v>19000000</v>
      </c>
      <c r="E98" s="25">
        <f>Opex!$C$22</f>
        <v/>
      </c>
      <c r="F98" s="25" t="n">
        <v>50005.000000001</v>
      </c>
      <c r="G98" s="14">
        <f>IF(ISNUMBER(E98),IF(ABS(E98-D98)&lt;=F98,"OK","ERROR"),"ERROR")</f>
        <v/>
      </c>
      <c r="H98" s="5" t="inlineStr">
        <is>
          <t>$19.0 million</t>
        </is>
      </c>
    </row>
    <row r="99">
      <c r="B99" s="7" t="inlineStr">
        <is>
          <t>land</t>
        </is>
      </c>
      <c r="C99" s="7" t="inlineStr">
        <is>
          <t>Acres per MWac</t>
        </is>
      </c>
      <c r="D99" s="32" t="n">
        <v>7</v>
      </c>
      <c r="E99" s="32">
        <f>Opex!$C$18</f>
        <v/>
      </c>
      <c r="F99" s="32" t="n">
        <v>0.050005001</v>
      </c>
      <c r="G99" s="14">
        <f>IF(ISNUMBER(E99),IF(ABS(E99-D99)&lt;=F99,"OK","ERROR"),"ERROR")</f>
        <v/>
      </c>
      <c r="H99" s="5" t="inlineStr">
        <is>
          <t>7.0</t>
        </is>
      </c>
    </row>
    <row r="100">
      <c r="B100" s="7" t="inlineStr">
        <is>
          <t>land</t>
        </is>
      </c>
      <c r="C100" s="7" t="inlineStr">
        <is>
          <t>Option payments a year</t>
        </is>
      </c>
      <c r="D100" s="25" t="n">
        <v>50000</v>
      </c>
      <c r="E100" s="25">
        <f>Opex!$C$19</f>
        <v/>
      </c>
      <c r="F100" s="25" t="n">
        <v>5000.500000001</v>
      </c>
      <c r="G100" s="14">
        <f>IF(ISNUMBER(E100),IF(ABS(E100-D100)&lt;=F100,"OK","ERROR"),"ERROR")</f>
        <v/>
      </c>
      <c r="H100" s="5" t="inlineStr">
        <is>
          <t>$0.05 million</t>
        </is>
      </c>
    </row>
    <row r="101">
      <c r="B101" s="7" t="inlineStr">
        <is>
          <t>land</t>
        </is>
      </c>
      <c r="C101" s="7" t="inlineStr">
        <is>
          <t>Rent 2028</t>
        </is>
      </c>
      <c r="D101" s="25" t="n">
        <v>1050000</v>
      </c>
      <c r="E101" s="25">
        <f>Opex!$C$20</f>
        <v/>
      </c>
      <c r="F101" s="25" t="n">
        <v>5000.500000001</v>
      </c>
      <c r="G101" s="14">
        <f>IF(ISNUMBER(E101),IF(ABS(E101-D101)&lt;=F101,"OK","ERROR"),"ERROR")</f>
        <v/>
      </c>
      <c r="H101" s="5" t="inlineStr">
        <is>
          <t>$1.05 million</t>
        </is>
      </c>
    </row>
    <row r="102">
      <c r="B102" s="7" t="inlineStr">
        <is>
          <t>land_value_share</t>
        </is>
      </c>
      <c r="C102" s="7" t="inlineStr">
        <is>
          <t>Rent share</t>
        </is>
      </c>
      <c r="D102" s="24" t="n">
        <v>0.22</v>
      </c>
      <c r="E102" s="24">
        <f>Opex!$C$17</f>
        <v/>
      </c>
      <c r="F102" s="24" t="n">
        <v>0.005000501</v>
      </c>
      <c r="G102" s="14">
        <f>IF(ISNUMBER(E102),IF(ABS(E102-D102)&lt;=F102,"OK","ERROR"),"ERROR")</f>
        <v/>
      </c>
      <c r="H102" s="5" t="inlineStr">
        <is>
          <t>22 percent</t>
        </is>
      </c>
    </row>
    <row r="103">
      <c r="B103" s="7" t="inlineStr">
        <is>
          <t>land_value_share</t>
        </is>
      </c>
      <c r="C103" s="7" t="inlineStr">
        <is>
          <t>Value lost with rent +20%</t>
        </is>
      </c>
      <c r="D103" s="25" t="n">
        <v>3200000</v>
      </c>
      <c r="E103" s="25">
        <f>-Sensitivities!$D$21</f>
        <v/>
      </c>
      <c r="F103" s="25" t="n">
        <v>50005.000000001</v>
      </c>
      <c r="G103" s="14">
        <f>IF(ISNUMBER(E103),IF(ABS(E103-D103)&lt;=F103,"OK","ERROR"),"ERROR")</f>
        <v/>
      </c>
      <c r="H103" s="5" t="inlineStr">
        <is>
          <t>$3.2 million</t>
        </is>
      </c>
    </row>
    <row r="104">
      <c r="B104" s="7" t="inlineStr">
        <is>
          <t>ptc_rates</t>
        </is>
      </c>
      <c r="C104" s="7" t="inlineStr">
        <is>
          <t>PTC rate 2026</t>
        </is>
      </c>
      <c r="D104" s="27" t="n">
        <v>3</v>
      </c>
      <c r="E104" s="27">
        <f>Credits!$E$23</f>
        <v/>
      </c>
      <c r="F104" s="27" t="n">
        <v>0.005000501</v>
      </c>
      <c r="G104" s="14">
        <f>IF(ISNUMBER(E104),IF(ABS(E104-D104)&lt;=F104,"OK","ERROR"),"ERROR")</f>
        <v/>
      </c>
      <c r="H104" s="5" t="inlineStr">
        <is>
          <t>3.00 cents</t>
        </is>
      </c>
    </row>
    <row r="105">
      <c r="B105" s="7" t="inlineStr">
        <is>
          <t>ptc_rates</t>
        </is>
      </c>
      <c r="C105" s="7" t="inlineStr">
        <is>
          <t>PTC rate 2027</t>
        </is>
      </c>
      <c r="D105" s="27" t="n">
        <v>3.25</v>
      </c>
      <c r="E105" s="27">
        <f>Credits!$E$24</f>
        <v/>
      </c>
      <c r="F105" s="27" t="n">
        <v>0.005000501</v>
      </c>
      <c r="G105" s="14">
        <f>IF(ISNUMBER(E105),IF(ABS(E105-D105)&lt;=F105,"OK","ERROR"),"ERROR")</f>
        <v/>
      </c>
      <c r="H105" s="5" t="inlineStr">
        <is>
          <t>3.25 cents</t>
        </is>
      </c>
    </row>
    <row r="106">
      <c r="B106" s="7" t="inlineStr">
        <is>
          <t>ptc_rates</t>
        </is>
      </c>
      <c r="C106" s="7" t="inlineStr">
        <is>
          <t>PTC rate 2028</t>
        </is>
      </c>
      <c r="D106" s="27" t="n">
        <v>3.25</v>
      </c>
      <c r="E106" s="27">
        <f>Credits!$E$25</f>
        <v/>
      </c>
      <c r="F106" s="27" t="n">
        <v>0.005000501</v>
      </c>
      <c r="G106" s="14">
        <f>IF(ISNUMBER(E106),IF(ABS(E106-D106)&lt;=F106,"OK","ERROR"),"ERROR")</f>
        <v/>
      </c>
      <c r="H106" s="5" t="inlineStr">
        <is>
          <t>3.25 cents</t>
        </is>
      </c>
    </row>
    <row r="107">
      <c r="B107" s="7" t="inlineStr">
        <is>
          <t>ptc_rates</t>
        </is>
      </c>
      <c r="C107" s="7" t="inlineStr">
        <is>
          <t>PTC rate 2030</t>
        </is>
      </c>
      <c r="D107" s="27" t="n">
        <v>3.5</v>
      </c>
      <c r="E107" s="27">
        <f>Credits!$E$27</f>
        <v/>
      </c>
      <c r="F107" s="27" t="n">
        <v>0.005000501</v>
      </c>
      <c r="G107" s="14">
        <f>IF(ISNUMBER(E107),IF(ABS(E107-D107)&lt;=F107,"OK","ERROR"),"ERROR")</f>
        <v/>
      </c>
      <c r="H107" s="5" t="inlineStr">
        <is>
          <t>3.50 cents</t>
        </is>
      </c>
    </row>
    <row r="108">
      <c r="B108" s="7" t="inlineStr">
        <is>
          <t>ptc_rates</t>
        </is>
      </c>
      <c r="C108" s="7" t="inlineStr">
        <is>
          <t>PTC rate 2033</t>
        </is>
      </c>
      <c r="D108" s="27" t="n">
        <v>3.75</v>
      </c>
      <c r="E108" s="27">
        <f>Credits!$E$30</f>
        <v/>
      </c>
      <c r="F108" s="27" t="n">
        <v>0.005000501</v>
      </c>
      <c r="G108" s="14">
        <f>IF(ISNUMBER(E108),IF(ABS(E108-D108)&lt;=F108,"OK","ERROR"),"ERROR")</f>
        <v/>
      </c>
      <c r="H108" s="5" t="inlineStr">
        <is>
          <t>3.75 cents</t>
        </is>
      </c>
    </row>
    <row r="109">
      <c r="B109" s="7" t="inlineStr">
        <is>
          <t>ptc_rates</t>
        </is>
      </c>
      <c r="C109" s="7" t="inlineStr">
        <is>
          <t>PTC rate 2037</t>
        </is>
      </c>
      <c r="D109" s="27" t="n">
        <v>4</v>
      </c>
      <c r="E109" s="27">
        <f>Credits!$E$34</f>
        <v/>
      </c>
      <c r="F109" s="27" t="n">
        <v>0.005000501</v>
      </c>
      <c r="G109" s="14">
        <f>IF(ISNUMBER(E109),IF(ABS(E109-D109)&lt;=F109,"OK","ERROR"),"ERROR")</f>
        <v/>
      </c>
      <c r="H109" s="5" t="inlineStr">
        <is>
          <t>4.00 cents</t>
        </is>
      </c>
    </row>
    <row r="110">
      <c r="B110" s="7" t="inlineStr">
        <is>
          <t>ptc_2028</t>
        </is>
      </c>
      <c r="C110" s="7" t="inlineStr">
        <is>
          <t>PTC rate 2028 $/MWh</t>
        </is>
      </c>
      <c r="D110" s="42" t="n">
        <v>32.5</v>
      </c>
      <c r="E110" s="42">
        <f>Credits!$D$8</f>
        <v/>
      </c>
      <c r="F110" s="42" t="n">
        <v>0.005000501</v>
      </c>
      <c r="G110" s="14">
        <f>IF(ISNUMBER(E110),IF(ABS(E110-D110)&lt;=F110,"OK","ERROR"),"ERROR")</f>
        <v/>
      </c>
      <c r="H110" s="5" t="inlineStr">
        <is>
          <t>$32.50</t>
        </is>
      </c>
    </row>
    <row r="111">
      <c r="B111" s="7" t="inlineStr">
        <is>
          <t>ptc_2028</t>
        </is>
      </c>
      <c r="C111" s="7" t="inlineStr">
        <is>
          <t>PTC 2028 face</t>
        </is>
      </c>
      <c r="D111" s="25" t="n">
        <v>11100000</v>
      </c>
      <c r="E111" s="25">
        <f>Credits!$C$14</f>
        <v/>
      </c>
      <c r="F111" s="25" t="n">
        <v>5000.500000001</v>
      </c>
      <c r="G111" s="14">
        <f>IF(ISNUMBER(E111),IF(ABS(E111-D111)&lt;=F111,"OK","ERROR"),"ERROR")</f>
        <v/>
      </c>
      <c r="H111" s="5" t="inlineStr">
        <is>
          <t>$11.10 million</t>
        </is>
      </c>
    </row>
    <row r="112">
      <c r="B112" s="7" t="inlineStr">
        <is>
          <t>ptc_2028</t>
        </is>
      </c>
      <c r="C112" s="7" t="inlineStr">
        <is>
          <t>PTC 2028 cash</t>
        </is>
      </c>
      <c r="D112" s="25" t="n">
        <v>10270000</v>
      </c>
      <c r="E112" s="25">
        <f>Credits!$C$15</f>
        <v/>
      </c>
      <c r="F112" s="25" t="n">
        <v>5000.500000001</v>
      </c>
      <c r="G112" s="14">
        <f>IF(ISNUMBER(E112),IF(ABS(E112-D112)&lt;=F112,"OK","ERROR"),"ERROR")</f>
        <v/>
      </c>
      <c r="H112" s="5" t="inlineStr">
        <is>
          <t>$10.27 million</t>
        </is>
      </c>
    </row>
    <row r="113">
      <c r="B113" s="7" t="inlineStr">
        <is>
          <t>ptc_total</t>
        </is>
      </c>
      <c r="C113" s="7" t="inlineStr">
        <is>
          <t>PTC face, ten years</t>
        </is>
      </c>
      <c r="D113" s="25" t="n">
        <v>121500000</v>
      </c>
      <c r="E113" s="25">
        <f>Credits!$C$16</f>
        <v/>
      </c>
      <c r="F113" s="25" t="n">
        <v>50005.000000001</v>
      </c>
      <c r="G113" s="14">
        <f>IF(ISNUMBER(E113),IF(ABS(E113-D113)&lt;=F113,"OK","ERROR"),"ERROR")</f>
        <v/>
      </c>
      <c r="H113" s="5" t="inlineStr">
        <is>
          <t>$121.5 million</t>
        </is>
      </c>
    </row>
    <row r="114">
      <c r="B114" s="7" t="inlineStr">
        <is>
          <t>ptc_total</t>
        </is>
      </c>
      <c r="C114" s="7" t="inlineStr">
        <is>
          <t>PTC cash, ten years</t>
        </is>
      </c>
      <c r="D114" s="25" t="n">
        <v>112400000</v>
      </c>
      <c r="E114" s="25">
        <f>Credits!$C$17</f>
        <v/>
      </c>
      <c r="F114" s="25" t="n">
        <v>50005.000000001</v>
      </c>
      <c r="G114" s="14">
        <f>IF(ISNUMBER(E114),IF(ABS(E114-D114)&lt;=F114,"OK","ERROR"),"ERROR")</f>
        <v/>
      </c>
      <c r="H114" s="5" t="inlineStr">
        <is>
          <t>$112.4 million</t>
        </is>
      </c>
    </row>
    <row r="115">
      <c r="B115" s="7" t="inlineStr">
        <is>
          <t>ptc_total</t>
        </is>
      </c>
      <c r="C115" s="7" t="inlineStr">
        <is>
          <t>PTC cash present value</t>
        </is>
      </c>
      <c r="D115" s="25" t="n">
        <v>73000000</v>
      </c>
      <c r="E115" s="25">
        <f>Credits!$C$18</f>
        <v/>
      </c>
      <c r="F115" s="25" t="n">
        <v>50005.000000001</v>
      </c>
      <c r="G115" s="14">
        <f>IF(ISNUMBER(E115),IF(ABS(E115-D115)&lt;=F115,"OK","ERROR"),"ERROR")</f>
        <v/>
      </c>
      <c r="H115" s="5" t="inlineStr">
        <is>
          <t>$73.0 million</t>
        </is>
      </c>
    </row>
    <row r="116">
      <c r="B116" s="7" t="inlineStr">
        <is>
          <t>itc_vs_ptc</t>
        </is>
      </c>
      <c r="C116" s="7" t="inlineStr">
        <is>
          <t>With the ITC</t>
        </is>
      </c>
      <c r="D116" s="25" t="n">
        <v>6600000</v>
      </c>
      <c r="E116" s="25">
        <f>Credits!$C$38</f>
        <v/>
      </c>
      <c r="F116" s="25" t="n">
        <v>50005.000000001</v>
      </c>
      <c r="G116" s="14">
        <f>IF(ISNUMBER(E116),IF(ABS(E116-D116)&lt;=F116,"OK","ERROR"),"ERROR")</f>
        <v/>
      </c>
      <c r="H116" s="5" t="inlineStr">
        <is>
          <t>$6.6 million</t>
        </is>
      </c>
    </row>
    <row r="117">
      <c r="B117" s="7" t="inlineStr">
        <is>
          <t>itc_vs_ptc</t>
        </is>
      </c>
      <c r="C117" s="7" t="inlineStr">
        <is>
          <t>With no credit</t>
        </is>
      </c>
      <c r="D117" s="25" t="n">
        <v>-39600000</v>
      </c>
      <c r="E117" s="25">
        <f>Credits!$C$39</f>
        <v/>
      </c>
      <c r="F117" s="25" t="n">
        <v>50005.000000001</v>
      </c>
      <c r="G117" s="14">
        <f>IF(ISNUMBER(E117),IF(ABS(E117-D117)&lt;=F117,"OK","ERROR"),"ERROR")</f>
        <v/>
      </c>
      <c r="H117" s="5" t="inlineStr">
        <is>
          <t>minus $39.6 million</t>
        </is>
      </c>
    </row>
    <row r="118">
      <c r="B118" s="7" t="inlineStr">
        <is>
          <t>itc_vs_ptc</t>
        </is>
      </c>
      <c r="C118" s="7" t="inlineStr">
        <is>
          <t>PTC over ITC (difference of the printed values)</t>
        </is>
      </c>
      <c r="D118" s="25" t="n">
        <v>26800000</v>
      </c>
      <c r="E118" s="25">
        <f>ROUND(Credits!$C$37/1000000,1)*1000000-ROUND(Credits!$C$38/1000000,1)*1000000</f>
        <v/>
      </c>
      <c r="F118" s="25" t="n">
        <v>50005.000000001</v>
      </c>
      <c r="G118" s="14">
        <f>IF(ISNUMBER(E118),IF(ABS(E118-D118)&lt;=F118,"OK","ERROR"),"ERROR")</f>
        <v/>
      </c>
      <c r="H118" s="5" t="inlineStr">
        <is>
          <t>$26.8 million</t>
        </is>
      </c>
    </row>
    <row r="119">
      <c r="B119" s="7" t="inlineStr">
        <is>
          <t>itc_vs_ptc</t>
        </is>
      </c>
      <c r="C119" s="7" t="inlineStr">
        <is>
          <t>Cost of losing the credit (difference of the printed values)</t>
        </is>
      </c>
      <c r="D119" s="25" t="n">
        <v>73000000</v>
      </c>
      <c r="E119" s="25">
        <f>ROUND(Credits!$C$37/1000000,1)*1000000-ROUND(Credits!$C$39/1000000,1)*1000000</f>
        <v/>
      </c>
      <c r="F119" s="25" t="n">
        <v>50005.000000001</v>
      </c>
      <c r="G119" s="14">
        <f>IF(ISNUMBER(E119),IF(ABS(E119-D119)&lt;=F119,"OK","ERROR"),"ERROR")</f>
        <v/>
      </c>
      <c r="H119" s="5" t="inlineStr">
        <is>
          <t>$73.0 million</t>
        </is>
      </c>
    </row>
    <row r="120">
      <c r="B120" s="7" t="inlineStr">
        <is>
          <t>itc_ptc_crossover</t>
        </is>
      </c>
      <c r="C120" s="7" t="inlineStr">
        <is>
          <t>Crossover capacity factor</t>
        </is>
      </c>
      <c r="D120" s="24" t="n">
        <v>0.165</v>
      </c>
      <c r="E120" s="24">
        <f>Credits!$C$20</f>
        <v/>
      </c>
      <c r="F120" s="24" t="n">
        <v>0.0005000510000000001</v>
      </c>
      <c r="G120" s="14">
        <f>IF(ISNUMBER(E120),IF(ABS(E120-D120)&lt;=F120,"OK","ERROR"),"ERROR")</f>
        <v/>
      </c>
      <c r="H120" s="5" t="inlineStr">
        <is>
          <t>16.5 percent</t>
        </is>
      </c>
    </row>
    <row r="121">
      <c r="B121" s="7" t="inlineStr">
        <is>
          <t>ec_bonus</t>
        </is>
      </c>
      <c r="C121" s="7" t="inlineStr">
        <is>
          <t>Value with the bonus</t>
        </is>
      </c>
      <c r="D121" s="25" t="n">
        <v>40700000</v>
      </c>
      <c r="E121" s="25">
        <f>Credits!$C$40</f>
        <v/>
      </c>
      <c r="F121" s="25" t="n">
        <v>50005.000000001</v>
      </c>
      <c r="G121" s="14">
        <f>IF(ISNUMBER(E121),IF(ABS(E121-D121)&lt;=F121,"OK","ERROR"),"ERROR")</f>
        <v/>
      </c>
      <c r="H121" s="5" t="inlineStr">
        <is>
          <t>$40.7 million</t>
        </is>
      </c>
    </row>
    <row r="122">
      <c r="B122" s="7" t="inlineStr">
        <is>
          <t>ec_bonus</t>
        </is>
      </c>
      <c r="C122" s="7" t="inlineStr">
        <is>
          <t>Change (difference of the printed values)</t>
        </is>
      </c>
      <c r="D122" s="25" t="n">
        <v>7300000</v>
      </c>
      <c r="E122" s="25">
        <f>ROUND(Credits!$C$40/1000000,1)*1000000-ROUND(Cases!$C$36/1000000,1)*1000000</f>
        <v/>
      </c>
      <c r="F122" s="25" t="n">
        <v>50005.000000001</v>
      </c>
      <c r="G122" s="14">
        <f>IF(ISNUMBER(E122),IF(ABS(E122-D122)&lt;=F122,"OK","ERROR"),"ERROR")</f>
        <v/>
      </c>
      <c r="H122" s="5" t="inlineStr">
        <is>
          <t>+$7.3 million</t>
        </is>
      </c>
    </row>
    <row r="123">
      <c r="B123" s="7" t="inlineStr">
        <is>
          <t>transfer_cost</t>
        </is>
      </c>
      <c r="C123" s="7" t="inlineStr">
        <is>
          <t>Transfer haircut</t>
        </is>
      </c>
      <c r="D123" s="25" t="n">
        <v>9100000</v>
      </c>
      <c r="E123" s="25">
        <f>Credits!$C$19</f>
        <v/>
      </c>
      <c r="F123" s="25" t="n">
        <v>50005.000000001</v>
      </c>
      <c r="G123" s="14">
        <f>IF(ISNUMBER(E123),IF(ABS(E123-D123)&lt;=F123,"OK","ERROR"),"ERROR")</f>
        <v/>
      </c>
      <c r="H123" s="5" t="inlineStr">
        <is>
          <t>$9.1 million</t>
        </is>
      </c>
    </row>
    <row r="124">
      <c r="B124" s="7" t="inlineStr">
        <is>
          <t>boc_miss</t>
        </is>
      </c>
      <c r="C124" s="7" t="inlineStr">
        <is>
          <t>Cost of losing the credit</t>
        </is>
      </c>
      <c r="D124" s="25" t="n">
        <v>73000000</v>
      </c>
      <c r="E124" s="25">
        <f>Credits!$C$42</f>
        <v/>
      </c>
      <c r="F124" s="25" t="n">
        <v>50005.000000001</v>
      </c>
      <c r="G124" s="14">
        <f>IF(ISNUMBER(E124),IF(ABS(E124-D124)&lt;=F124,"OK","ERROR"),"ERROR")</f>
        <v/>
      </c>
      <c r="H124" s="5" t="inlineStr">
        <is>
          <t>$73.0 million</t>
        </is>
      </c>
    </row>
    <row r="125">
      <c r="B125" s="7" t="inlineStr">
        <is>
          <t>macr_fail_cost</t>
        </is>
      </c>
      <c r="C125" s="7" t="inlineStr">
        <is>
          <t>No-credit value</t>
        </is>
      </c>
      <c r="D125" s="25" t="n">
        <v>-39600000</v>
      </c>
      <c r="E125" s="25">
        <f>FEOC!$C$21</f>
        <v/>
      </c>
      <c r="F125" s="25" t="n">
        <v>50005.000000001</v>
      </c>
      <c r="G125" s="14">
        <f>IF(ISNUMBER(E125),IF(ABS(E125-D125)&lt;=F125,"OK","ERROR"),"ERROR")</f>
        <v/>
      </c>
      <c r="H125" s="5" t="inlineStr">
        <is>
          <t>minus $39.6 million</t>
        </is>
      </c>
    </row>
    <row r="126">
      <c r="B126" s="7" t="inlineStr">
        <is>
          <t>macr_opt1</t>
        </is>
      </c>
      <c r="C126" s="7" t="inlineStr">
        <is>
          <t>Ratio option 1</t>
        </is>
      </c>
      <c r="D126" s="24" t="n">
        <v>0.78</v>
      </c>
      <c r="E126" s="24">
        <f>FEOC!$D$11</f>
        <v/>
      </c>
      <c r="F126" s="24" t="n">
        <v>0.005000501</v>
      </c>
      <c r="G126" s="14">
        <f>IF(ISNUMBER(E126),IF(ABS(E126-D126)&lt;=F126,"OK","ERROR"),"ERROR")</f>
        <v/>
      </c>
      <c r="H126" s="5" t="inlineStr">
        <is>
          <t>78 percent</t>
        </is>
      </c>
    </row>
    <row r="127">
      <c r="B127" s="7" t="inlineStr">
        <is>
          <t>macr_opt2</t>
        </is>
      </c>
      <c r="C127" s="7" t="inlineStr">
        <is>
          <t>Ratio option 2</t>
        </is>
      </c>
      <c r="D127" s="24" t="n">
        <v>0.38</v>
      </c>
      <c r="E127" s="24">
        <f>FEOC!$E$11</f>
        <v/>
      </c>
      <c r="F127" s="24" t="n">
        <v>0.005000501</v>
      </c>
      <c r="G127" s="14">
        <f>IF(ISNUMBER(E127),IF(ABS(E127-D127)&lt;=F127,"OK","ERROR"),"ERROR")</f>
        <v/>
      </c>
      <c r="H127" s="5" t="inlineStr">
        <is>
          <t>38 percent</t>
        </is>
      </c>
    </row>
    <row r="128">
      <c r="B128" s="7" t="inlineStr">
        <is>
          <t>macr_opt3</t>
        </is>
      </c>
      <c r="C128" s="7" t="inlineStr">
        <is>
          <t>Ratio option 3</t>
        </is>
      </c>
      <c r="D128" s="24" t="n">
        <v>0.5</v>
      </c>
      <c r="E128" s="24">
        <f>FEOC!$F$11</f>
        <v/>
      </c>
      <c r="F128" s="24" t="n">
        <v>0.005000501</v>
      </c>
      <c r="G128" s="14">
        <f>IF(ISNUMBER(E128),IF(ABS(E128-D128)&lt;=F128,"OK","ERROR"),"ERROR")</f>
        <v/>
      </c>
      <c r="H128" s="5" t="inlineStr">
        <is>
          <t>50 percent</t>
        </is>
      </c>
    </row>
    <row r="129">
      <c r="B129" s="7" t="inlineStr">
        <is>
          <t>caseU</t>
        </is>
      </c>
      <c r="C129" s="7" t="inlineStr">
        <is>
          <t>Value of the flows</t>
        </is>
      </c>
      <c r="D129" s="25" t="n">
        <v>239900000</v>
      </c>
      <c r="E129" s="25">
        <f>Cases!$C$35</f>
        <v/>
      </c>
      <c r="F129" s="25" t="n">
        <v>50005.000000001</v>
      </c>
      <c r="G129" s="14">
        <f>IF(ISNUMBER(E129),IF(ABS(E129-D129)&lt;=F129,"OK","ERROR"),"ERROR")</f>
        <v/>
      </c>
      <c r="H129" s="5" t="inlineStr">
        <is>
          <t>$239.9 million</t>
        </is>
      </c>
    </row>
    <row r="130">
      <c r="B130" s="7" t="inlineStr">
        <is>
          <t>caseU</t>
        </is>
      </c>
      <c r="C130" s="7" t="inlineStr">
        <is>
          <t>Development value</t>
        </is>
      </c>
      <c r="D130" s="25" t="n">
        <v>33400000</v>
      </c>
      <c r="E130" s="25">
        <f>Cases!$C$36</f>
        <v/>
      </c>
      <c r="F130" s="25" t="n">
        <v>50005.000000001</v>
      </c>
      <c r="G130" s="14">
        <f>IF(ISNUMBER(E130),IF(ABS(E130-D130)&lt;=F130,"OK","ERROR"),"ERROR")</f>
        <v/>
      </c>
      <c r="H130" s="5" t="inlineStr">
        <is>
          <t>$33.4 million</t>
        </is>
      </c>
    </row>
    <row r="131">
      <c r="B131" s="7" t="inlineStr">
        <is>
          <t>caseU</t>
        </is>
      </c>
      <c r="C131" s="7" t="inlineStr">
        <is>
          <t>Highest premium</t>
        </is>
      </c>
      <c r="D131" s="25" t="n">
        <v>32800000</v>
      </c>
      <c r="E131" s="25">
        <f>Cases!$C$37</f>
        <v/>
      </c>
      <c r="F131" s="25" t="n">
        <v>50005.000000001</v>
      </c>
      <c r="G131" s="14">
        <f>IF(ISNUMBER(E131),IF(ABS(E131-D131)&lt;=F131,"OK","ERROR"),"ERROR")</f>
        <v/>
      </c>
      <c r="H131" s="5" t="inlineStr">
        <is>
          <t>$32.8 million</t>
        </is>
      </c>
    </row>
    <row r="132">
      <c r="B132" s="7" t="inlineStr">
        <is>
          <t>caseU</t>
        </is>
      </c>
      <c r="C132" s="7" t="inlineStr">
        <is>
          <t>Unlevered IRR</t>
        </is>
      </c>
      <c r="D132" s="24" t="n">
        <v>0.08380000000000001</v>
      </c>
      <c r="E132" s="24">
        <f>Cases!$C$56</f>
        <v/>
      </c>
      <c r="F132" s="24" t="n">
        <v>5.0006e-05</v>
      </c>
      <c r="G132" s="14">
        <f>IF(ISNUMBER(E132),IF(ABS(E132-D132)&lt;=F132,"OK","ERROR"),"ERROR")</f>
        <v/>
      </c>
      <c r="H132" s="5" t="inlineStr">
        <is>
          <t>8.38 percent</t>
        </is>
      </c>
    </row>
    <row r="133">
      <c r="B133" s="7" t="inlineStr">
        <is>
          <t>caseU</t>
        </is>
      </c>
      <c r="C133" s="7" t="inlineStr">
        <is>
          <t>Value at COD</t>
        </is>
      </c>
      <c r="D133" s="25" t="n">
        <v>257400000</v>
      </c>
      <c r="E133" s="25">
        <f>Cases!$C$38</f>
        <v/>
      </c>
      <c r="F133" s="25" t="n">
        <v>50005.000000001</v>
      </c>
      <c r="G133" s="14">
        <f>IF(ISNUMBER(E133),IF(ABS(E133-D133)&lt;=F133,"OK","ERROR"),"ERROR")</f>
        <v/>
      </c>
      <c r="H133" s="5" t="inlineStr">
        <is>
          <t>$257.4 million</t>
        </is>
      </c>
    </row>
    <row r="134">
      <c r="B134" s="7" t="inlineStr">
        <is>
          <t>caseU</t>
        </is>
      </c>
      <c r="C134" s="7" t="inlineStr">
        <is>
          <t>Value at COD per Wac</t>
        </is>
      </c>
      <c r="D134" s="42" t="n">
        <v>1.72</v>
      </c>
      <c r="E134" s="42">
        <f>Cases!$C$39</f>
        <v/>
      </c>
      <c r="F134" s="42" t="n">
        <v>0.005000501</v>
      </c>
      <c r="G134" s="14">
        <f>IF(ISNUMBER(E134),IF(ABS(E134-D134)&lt;=F134,"OK","ERROR"),"ERROR")</f>
        <v/>
      </c>
      <c r="H134" s="5" t="inlineStr">
        <is>
          <t>$1.72</t>
        </is>
      </c>
    </row>
    <row r="135">
      <c r="B135" s="7" t="inlineStr">
        <is>
          <t>caseU_ebitda</t>
        </is>
      </c>
      <c r="C135" s="7" t="inlineStr">
        <is>
          <t>EBITDA 2028</t>
        </is>
      </c>
      <c r="D135" s="25" t="n">
        <v>14710000</v>
      </c>
      <c r="E135" s="25">
        <f>Cases!$D$27</f>
        <v/>
      </c>
      <c r="F135" s="25" t="n">
        <v>5000.500000001</v>
      </c>
      <c r="G135" s="14">
        <f>IF(ISNUMBER(E135),IF(ABS(E135-D135)&lt;=F135,"OK","ERROR"),"ERROR")</f>
        <v/>
      </c>
      <c r="H135" s="5" t="inlineStr">
        <is>
          <t>$14.71 million</t>
        </is>
      </c>
    </row>
    <row r="136">
      <c r="B136" s="7" t="inlineStr">
        <is>
          <t>caseU_ebitda</t>
        </is>
      </c>
      <c r="C136" s="7" t="inlineStr">
        <is>
          <t>EBITDA 2032</t>
        </is>
      </c>
      <c r="D136" s="25" t="n">
        <v>15510000</v>
      </c>
      <c r="E136" s="25">
        <f>Cases!$H$27</f>
        <v/>
      </c>
      <c r="F136" s="25" t="n">
        <v>5000.500000001</v>
      </c>
      <c r="G136" s="14">
        <f>IF(ISNUMBER(E136),IF(ABS(E136-D136)&lt;=F136,"OK","ERROR"),"ERROR")</f>
        <v/>
      </c>
      <c r="H136" s="5" t="inlineStr">
        <is>
          <t>$15.51 million</t>
        </is>
      </c>
    </row>
    <row r="137">
      <c r="B137" s="7" t="inlineStr">
        <is>
          <t>caseU_ebitda</t>
        </is>
      </c>
      <c r="C137" s="7" t="inlineStr">
        <is>
          <t>EBITDA 2042</t>
        </is>
      </c>
      <c r="D137" s="25" t="n">
        <v>17660000</v>
      </c>
      <c r="E137" s="25">
        <f>Cases!$R$27</f>
        <v/>
      </c>
      <c r="F137" s="25" t="n">
        <v>5000.500000001</v>
      </c>
      <c r="G137" s="14">
        <f>IF(ISNUMBER(E137),IF(ABS(E137-D137)&lt;=F137,"OK","ERROR"),"ERROR")</f>
        <v/>
      </c>
      <c r="H137" s="5" t="inlineStr">
        <is>
          <t>$17.66 million</t>
        </is>
      </c>
    </row>
    <row r="138">
      <c r="B138" s="7" t="inlineStr">
        <is>
          <t>caseU_ebitda</t>
        </is>
      </c>
      <c r="C138" s="7" t="inlineStr">
        <is>
          <t>EBITDA 2048</t>
        </is>
      </c>
      <c r="D138" s="25" t="n">
        <v>13470000</v>
      </c>
      <c r="E138" s="25">
        <f>Cases!$X$27</f>
        <v/>
      </c>
      <c r="F138" s="25" t="n">
        <v>5000.500000001</v>
      </c>
      <c r="G138" s="14">
        <f>IF(ISNUMBER(E138),IF(ABS(E138-D138)&lt;=F138,"OK","ERROR"),"ERROR")</f>
        <v/>
      </c>
      <c r="H138" s="5" t="inlineStr">
        <is>
          <t>$13.47 million</t>
        </is>
      </c>
    </row>
    <row r="139">
      <c r="B139" s="7" t="inlineStr">
        <is>
          <t>caseU_ebitda</t>
        </is>
      </c>
      <c r="C139" s="7" t="inlineStr">
        <is>
          <t>EBITDA 2062</t>
        </is>
      </c>
      <c r="D139" s="25" t="n">
        <v>16910000</v>
      </c>
      <c r="E139" s="25">
        <f>Cases!$AL$27</f>
        <v/>
      </c>
      <c r="F139" s="25" t="n">
        <v>5000.500000001</v>
      </c>
      <c r="G139" s="14">
        <f>IF(ISNUMBER(E139),IF(ABS(E139-D139)&lt;=F139,"OK","ERROR"),"ERROR")</f>
        <v/>
      </c>
      <c r="H139" s="5" t="inlineStr">
        <is>
          <t>$16.91 million</t>
        </is>
      </c>
    </row>
    <row r="140">
      <c r="B140" s="7" t="inlineStr">
        <is>
          <t>caseC</t>
        </is>
      </c>
      <c r="C140" s="7" t="inlineStr">
        <is>
          <t>Value of the flows</t>
        </is>
      </c>
      <c r="D140" s="25" t="n">
        <v>221800000</v>
      </c>
      <c r="E140" s="25">
        <f>Cases!$C$79</f>
        <v/>
      </c>
      <c r="F140" s="25" t="n">
        <v>50005.000000001</v>
      </c>
      <c r="G140" s="14">
        <f>IF(ISNUMBER(E140),IF(ABS(E140-D140)&lt;=F140,"OK","ERROR"),"ERROR")</f>
        <v/>
      </c>
      <c r="H140" s="5" t="inlineStr">
        <is>
          <t>$221.8 million</t>
        </is>
      </c>
    </row>
    <row r="141">
      <c r="B141" s="7" t="inlineStr">
        <is>
          <t>caseC</t>
        </is>
      </c>
      <c r="C141" s="7" t="inlineStr">
        <is>
          <t>Development value</t>
        </is>
      </c>
      <c r="D141" s="25" t="n">
        <v>15200000</v>
      </c>
      <c r="E141" s="25">
        <f>Cases!$C$80</f>
        <v/>
      </c>
      <c r="F141" s="25" t="n">
        <v>50005.000000001</v>
      </c>
      <c r="G141" s="14">
        <f>IF(ISNUMBER(E141),IF(ABS(E141-D141)&lt;=F141,"OK","ERROR"),"ERROR")</f>
        <v/>
      </c>
      <c r="H141" s="5" t="inlineStr">
        <is>
          <t>$15.2 million</t>
        </is>
      </c>
    </row>
    <row r="142">
      <c r="B142" s="7" t="inlineStr">
        <is>
          <t>caseC</t>
        </is>
      </c>
      <c r="C142" s="7" t="inlineStr">
        <is>
          <t>Highest premium</t>
        </is>
      </c>
      <c r="D142" s="25" t="n">
        <v>14700000</v>
      </c>
      <c r="E142" s="25">
        <f>Cases!$C$81</f>
        <v/>
      </c>
      <c r="F142" s="25" t="n">
        <v>50005.000000001</v>
      </c>
      <c r="G142" s="14">
        <f>IF(ISNUMBER(E142),IF(ABS(E142-D142)&lt;=F142,"OK","ERROR"),"ERROR")</f>
        <v/>
      </c>
      <c r="H142" s="5" t="inlineStr">
        <is>
          <t>$14.7 million</t>
        </is>
      </c>
    </row>
    <row r="143">
      <c r="B143" s="7" t="inlineStr">
        <is>
          <t>caseC</t>
        </is>
      </c>
      <c r="C143" s="7" t="inlineStr">
        <is>
          <t>Unlevered IRR</t>
        </is>
      </c>
      <c r="D143" s="24" t="n">
        <v>0.0815</v>
      </c>
      <c r="E143" s="24">
        <f>Cases!$C$100</f>
        <v/>
      </c>
      <c r="F143" s="24" t="n">
        <v>5.0006e-05</v>
      </c>
      <c r="G143" s="14">
        <f>IF(ISNUMBER(E143),IF(ABS(E143-D143)&lt;=F143,"OK","ERROR"),"ERROR")</f>
        <v/>
      </c>
      <c r="H143" s="5" t="inlineStr">
        <is>
          <t>8.15 percent</t>
        </is>
      </c>
    </row>
    <row r="144">
      <c r="B144" s="7" t="inlineStr">
        <is>
          <t>caseC</t>
        </is>
      </c>
      <c r="C144" s="7" t="inlineStr">
        <is>
          <t>Value at COD</t>
        </is>
      </c>
      <c r="D144" s="25" t="n">
        <v>238700000</v>
      </c>
      <c r="E144" s="25">
        <f>Cases!$C$82</f>
        <v/>
      </c>
      <c r="F144" s="25" t="n">
        <v>50005.000000001</v>
      </c>
      <c r="G144" s="14">
        <f>IF(ISNUMBER(E144),IF(ABS(E144-D144)&lt;=F144,"OK","ERROR"),"ERROR")</f>
        <v/>
      </c>
      <c r="H144" s="5" t="inlineStr">
        <is>
          <t>$238.7 million</t>
        </is>
      </c>
    </row>
    <row r="145">
      <c r="B145" s="7" t="inlineStr">
        <is>
          <t>caseC</t>
        </is>
      </c>
      <c r="C145" s="7" t="inlineStr">
        <is>
          <t>Value at COD per Wac</t>
        </is>
      </c>
      <c r="D145" s="42" t="n">
        <v>1.59</v>
      </c>
      <c r="E145" s="42">
        <f>Cases!$C$83</f>
        <v/>
      </c>
      <c r="F145" s="42" t="n">
        <v>0.005000501</v>
      </c>
      <c r="G145" s="14">
        <f>IF(ISNUMBER(E145),IF(ABS(E145-D145)&lt;=F145,"OK","ERROR"),"ERROR")</f>
        <v/>
      </c>
      <c r="H145" s="5" t="inlineStr">
        <is>
          <t>$1.59</t>
        </is>
      </c>
    </row>
    <row r="146">
      <c r="B146" s="7" t="inlineStr">
        <is>
          <t>caseC_ebitda</t>
        </is>
      </c>
      <c r="C146" s="7" t="inlineStr">
        <is>
          <t>EBITDA 2028</t>
        </is>
      </c>
      <c r="D146" s="25" t="n">
        <v>17880000</v>
      </c>
      <c r="E146" s="25">
        <f>Cases!$D$71</f>
        <v/>
      </c>
      <c r="F146" s="25" t="n">
        <v>5000.500000001</v>
      </c>
      <c r="G146" s="14">
        <f>IF(ISNUMBER(E146),IF(ABS(E146-D146)&lt;=F146,"OK","ERROR"),"ERROR")</f>
        <v/>
      </c>
      <c r="H146" s="5" t="inlineStr">
        <is>
          <t>$17.88 million</t>
        </is>
      </c>
    </row>
    <row r="147">
      <c r="B147" s="7" t="inlineStr">
        <is>
          <t>caseC_ebitda</t>
        </is>
      </c>
      <c r="C147" s="7" t="inlineStr">
        <is>
          <t>EBITDA 2032</t>
        </is>
      </c>
      <c r="D147" s="25" t="n">
        <v>16590000</v>
      </c>
      <c r="E147" s="25">
        <f>Cases!$H$71</f>
        <v/>
      </c>
      <c r="F147" s="25" t="n">
        <v>5000.500000001</v>
      </c>
      <c r="G147" s="14">
        <f>IF(ISNUMBER(E147),IF(ABS(E147-D147)&lt;=F147,"OK","ERROR"),"ERROR")</f>
        <v/>
      </c>
      <c r="H147" s="5" t="inlineStr">
        <is>
          <t>$16.59 million</t>
        </is>
      </c>
    </row>
    <row r="148">
      <c r="B148" s="7" t="inlineStr">
        <is>
          <t>caseC_ebitda</t>
        </is>
      </c>
      <c r="C148" s="7" t="inlineStr">
        <is>
          <t>EBITDA 2042</t>
        </is>
      </c>
      <c r="D148" s="25" t="n">
        <v>13360000</v>
      </c>
      <c r="E148" s="25">
        <f>Cases!$R$71</f>
        <v/>
      </c>
      <c r="F148" s="25" t="n">
        <v>5000.500000001</v>
      </c>
      <c r="G148" s="14">
        <f>IF(ISNUMBER(E148),IF(ABS(E148-D148)&lt;=F148,"OK","ERROR"),"ERROR")</f>
        <v/>
      </c>
      <c r="H148" s="5" t="inlineStr">
        <is>
          <t>$13.36 million</t>
        </is>
      </c>
    </row>
    <row r="149">
      <c r="B149" s="7" t="inlineStr">
        <is>
          <t>caseC_ebitda</t>
        </is>
      </c>
      <c r="C149" s="7" t="inlineStr">
        <is>
          <t>EBITDA 2048</t>
        </is>
      </c>
      <c r="D149" s="25" t="n">
        <v>13470000</v>
      </c>
      <c r="E149" s="25">
        <f>Cases!$X$71</f>
        <v/>
      </c>
      <c r="F149" s="25" t="n">
        <v>5000.500000001</v>
      </c>
      <c r="G149" s="14">
        <f>IF(ISNUMBER(E149),IF(ABS(E149-D149)&lt;=F149,"OK","ERROR"),"ERROR")</f>
        <v/>
      </c>
      <c r="H149" s="5" t="inlineStr">
        <is>
          <t>$13.47 million</t>
        </is>
      </c>
    </row>
    <row r="150">
      <c r="B150" s="7" t="inlineStr">
        <is>
          <t>caseC_ebitda</t>
        </is>
      </c>
      <c r="C150" s="7" t="inlineStr">
        <is>
          <t>EBITDA 2062</t>
        </is>
      </c>
      <c r="D150" s="25" t="n">
        <v>16910000</v>
      </c>
      <c r="E150" s="25">
        <f>Cases!$AL$71</f>
        <v/>
      </c>
      <c r="F150" s="25" t="n">
        <v>5000.500000001</v>
      </c>
      <c r="G150" s="14">
        <f>IF(ISNUMBER(E150),IF(ABS(E150-D150)&lt;=F150,"OK","ERROR"),"ERROR")</f>
        <v/>
      </c>
      <c r="H150" s="5" t="inlineStr">
        <is>
          <t>$16.91 million</t>
        </is>
      </c>
    </row>
    <row r="151">
      <c r="B151" s="7" t="inlineStr">
        <is>
          <t>caseM</t>
        </is>
      </c>
      <c r="C151" s="7" t="inlineStr">
        <is>
          <t>Value of the flows</t>
        </is>
      </c>
      <c r="D151" s="25" t="n">
        <v>168300000</v>
      </c>
      <c r="E151" s="25">
        <f>Cases!$C$123</f>
        <v/>
      </c>
      <c r="F151" s="25" t="n">
        <v>50005.000000001</v>
      </c>
      <c r="G151" s="14">
        <f>IF(ISNUMBER(E151),IF(ABS(E151-D151)&lt;=F151,"OK","ERROR"),"ERROR")</f>
        <v/>
      </c>
      <c r="H151" s="5" t="inlineStr">
        <is>
          <t>$168.3 million</t>
        </is>
      </c>
    </row>
    <row r="152">
      <c r="B152" s="7" t="inlineStr">
        <is>
          <t>caseM</t>
        </is>
      </c>
      <c r="C152" s="7" t="inlineStr">
        <is>
          <t>Development value</t>
        </is>
      </c>
      <c r="D152" s="25" t="n">
        <v>-38200000</v>
      </c>
      <c r="E152" s="25">
        <f>Cases!$C$124</f>
        <v/>
      </c>
      <c r="F152" s="25" t="n">
        <v>50005.000000001</v>
      </c>
      <c r="G152" s="14">
        <f>IF(ISNUMBER(E152),IF(ABS(E152-D152)&lt;=F152,"OK","ERROR"),"ERROR")</f>
        <v/>
      </c>
      <c r="H152" s="5" t="inlineStr">
        <is>
          <t>minus $38.2 million</t>
        </is>
      </c>
    </row>
    <row r="153">
      <c r="B153" s="7" t="inlineStr">
        <is>
          <t>caseM</t>
        </is>
      </c>
      <c r="C153" s="7" t="inlineStr">
        <is>
          <t>Highest premium</t>
        </is>
      </c>
      <c r="D153" s="25" t="n">
        <v>-38800000</v>
      </c>
      <c r="E153" s="25">
        <f>Cases!$C$125</f>
        <v/>
      </c>
      <c r="F153" s="25" t="n">
        <v>50005.000000001</v>
      </c>
      <c r="G153" s="14">
        <f>IF(ISNUMBER(E153),IF(ABS(E153-D153)&lt;=F153,"OK","ERROR"),"ERROR")</f>
        <v/>
      </c>
      <c r="H153" s="5" t="inlineStr">
        <is>
          <t>minus $38.8 million</t>
        </is>
      </c>
    </row>
    <row r="154">
      <c r="B154" s="7" t="inlineStr">
        <is>
          <t>caseM</t>
        </is>
      </c>
      <c r="C154" s="7" t="inlineStr">
        <is>
          <t>Unlevered IRR</t>
        </is>
      </c>
      <c r="D154" s="24" t="n">
        <v>0.0669</v>
      </c>
      <c r="E154" s="24">
        <f>Cases!$C$144</f>
        <v/>
      </c>
      <c r="F154" s="24" t="n">
        <v>5.0006e-05</v>
      </c>
      <c r="G154" s="14">
        <f>IF(ISNUMBER(E154),IF(ABS(E154-D154)&lt;=F154,"OK","ERROR"),"ERROR")</f>
        <v/>
      </c>
      <c r="H154" s="5" t="inlineStr">
        <is>
          <t>6.69 percent</t>
        </is>
      </c>
    </row>
    <row r="155">
      <c r="B155" s="7" t="inlineStr">
        <is>
          <t>caseM</t>
        </is>
      </c>
      <c r="C155" s="7" t="inlineStr">
        <is>
          <t>Value at COD</t>
        </is>
      </c>
      <c r="D155" s="25" t="n">
        <v>184500000</v>
      </c>
      <c r="E155" s="25">
        <f>Cases!$C$126</f>
        <v/>
      </c>
      <c r="F155" s="25" t="n">
        <v>50005.000000001</v>
      </c>
      <c r="G155" s="14">
        <f>IF(ISNUMBER(E155),IF(ABS(E155-D155)&lt;=F155,"OK","ERROR"),"ERROR")</f>
        <v/>
      </c>
      <c r="H155" s="5" t="inlineStr">
        <is>
          <t>$184.5 million</t>
        </is>
      </c>
    </row>
    <row r="156">
      <c r="B156" s="7" t="inlineStr">
        <is>
          <t>caseM</t>
        </is>
      </c>
      <c r="C156" s="7" t="inlineStr">
        <is>
          <t>Value at COD per Wac</t>
        </is>
      </c>
      <c r="D156" s="42" t="n">
        <v>1.23</v>
      </c>
      <c r="E156" s="42">
        <f>Cases!$C$127</f>
        <v/>
      </c>
      <c r="F156" s="42" t="n">
        <v>0.005000501</v>
      </c>
      <c r="G156" s="14">
        <f>IF(ISNUMBER(E156),IF(ABS(E156-D156)&lt;=F156,"OK","ERROR"),"ERROR")</f>
        <v/>
      </c>
      <c r="H156" s="5" t="inlineStr">
        <is>
          <t>$1.23</t>
        </is>
      </c>
    </row>
    <row r="157">
      <c r="B157" s="7" t="inlineStr">
        <is>
          <t>caseM_ebitda</t>
        </is>
      </c>
      <c r="C157" s="7" t="inlineStr">
        <is>
          <t>EBITDA 2028</t>
        </is>
      </c>
      <c r="D157" s="25" t="n">
        <v>12750000</v>
      </c>
      <c r="E157" s="25">
        <f>Cases!$D$115</f>
        <v/>
      </c>
      <c r="F157" s="25" t="n">
        <v>5000.500000001</v>
      </c>
      <c r="G157" s="14">
        <f>IF(ISNUMBER(E157),IF(ABS(E157-D157)&lt;=F157,"OK","ERROR"),"ERROR")</f>
        <v/>
      </c>
      <c r="H157" s="5" t="inlineStr">
        <is>
          <t>$12.75 million</t>
        </is>
      </c>
    </row>
    <row r="158">
      <c r="B158" s="7" t="inlineStr">
        <is>
          <t>caseM_ebitda</t>
        </is>
      </c>
      <c r="C158" s="7" t="inlineStr">
        <is>
          <t>EBITDA 2032</t>
        </is>
      </c>
      <c r="D158" s="25" t="n">
        <v>12530000</v>
      </c>
      <c r="E158" s="25">
        <f>Cases!$H$115</f>
        <v/>
      </c>
      <c r="F158" s="25" t="n">
        <v>5000.500000001</v>
      </c>
      <c r="G158" s="14">
        <f>IF(ISNUMBER(E158),IF(ABS(E158-D158)&lt;=F158,"OK","ERROR"),"ERROR")</f>
        <v/>
      </c>
      <c r="H158" s="5" t="inlineStr">
        <is>
          <t>$12.53 million</t>
        </is>
      </c>
    </row>
    <row r="159">
      <c r="B159" s="7" t="inlineStr">
        <is>
          <t>caseM_ebitda</t>
        </is>
      </c>
      <c r="C159" s="7" t="inlineStr">
        <is>
          <t>EBITDA 2042</t>
        </is>
      </c>
      <c r="D159" s="25" t="n">
        <v>12240000</v>
      </c>
      <c r="E159" s="25">
        <f>Cases!$R$115</f>
        <v/>
      </c>
      <c r="F159" s="25" t="n">
        <v>5000.500000001</v>
      </c>
      <c r="G159" s="14">
        <f>IF(ISNUMBER(E159),IF(ABS(E159-D159)&lt;=F159,"OK","ERROR"),"ERROR")</f>
        <v/>
      </c>
      <c r="H159" s="5" t="inlineStr">
        <is>
          <t>$12.24 million</t>
        </is>
      </c>
    </row>
    <row r="160">
      <c r="B160" s="7" t="inlineStr">
        <is>
          <t>caseM_ebitda</t>
        </is>
      </c>
      <c r="C160" s="7" t="inlineStr">
        <is>
          <t>EBITDA 2048</t>
        </is>
      </c>
      <c r="D160" s="25" t="n">
        <v>13470000</v>
      </c>
      <c r="E160" s="25">
        <f>Cases!$X$115</f>
        <v/>
      </c>
      <c r="F160" s="25" t="n">
        <v>5000.500000001</v>
      </c>
      <c r="G160" s="14">
        <f>IF(ISNUMBER(E160),IF(ABS(E160-D160)&lt;=F160,"OK","ERROR"),"ERROR")</f>
        <v/>
      </c>
      <c r="H160" s="5" t="inlineStr">
        <is>
          <t>$13.47 million</t>
        </is>
      </c>
    </row>
    <row r="161">
      <c r="B161" s="7" t="inlineStr">
        <is>
          <t>caseM_ebitda</t>
        </is>
      </c>
      <c r="C161" s="7" t="inlineStr">
        <is>
          <t>EBITDA 2062</t>
        </is>
      </c>
      <c r="D161" s="25" t="n">
        <v>16910000</v>
      </c>
      <c r="E161" s="25">
        <f>Cases!$AL$115</f>
        <v/>
      </c>
      <c r="F161" s="25" t="n">
        <v>5000.500000001</v>
      </c>
      <c r="G161" s="14">
        <f>IF(ISNUMBER(E161),IF(ABS(E161-D161)&lt;=F161,"OK","ERROR"),"ERROR")</f>
        <v/>
      </c>
      <c r="H161" s="5" t="inlineStr">
        <is>
          <t>$16.91 million</t>
        </is>
      </c>
    </row>
    <row r="162">
      <c r="B162" s="7" t="inlineStr">
        <is>
          <t>headline_values</t>
        </is>
      </c>
      <c r="C162" s="7" t="inlineStr">
        <is>
          <t>NTP price</t>
        </is>
      </c>
      <c r="D162" s="25" t="n">
        <v>35100000</v>
      </c>
      <c r="E162" s="25">
        <f>Inputs!$C$295</f>
        <v/>
      </c>
      <c r="F162" s="25" t="n">
        <v>50005.000000001</v>
      </c>
      <c r="G162" s="14">
        <f>IF(ISNUMBER(E162),IF(ABS(E162-D162)&lt;=F162,"OK","ERROR"),"ERROR")</f>
        <v/>
      </c>
      <c r="H162" s="5" t="inlineStr">
        <is>
          <t>$35.1 million</t>
        </is>
      </c>
    </row>
    <row r="163">
      <c r="B163" s="7" t="inlineStr">
        <is>
          <t>headline_values</t>
        </is>
      </c>
      <c r="C163" s="7" t="inlineStr">
        <is>
          <t>Reimbursement</t>
        </is>
      </c>
      <c r="D163" s="25" t="n">
        <v>8100000</v>
      </c>
      <c r="E163" s="25">
        <f>Inputs!$C$294</f>
        <v/>
      </c>
      <c r="F163" s="25" t="n">
        <v>50005.000000001</v>
      </c>
      <c r="G163" s="14">
        <f>IF(ISNUMBER(E163),IF(ABS(E163-D163)&lt;=F163,"OK","ERROR"),"ERROR")</f>
        <v/>
      </c>
      <c r="H163" s="5" t="inlineStr">
        <is>
          <t>$8.1 million</t>
        </is>
      </c>
    </row>
    <row r="164">
      <c r="B164" s="7" t="inlineStr">
        <is>
          <t>ppa_gap</t>
        </is>
      </c>
      <c r="C164" s="7" t="inlineStr">
        <is>
          <t>U over C</t>
        </is>
      </c>
      <c r="D164" s="25" t="n">
        <v>18200000</v>
      </c>
      <c r="E164" s="25">
        <f>Cases!$C$150</f>
        <v/>
      </c>
      <c r="F164" s="25" t="n">
        <v>50005.000000001</v>
      </c>
      <c r="G164" s="14">
        <f>IF(ISNUMBER(E164),IF(ABS(E164-D164)&lt;=F164,"OK","ERROR"),"ERROR")</f>
        <v/>
      </c>
      <c r="H164" s="5" t="inlineStr">
        <is>
          <t>$18.2 million</t>
        </is>
      </c>
    </row>
    <row r="165">
      <c r="B165" s="7" t="inlineStr">
        <is>
          <t>ppa_gap</t>
        </is>
      </c>
      <c r="C165" s="7" t="inlineStr">
        <is>
          <t>U over M</t>
        </is>
      </c>
      <c r="D165" s="25" t="n">
        <v>71600000</v>
      </c>
      <c r="E165" s="25">
        <f>Cases!$C$151</f>
        <v/>
      </c>
      <c r="F165" s="25" t="n">
        <v>50005.000000001</v>
      </c>
      <c r="G165" s="14">
        <f>IF(ISNUMBER(E165),IF(ABS(E165-D165)&lt;=F165,"OK","ERROR"),"ERROR")</f>
        <v/>
      </c>
      <c r="H165" s="5" t="inlineStr">
        <is>
          <t>$71.6 million</t>
        </is>
      </c>
    </row>
    <row r="166">
      <c r="B166" s="7" t="inlineStr">
        <is>
          <t>ppa_u</t>
        </is>
      </c>
      <c r="C166" s="7" t="inlineStr">
        <is>
          <t>Revenue 2028</t>
        </is>
      </c>
      <c r="D166" s="25" t="n">
        <v>19470000</v>
      </c>
      <c r="E166" s="25">
        <f>Cases!$C$153</f>
        <v/>
      </c>
      <c r="F166" s="25" t="n">
        <v>5000.500000001</v>
      </c>
      <c r="G166" s="14">
        <f>IF(ISNUMBER(E166),IF(ABS(E166-D166)&lt;=F166,"OK","ERROR"),"ERROR")</f>
        <v/>
      </c>
      <c r="H166" s="5" t="inlineStr">
        <is>
          <t>$19.47 million</t>
        </is>
      </c>
    </row>
    <row r="167">
      <c r="B167" s="7" t="inlineStr">
        <is>
          <t>ppa_u</t>
        </is>
      </c>
      <c r="C167" s="7" t="inlineStr">
        <is>
          <t>Revenue 2047</t>
        </is>
      </c>
      <c r="D167" s="25" t="n">
        <v>26290000</v>
      </c>
      <c r="E167" s="25">
        <f>Cases!$C$154</f>
        <v/>
      </c>
      <c r="F167" s="25" t="n">
        <v>5000.500000001</v>
      </c>
      <c r="G167" s="14">
        <f>IF(ISNUMBER(E167),IF(ABS(E167-D167)&lt;=F167,"OK","ERROR"),"ERROR")</f>
        <v/>
      </c>
      <c r="H167" s="5" t="inlineStr">
        <is>
          <t>$26.29 million</t>
        </is>
      </c>
    </row>
    <row r="168">
      <c r="B168" s="7" t="inlineStr">
        <is>
          <t>ppa_u</t>
        </is>
      </c>
      <c r="C168" s="7" t="inlineStr">
        <is>
          <t>Price 2047</t>
        </is>
      </c>
      <c r="D168" s="42" t="n">
        <v>83.04000000000001</v>
      </c>
      <c r="E168" s="42">
        <f>Cases!$C$155</f>
        <v/>
      </c>
      <c r="F168" s="42" t="n">
        <v>0.005000501</v>
      </c>
      <c r="G168" s="14">
        <f>IF(ISNUMBER(E168),IF(ABS(E168-D168)&lt;=F168,"OK","ERROR"),"ERROR")</f>
        <v/>
      </c>
      <c r="H168" s="5" t="inlineStr">
        <is>
          <t>$83.04</t>
        </is>
      </c>
    </row>
    <row r="169">
      <c r="B169" s="7" t="inlineStr">
        <is>
          <t>vppa_2028</t>
        </is>
      </c>
      <c r="C169" s="7" t="inlineStr">
        <is>
          <t>Energy at the node</t>
        </is>
      </c>
      <c r="D169" s="25" t="n">
        <v>14520000</v>
      </c>
      <c r="E169" s="25">
        <f>Cases!$C$156</f>
        <v/>
      </c>
      <c r="F169" s="25" t="n">
        <v>5000.500000001</v>
      </c>
      <c r="G169" s="14">
        <f>IF(ISNUMBER(E169),IF(ABS(E169-D169)&lt;=F169,"OK","ERROR"),"ERROR")</f>
        <v/>
      </c>
      <c r="H169" s="5" t="inlineStr">
        <is>
          <t>$14.52 million</t>
        </is>
      </c>
    </row>
    <row r="170">
      <c r="B170" s="7" t="inlineStr">
        <is>
          <t>vppa_2028</t>
        </is>
      </c>
      <c r="C170" s="7" t="inlineStr">
        <is>
          <t>Settlement</t>
        </is>
      </c>
      <c r="D170" s="25" t="n">
        <v>6150000</v>
      </c>
      <c r="E170" s="25">
        <f>Cases!$C$157</f>
        <v/>
      </c>
      <c r="F170" s="25" t="n">
        <v>5000.500000001</v>
      </c>
      <c r="G170" s="14">
        <f>IF(ISNUMBER(E170),IF(ABS(E170-D170)&lt;=F170,"OK","ERROR"),"ERROR")</f>
        <v/>
      </c>
      <c r="H170" s="5" t="inlineStr">
        <is>
          <t>$6.15 million</t>
        </is>
      </c>
    </row>
    <row r="171">
      <c r="B171" s="7" t="inlineStr">
        <is>
          <t>vppa_2028</t>
        </is>
      </c>
      <c r="C171" s="7" t="inlineStr">
        <is>
          <t>Capacity</t>
        </is>
      </c>
      <c r="D171" s="25" t="n">
        <v>1970000</v>
      </c>
      <c r="E171" s="25">
        <f>Cases!$C$158</f>
        <v/>
      </c>
      <c r="F171" s="25" t="n">
        <v>5000.500000001</v>
      </c>
      <c r="G171" s="14">
        <f>IF(ISNUMBER(E171),IF(ABS(E171-D171)&lt;=F171,"OK","ERROR"),"ERROR")</f>
        <v/>
      </c>
      <c r="H171" s="5" t="inlineStr">
        <is>
          <t>$1.97 million</t>
        </is>
      </c>
    </row>
    <row r="172">
      <c r="B172" s="7" t="inlineStr">
        <is>
          <t>vppa_2028</t>
        </is>
      </c>
      <c r="C172" s="7" t="inlineStr">
        <is>
          <t>Total</t>
        </is>
      </c>
      <c r="D172" s="25" t="n">
        <v>22640000</v>
      </c>
      <c r="E172" s="25">
        <f>Cases!$C$159</f>
        <v/>
      </c>
      <c r="F172" s="25" t="n">
        <v>5000.500000001</v>
      </c>
      <c r="G172" s="14">
        <f>IF(ISNUMBER(E172),IF(ABS(E172-D172)&lt;=F172,"OK","ERROR"),"ERROR")</f>
        <v/>
      </c>
      <c r="H172" s="5" t="inlineStr">
        <is>
          <t>$22.64 million</t>
        </is>
      </c>
    </row>
    <row r="173">
      <c r="B173" s="7" t="inlineStr">
        <is>
          <t>vppa_basis</t>
        </is>
      </c>
      <c r="C173" s="7" t="inlineStr">
        <is>
          <t>Basis cost 2028</t>
        </is>
      </c>
      <c r="D173" s="25" t="n">
        <v>850000</v>
      </c>
      <c r="E173" s="25">
        <f>Cases!$C$160</f>
        <v/>
      </c>
      <c r="F173" s="25" t="n">
        <v>5000.500000001</v>
      </c>
      <c r="G173" s="14">
        <f>IF(ISNUMBER(E173),IF(ABS(E173-D173)&lt;=F173,"OK","ERROR"),"ERROR")</f>
        <v/>
      </c>
      <c r="H173" s="5" t="inlineStr">
        <is>
          <t>$0.85 million</t>
        </is>
      </c>
    </row>
    <row r="174">
      <c r="B174" s="7" t="inlineStr">
        <is>
          <t>vppa_basis</t>
        </is>
      </c>
      <c r="C174" s="7" t="inlineStr">
        <is>
          <t>Basis cost over the term</t>
        </is>
      </c>
      <c r="D174" s="25" t="n">
        <v>14900000</v>
      </c>
      <c r="E174" s="25">
        <f>Cases!$C$161</f>
        <v/>
      </c>
      <c r="F174" s="25" t="n">
        <v>50005.000000001</v>
      </c>
      <c r="G174" s="14">
        <f>IF(ISNUMBER(E174),IF(ABS(E174-D174)&lt;=F174,"OK","ERROR"),"ERROR")</f>
        <v/>
      </c>
      <c r="H174" s="5" t="inlineStr">
        <is>
          <t>$14.9 million</t>
        </is>
      </c>
    </row>
    <row r="175">
      <c r="B175" s="7" t="inlineStr">
        <is>
          <t>merchant_2028</t>
        </is>
      </c>
      <c r="C175" s="7" t="inlineStr">
        <is>
          <t>Merchant 2028</t>
        </is>
      </c>
      <c r="D175" s="25" t="n">
        <v>17520000</v>
      </c>
      <c r="E175" s="25">
        <f>Cases!$C$162</f>
        <v/>
      </c>
      <c r="F175" s="25" t="n">
        <v>5000.500000001</v>
      </c>
      <c r="G175" s="14">
        <f>IF(ISNUMBER(E175),IF(ABS(E175-D175)&lt;=F175,"OK","ERROR"),"ERROR")</f>
        <v/>
      </c>
      <c r="H175" s="5" t="inlineStr">
        <is>
          <t>$17.52 million</t>
        </is>
      </c>
    </row>
    <row r="176">
      <c r="B176" s="7" t="inlineStr">
        <is>
          <t>merchant_2028</t>
        </is>
      </c>
      <c r="C176" s="7" t="inlineStr">
        <is>
          <t>Virtual PPA 2028</t>
        </is>
      </c>
      <c r="D176" s="25" t="n">
        <v>22640000</v>
      </c>
      <c r="E176" s="25">
        <f>Cases!$C$163</f>
        <v/>
      </c>
      <c r="F176" s="25" t="n">
        <v>5000.500000001</v>
      </c>
      <c r="G176" s="14">
        <f>IF(ISNUMBER(E176),IF(ABS(E176-D176)&lt;=F176,"OK","ERROR"),"ERROR")</f>
        <v/>
      </c>
      <c r="H176" s="5" t="inlineStr">
        <is>
          <t>$22.64 million</t>
        </is>
      </c>
    </row>
    <row r="177">
      <c r="B177" s="7" t="inlineStr">
        <is>
          <t>bridge_U</t>
        </is>
      </c>
      <c r="C177" s="7" t="inlineStr">
        <is>
          <t>Contracted revenue (rounded to add up)</t>
        </is>
      </c>
      <c r="D177" s="25" t="n">
        <v>217300000</v>
      </c>
      <c r="E177" s="25">
        <f>Cases!$C$45</f>
        <v/>
      </c>
      <c r="F177" s="25" t="n">
        <v>100010.000000001</v>
      </c>
      <c r="G177" s="14">
        <f>IF(ISNUMBER(E177),IF(ABS(E177-D177)&lt;=F177,"OK","ERROR"),"ERROR")</f>
        <v/>
      </c>
      <c r="H177" s="5" t="inlineStr">
        <is>
          <t>$217.3 million</t>
        </is>
      </c>
    </row>
    <row r="178">
      <c r="B178" s="7" t="inlineStr">
        <is>
          <t>bridge_U</t>
        </is>
      </c>
      <c r="C178" s="7" t="inlineStr">
        <is>
          <t>Merchant revenue (rounded to add up)</t>
        </is>
      </c>
      <c r="D178" s="25" t="n">
        <v>27300000</v>
      </c>
      <c r="E178" s="25">
        <f>Cases!$C$46</f>
        <v/>
      </c>
      <c r="F178" s="25" t="n">
        <v>100010.000000001</v>
      </c>
      <c r="G178" s="14">
        <f>IF(ISNUMBER(E178),IF(ABS(E178-D178)&lt;=F178,"OK","ERROR"),"ERROR")</f>
        <v/>
      </c>
      <c r="H178" s="5" t="inlineStr">
        <is>
          <t>$27.3 million</t>
        </is>
      </c>
    </row>
    <row r="179">
      <c r="B179" s="7" t="inlineStr">
        <is>
          <t>bridge_U</t>
        </is>
      </c>
      <c r="C179" s="7" t="inlineStr">
        <is>
          <t>PTC cash (rounded to add up)</t>
        </is>
      </c>
      <c r="D179" s="25" t="n">
        <v>73000000</v>
      </c>
      <c r="E179" s="25">
        <f>Cases!$C$47</f>
        <v/>
      </c>
      <c r="F179" s="25" t="n">
        <v>100010.000000001</v>
      </c>
      <c r="G179" s="14">
        <f>IF(ISNUMBER(E179),IF(ABS(E179-D179)&lt;=F179,"OK","ERROR"),"ERROR")</f>
        <v/>
      </c>
      <c r="H179" s="5" t="inlineStr">
        <is>
          <t>$73.0 million</t>
        </is>
      </c>
    </row>
    <row r="180">
      <c r="B180" s="7" t="inlineStr">
        <is>
          <t>bridge_U</t>
        </is>
      </c>
      <c r="C180" s="7" t="inlineStr">
        <is>
          <t>Operating cost (rounded to add up)</t>
        </is>
      </c>
      <c r="D180" s="25" t="n">
        <v>75900000</v>
      </c>
      <c r="E180" s="25">
        <f>Cases!$C$48</f>
        <v/>
      </c>
      <c r="F180" s="25" t="n">
        <v>100010.000000001</v>
      </c>
      <c r="G180" s="14">
        <f>IF(ISNUMBER(E180),IF(ABS(E180-D180)&lt;=F180,"OK","ERROR"),"ERROR")</f>
        <v/>
      </c>
      <c r="H180" s="5" t="inlineStr">
        <is>
          <t>$75.9 million</t>
        </is>
      </c>
    </row>
    <row r="181">
      <c r="B181" s="7" t="inlineStr">
        <is>
          <t>bridge_U</t>
        </is>
      </c>
      <c r="C181" s="7" t="inlineStr">
        <is>
          <t>Basis cost (rounded to add up)</t>
        </is>
      </c>
      <c r="D181" s="25" t="n">
        <v>0</v>
      </c>
      <c r="E181" s="25">
        <f>Cases!$C$49</f>
        <v/>
      </c>
      <c r="F181" s="25" t="n">
        <v>100010.000000001</v>
      </c>
      <c r="G181" s="14">
        <f>IF(ISNUMBER(E181),IF(ABS(E181-D181)&lt;=F181,"OK","ERROR"),"ERROR")</f>
        <v/>
      </c>
      <c r="H181" s="5" t="inlineStr">
        <is>
          <t>$0.0 million</t>
        </is>
      </c>
    </row>
    <row r="182">
      <c r="B182" s="7" t="inlineStr">
        <is>
          <t>bridge_U</t>
        </is>
      </c>
      <c r="C182" s="7" t="inlineStr">
        <is>
          <t>Decommissioning (rounded to add up)</t>
        </is>
      </c>
      <c r="D182" s="25" t="n">
        <v>1700000</v>
      </c>
      <c r="E182" s="25">
        <f>Cases!$C$50</f>
        <v/>
      </c>
      <c r="F182" s="25" t="n">
        <v>100010.000000001</v>
      </c>
      <c r="G182" s="14">
        <f>IF(ISNUMBER(E182),IF(ABS(E182-D182)&lt;=F182,"OK","ERROR"),"ERROR")</f>
        <v/>
      </c>
      <c r="H182" s="5" t="inlineStr">
        <is>
          <t>$1.7 million</t>
        </is>
      </c>
    </row>
    <row r="183">
      <c r="B183" s="7" t="inlineStr">
        <is>
          <t>bridge_U</t>
        </is>
      </c>
      <c r="C183" s="7" t="inlineStr">
        <is>
          <t>Capital cost (rounded to add up)</t>
        </is>
      </c>
      <c r="D183" s="25" t="n">
        <v>206600000</v>
      </c>
      <c r="E183" s="25">
        <f>Cases!$C$51</f>
        <v/>
      </c>
      <c r="F183" s="25" t="n">
        <v>100010.000000001</v>
      </c>
      <c r="G183" s="14">
        <f>IF(ISNUMBER(E183),IF(ABS(E183-D183)&lt;=F183,"OK","ERROR"),"ERROR")</f>
        <v/>
      </c>
      <c r="H183" s="5" t="inlineStr">
        <is>
          <t>$206.6 million</t>
        </is>
      </c>
    </row>
    <row r="184">
      <c r="B184" s="7" t="inlineStr">
        <is>
          <t>bridge_U</t>
        </is>
      </c>
      <c r="C184" s="7" t="inlineStr">
        <is>
          <t>Development value</t>
        </is>
      </c>
      <c r="D184" s="25" t="n">
        <v>33400000</v>
      </c>
      <c r="E184" s="25">
        <f>Cases!$C$52</f>
        <v/>
      </c>
      <c r="F184" s="25" t="n">
        <v>50005.000000001</v>
      </c>
      <c r="G184" s="14">
        <f>IF(ISNUMBER(E184),IF(ABS(E184-D184)&lt;=F184,"OK","ERROR"),"ERROR")</f>
        <v/>
      </c>
      <c r="H184" s="5" t="inlineStr">
        <is>
          <t>$33.4 million</t>
        </is>
      </c>
    </row>
    <row r="185">
      <c r="B185" s="7" t="inlineStr">
        <is>
          <t>bridge_C</t>
        </is>
      </c>
      <c r="C185" s="7" t="inlineStr">
        <is>
          <t>Contracted revenue (rounded to add up)</t>
        </is>
      </c>
      <c r="D185" s="25" t="n">
        <v>179000000</v>
      </c>
      <c r="E185" s="25">
        <f>Cases!$C$89</f>
        <v/>
      </c>
      <c r="F185" s="25" t="n">
        <v>100010.000000001</v>
      </c>
      <c r="G185" s="14">
        <f>IF(ISNUMBER(E185),IF(ABS(E185-D185)&lt;=F185,"OK","ERROR"),"ERROR")</f>
        <v/>
      </c>
      <c r="H185" s="5" t="inlineStr">
        <is>
          <t>$179.0 million</t>
        </is>
      </c>
    </row>
    <row r="186">
      <c r="B186" s="7" t="inlineStr">
        <is>
          <t>bridge_C</t>
        </is>
      </c>
      <c r="C186" s="7" t="inlineStr">
        <is>
          <t>Merchant revenue (rounded to add up)</t>
        </is>
      </c>
      <c r="D186" s="25" t="n">
        <v>55600000</v>
      </c>
      <c r="E186" s="25">
        <f>Cases!$C$90</f>
        <v/>
      </c>
      <c r="F186" s="25" t="n">
        <v>100010.000000001</v>
      </c>
      <c r="G186" s="14">
        <f>IF(ISNUMBER(E186),IF(ABS(E186-D186)&lt;=F186,"OK","ERROR"),"ERROR")</f>
        <v/>
      </c>
      <c r="H186" s="5" t="inlineStr">
        <is>
          <t>$55.6 million</t>
        </is>
      </c>
    </row>
    <row r="187">
      <c r="B187" s="7" t="inlineStr">
        <is>
          <t>bridge_C</t>
        </is>
      </c>
      <c r="C187" s="7" t="inlineStr">
        <is>
          <t>PTC cash (rounded to add up)</t>
        </is>
      </c>
      <c r="D187" s="25" t="n">
        <v>73000000</v>
      </c>
      <c r="E187" s="25">
        <f>Cases!$C$91</f>
        <v/>
      </c>
      <c r="F187" s="25" t="n">
        <v>100010.000000001</v>
      </c>
      <c r="G187" s="14">
        <f>IF(ISNUMBER(E187),IF(ABS(E187-D187)&lt;=F187,"OK","ERROR"),"ERROR")</f>
        <v/>
      </c>
      <c r="H187" s="5" t="inlineStr">
        <is>
          <t>$73.0 million</t>
        </is>
      </c>
    </row>
    <row r="188">
      <c r="B188" s="7" t="inlineStr">
        <is>
          <t>bridge_C</t>
        </is>
      </c>
      <c r="C188" s="7" t="inlineStr">
        <is>
          <t>Operating cost (rounded to add up)</t>
        </is>
      </c>
      <c r="D188" s="25" t="n">
        <v>75900000</v>
      </c>
      <c r="E188" s="25">
        <f>Cases!$C$92</f>
        <v/>
      </c>
      <c r="F188" s="25" t="n">
        <v>100010.000000001</v>
      </c>
      <c r="G188" s="14">
        <f>IF(ISNUMBER(E188),IF(ABS(E188-D188)&lt;=F188,"OK","ERROR"),"ERROR")</f>
        <v/>
      </c>
      <c r="H188" s="5" t="inlineStr">
        <is>
          <t>$75.9 million</t>
        </is>
      </c>
    </row>
    <row r="189">
      <c r="B189" s="7" t="inlineStr">
        <is>
          <t>bridge_C</t>
        </is>
      </c>
      <c r="C189" s="7" t="inlineStr">
        <is>
          <t>Basis cost (rounded to add up)</t>
        </is>
      </c>
      <c r="D189" s="25" t="n">
        <v>8200000</v>
      </c>
      <c r="E189" s="25">
        <f>Cases!$C$93</f>
        <v/>
      </c>
      <c r="F189" s="25" t="n">
        <v>100010.000000001</v>
      </c>
      <c r="G189" s="14">
        <f>IF(ISNUMBER(E189),IF(ABS(E189-D189)&lt;=F189,"OK","ERROR"),"ERROR")</f>
        <v/>
      </c>
      <c r="H189" s="5" t="inlineStr">
        <is>
          <t>$8.2 million</t>
        </is>
      </c>
    </row>
    <row r="190">
      <c r="B190" s="7" t="inlineStr">
        <is>
          <t>bridge_C</t>
        </is>
      </c>
      <c r="C190" s="7" t="inlineStr">
        <is>
          <t>Decommissioning (rounded to add up)</t>
        </is>
      </c>
      <c r="D190" s="25" t="n">
        <v>1700000</v>
      </c>
      <c r="E190" s="25">
        <f>Cases!$C$94</f>
        <v/>
      </c>
      <c r="F190" s="25" t="n">
        <v>100010.000000001</v>
      </c>
      <c r="G190" s="14">
        <f>IF(ISNUMBER(E190),IF(ABS(E190-D190)&lt;=F190,"OK","ERROR"),"ERROR")</f>
        <v/>
      </c>
      <c r="H190" s="5" t="inlineStr">
        <is>
          <t>$1.7 million</t>
        </is>
      </c>
    </row>
    <row r="191">
      <c r="B191" s="7" t="inlineStr">
        <is>
          <t>bridge_C</t>
        </is>
      </c>
      <c r="C191" s="7" t="inlineStr">
        <is>
          <t>Capital cost (rounded to add up)</t>
        </is>
      </c>
      <c r="D191" s="25" t="n">
        <v>206600000</v>
      </c>
      <c r="E191" s="25">
        <f>Cases!$C$95</f>
        <v/>
      </c>
      <c r="F191" s="25" t="n">
        <v>100010.000000001</v>
      </c>
      <c r="G191" s="14">
        <f>IF(ISNUMBER(E191),IF(ABS(E191-D191)&lt;=F191,"OK","ERROR"),"ERROR")</f>
        <v/>
      </c>
      <c r="H191" s="5" t="inlineStr">
        <is>
          <t>$206.6 million</t>
        </is>
      </c>
    </row>
    <row r="192">
      <c r="B192" s="7" t="inlineStr">
        <is>
          <t>bridge_C</t>
        </is>
      </c>
      <c r="C192" s="7" t="inlineStr">
        <is>
          <t>Development value</t>
        </is>
      </c>
      <c r="D192" s="25" t="n">
        <v>15200000</v>
      </c>
      <c r="E192" s="25">
        <f>Cases!$C$96</f>
        <v/>
      </c>
      <c r="F192" s="25" t="n">
        <v>50005.000000001</v>
      </c>
      <c r="G192" s="14">
        <f>IF(ISNUMBER(E192),IF(ABS(E192-D192)&lt;=F192,"OK","ERROR"),"ERROR")</f>
        <v/>
      </c>
      <c r="H192" s="5" t="inlineStr">
        <is>
          <t>$15.2 million</t>
        </is>
      </c>
    </row>
    <row r="193">
      <c r="B193" s="7" t="inlineStr">
        <is>
          <t>headroom</t>
        </is>
      </c>
      <c r="C193" s="7" t="inlineStr">
        <is>
          <t>Highest premium, case U</t>
        </is>
      </c>
      <c r="D193" s="25" t="n">
        <v>32800000</v>
      </c>
      <c r="E193" s="25">
        <f>Cases!$C$37</f>
        <v/>
      </c>
      <c r="F193" s="25" t="n">
        <v>50005.000000001</v>
      </c>
      <c r="G193" s="14">
        <f>IF(ISNUMBER(E193),IF(ABS(E193-D193)&lt;=F193,"OK","ERROR"),"ERROR")</f>
        <v/>
      </c>
      <c r="H193" s="5" t="inlineStr">
        <is>
          <t>$32.8 million</t>
        </is>
      </c>
    </row>
    <row r="194">
      <c r="B194" s="7" t="inlineStr">
        <is>
          <t>headroom</t>
        </is>
      </c>
      <c r="C194" s="7" t="inlineStr">
        <is>
          <t>Headroom</t>
        </is>
      </c>
      <c r="D194" s="25" t="n">
        <v>5800000</v>
      </c>
      <c r="E194" s="25">
        <f>Cases!$C$152</f>
        <v/>
      </c>
      <c r="F194" s="25" t="n">
        <v>50005.000000001</v>
      </c>
      <c r="G194" s="14">
        <f>IF(ISNUMBER(E194),IF(ABS(E194-D194)&lt;=F194,"OK","ERROR"),"ERROR")</f>
        <v/>
      </c>
      <c r="H194" s="5" t="inlineStr">
        <is>
          <t>$5.8 million</t>
        </is>
      </c>
    </row>
    <row r="195">
      <c r="B195" s="7" t="inlineStr">
        <is>
          <t>cf_2027</t>
        </is>
      </c>
      <c r="C195" s="7" t="inlineStr">
        <is>
          <t>Flow on 1 January 2027</t>
        </is>
      </c>
      <c r="D195" s="25" t="n">
        <v>-35100000</v>
      </c>
      <c r="E195" s="25">
        <f>Cases!$C$164</f>
        <v/>
      </c>
      <c r="F195" s="25" t="n">
        <v>50005.000000001</v>
      </c>
      <c r="G195" s="14">
        <f>IF(ISNUMBER(E195),IF(ABS(E195-D195)&lt;=F195,"OK","ERROR"),"ERROR")</f>
        <v/>
      </c>
      <c r="H195" s="5" t="inlineStr">
        <is>
          <t>minus $35.1 million</t>
        </is>
      </c>
    </row>
    <row r="196">
      <c r="B196" s="7" t="inlineStr">
        <is>
          <t>cf_2027</t>
        </is>
      </c>
      <c r="C196" s="7" t="inlineStr">
        <is>
          <t>Flow at the end of 2027</t>
        </is>
      </c>
      <c r="D196" s="25" t="n">
        <v>-212900000</v>
      </c>
      <c r="E196" s="25">
        <f>Cases!$C$165</f>
        <v/>
      </c>
      <c r="F196" s="25" t="n">
        <v>50005.000000001</v>
      </c>
      <c r="G196" s="14">
        <f>IF(ISNUMBER(E196),IF(ABS(E196-D196)&lt;=F196,"OK","ERROR"),"ERROR")</f>
        <v/>
      </c>
      <c r="H196" s="5" t="inlineStr">
        <is>
          <t>minus $212.9 million</t>
        </is>
      </c>
    </row>
    <row r="197">
      <c r="B197" s="7" t="inlineStr">
        <is>
          <t>cf_2027</t>
        </is>
      </c>
      <c r="C197" s="7" t="inlineStr">
        <is>
          <t>2028 EBITDA plus PTC</t>
        </is>
      </c>
      <c r="D197" s="25" t="n">
        <v>25000000</v>
      </c>
      <c r="E197" s="25">
        <f>Cases!$C$166</f>
        <v/>
      </c>
      <c r="F197" s="25" t="n">
        <v>50005.000000001</v>
      </c>
      <c r="G197" s="14">
        <f>IF(ISNUMBER(E197),IF(ABS(E197-D197)&lt;=F197,"OK","ERROR"),"ERROR")</f>
        <v/>
      </c>
      <c r="H197" s="5" t="inlineStr">
        <is>
          <t>$25.0 million</t>
        </is>
      </c>
    </row>
    <row r="198">
      <c r="B198" s="7" t="inlineStr">
        <is>
          <t>dev_value_per_w</t>
        </is>
      </c>
      <c r="C198" s="7" t="inlineStr">
        <is>
          <t>Case U per Wac</t>
        </is>
      </c>
      <c r="D198" s="42" t="n">
        <v>0.222</v>
      </c>
      <c r="E198" s="42">
        <f>Cases!$C$42</f>
        <v/>
      </c>
      <c r="F198" s="42" t="n">
        <v>0.0005000510000000001</v>
      </c>
      <c r="G198" s="14">
        <f>IF(ISNUMBER(E198),IF(ABS(E198-D198)&lt;=F198,"OK","ERROR"),"ERROR")</f>
        <v/>
      </c>
      <c r="H198" s="5" t="inlineStr">
        <is>
          <t>$0.222</t>
        </is>
      </c>
    </row>
    <row r="199">
      <c r="B199" s="7" t="inlineStr">
        <is>
          <t>dev_value_per_w</t>
        </is>
      </c>
      <c r="C199" s="7" t="inlineStr">
        <is>
          <t>Case C per Wac</t>
        </is>
      </c>
      <c r="D199" s="42" t="n">
        <v>0.101</v>
      </c>
      <c r="E199" s="42">
        <f>Cases!$C$86</f>
        <v/>
      </c>
      <c r="F199" s="42" t="n">
        <v>0.0005000510000000001</v>
      </c>
      <c r="G199" s="14">
        <f>IF(ISNUMBER(E199),IF(ABS(E199-D199)&lt;=F199,"OK","ERROR"),"ERROR")</f>
        <v/>
      </c>
      <c r="H199" s="5" t="inlineStr">
        <is>
          <t>$0.101</t>
        </is>
      </c>
    </row>
    <row r="200">
      <c r="B200" s="7" t="inlineStr">
        <is>
          <t>dev_value_per_w</t>
        </is>
      </c>
      <c r="C200" s="7" t="inlineStr">
        <is>
          <t>Premium per Wac</t>
        </is>
      </c>
      <c r="D200" s="42" t="n">
        <v>0.18</v>
      </c>
      <c r="E200" s="42">
        <f>Cases!$C$169</f>
        <v/>
      </c>
      <c r="F200" s="42" t="n">
        <v>0.0005000510000000001</v>
      </c>
      <c r="G200" s="14">
        <f>IF(ISNUMBER(E200),IF(ABS(E200-D200)&lt;=F200,"OK","ERROR"),"ERROR")</f>
        <v/>
      </c>
      <c r="H200" s="5" t="inlineStr">
        <is>
          <t>$0.180</t>
        </is>
      </c>
    </row>
    <row r="201">
      <c r="B201" s="7" t="inlineStr">
        <is>
          <t>ntp_price</t>
        </is>
      </c>
      <c r="C201" s="7" t="inlineStr">
        <is>
          <t>Premium per Wdc</t>
        </is>
      </c>
      <c r="D201" s="42" t="n">
        <v>0.138</v>
      </c>
      <c r="E201" s="42">
        <f>Cases!$C$170</f>
        <v/>
      </c>
      <c r="F201" s="42" t="n">
        <v>0.0005000510000000001</v>
      </c>
      <c r="G201" s="14">
        <f>IF(ISNUMBER(E201),IF(ABS(E201-D201)&lt;=F201,"OK","ERROR"),"ERROR")</f>
        <v/>
      </c>
      <c r="H201" s="5" t="inlineStr">
        <is>
          <t>$0.138</t>
        </is>
      </c>
    </row>
    <row r="202">
      <c r="B202" s="7" t="inlineStr">
        <is>
          <t>ntp_price</t>
        </is>
      </c>
      <c r="C202" s="7" t="inlineStr">
        <is>
          <t>Rest of the capital cost</t>
        </is>
      </c>
      <c r="D202" s="25" t="n">
        <v>212900000</v>
      </c>
      <c r="E202" s="25">
        <f>Capex!$C$20</f>
        <v/>
      </c>
      <c r="F202" s="25" t="n">
        <v>50005.000000001</v>
      </c>
      <c r="G202" s="14">
        <f>IF(ISNUMBER(E202),IF(ABS(E202-D202)&lt;=F202,"OK","ERROR"),"ERROR")</f>
        <v/>
      </c>
      <c r="H202" s="5" t="inlineStr">
        <is>
          <t>$212.9 million</t>
        </is>
      </c>
    </row>
    <row r="203">
      <c r="B203" s="7" t="inlineStr">
        <is>
          <t>cod_sale</t>
        </is>
      </c>
      <c r="C203" s="7" t="inlineStr">
        <is>
          <t>Total cost</t>
        </is>
      </c>
      <c r="D203" s="25" t="n">
        <v>248000000</v>
      </c>
      <c r="E203" s="25">
        <f>Cases!$C$168</f>
        <v/>
      </c>
      <c r="F203" s="25" t="n">
        <v>50005.000000001</v>
      </c>
      <c r="G203" s="14">
        <f>IF(ISNUMBER(E203),IF(ABS(E203-D203)&lt;=F203,"OK","ERROR"),"ERROR")</f>
        <v/>
      </c>
      <c r="H203" s="5" t="inlineStr">
        <is>
          <t>$248.0 million</t>
        </is>
      </c>
    </row>
    <row r="204">
      <c r="B204" s="7" t="inlineStr">
        <is>
          <t>cod_sale</t>
        </is>
      </c>
      <c r="C204" s="7" t="inlineStr">
        <is>
          <t>Value added by building</t>
        </is>
      </c>
      <c r="D204" s="25" t="n">
        <v>9400000</v>
      </c>
      <c r="E204" s="25">
        <f>Sale!$C$40</f>
        <v/>
      </c>
      <c r="F204" s="25" t="n">
        <v>50005.000000001</v>
      </c>
      <c r="G204" s="14">
        <f>IF(ISNUMBER(E204),IF(ABS(E204-D204)&lt;=F204,"OK","ERROR"),"ERROR")</f>
        <v/>
      </c>
      <c r="H204" s="5" t="inlineStr">
        <is>
          <t>$9.4 million</t>
        </is>
      </c>
    </row>
    <row r="205">
      <c r="B205" s="7" t="inlineStr">
        <is>
          <t>sale2038_U</t>
        </is>
      </c>
      <c r="C205" s="7" t="inlineStr">
        <is>
          <t>Value in 2038</t>
        </is>
      </c>
      <c r="D205" s="25" t="n">
        <v>153800000</v>
      </c>
      <c r="E205" s="25">
        <f>Sale!$C$41</f>
        <v/>
      </c>
      <c r="F205" s="25" t="n">
        <v>50005.000000001</v>
      </c>
      <c r="G205" s="14">
        <f>IF(ISNUMBER(E205),IF(ABS(E205-D205)&lt;=F205,"OK","ERROR"),"ERROR")</f>
        <v/>
      </c>
      <c r="H205" s="5" t="inlineStr">
        <is>
          <t>$153.8 million</t>
        </is>
      </c>
    </row>
    <row r="206">
      <c r="B206" s="7" t="inlineStr">
        <is>
          <t>sale2038_U</t>
        </is>
      </c>
      <c r="C206" s="7" t="inlineStr">
        <is>
          <t>Per Wac</t>
        </is>
      </c>
      <c r="D206" s="42" t="n">
        <v>1.03</v>
      </c>
      <c r="E206" s="42">
        <f>Cases!$C$41</f>
        <v/>
      </c>
      <c r="F206" s="42" t="n">
        <v>0.005000501</v>
      </c>
      <c r="G206" s="14">
        <f>IF(ISNUMBER(E206),IF(ABS(E206-D206)&lt;=F206,"OK","ERROR"),"ERROR")</f>
        <v/>
      </c>
      <c r="H206" s="5" t="inlineStr">
        <is>
          <t>$1.03</t>
        </is>
      </c>
    </row>
    <row r="207">
      <c r="B207" s="7" t="inlineStr">
        <is>
          <t>sale2038_C</t>
        </is>
      </c>
      <c r="C207" s="7" t="inlineStr">
        <is>
          <t>Value in 2038</t>
        </is>
      </c>
      <c r="D207" s="25" t="n">
        <v>114600000</v>
      </c>
      <c r="E207" s="25">
        <f>Sale!$C$42</f>
        <v/>
      </c>
      <c r="F207" s="25" t="n">
        <v>50005.000000001</v>
      </c>
      <c r="G207" s="14">
        <f>IF(ISNUMBER(E207),IF(ABS(E207-D207)&lt;=F207,"OK","ERROR"),"ERROR")</f>
        <v/>
      </c>
      <c r="H207" s="5" t="inlineStr">
        <is>
          <t>$114.6 million</t>
        </is>
      </c>
    </row>
    <row r="208">
      <c r="B208" s="7" t="inlineStr">
        <is>
          <t>sale2038_C</t>
        </is>
      </c>
      <c r="C208" s="7" t="inlineStr">
        <is>
          <t>Per Wac</t>
        </is>
      </c>
      <c r="D208" s="42" t="n">
        <v>0.76</v>
      </c>
      <c r="E208" s="42">
        <f>Cases!$C$85</f>
        <v/>
      </c>
      <c r="F208" s="42" t="n">
        <v>0.005000501</v>
      </c>
      <c r="G208" s="14">
        <f>IF(ISNUMBER(E208),IF(ABS(E208-D208)&lt;=F208,"OK","ERROR"),"ERROR")</f>
        <v/>
      </c>
      <c r="H208" s="5" t="inlineStr">
        <is>
          <t>$0.76</t>
        </is>
      </c>
    </row>
    <row r="209">
      <c r="B209" s="7" t="inlineStr">
        <is>
          <t>ppa_breakeven</t>
        </is>
      </c>
      <c r="C209" s="7" t="inlineStr">
        <is>
          <t>Utility PPA break-even</t>
        </is>
      </c>
      <c r="D209" s="42" t="n">
        <v>55.47</v>
      </c>
      <c r="E209" s="42">
        <f>Breakeven!$C$13</f>
        <v/>
      </c>
      <c r="F209" s="42" t="n">
        <v>0.005000501</v>
      </c>
      <c r="G209" s="14">
        <f>IF(ISNUMBER(E209),IF(ABS(E209-D209)&lt;=F209,"OK","ERROR"),"ERROR")</f>
        <v/>
      </c>
      <c r="H209" s="5" t="inlineStr">
        <is>
          <t>$55.47</t>
        </is>
      </c>
    </row>
    <row r="210">
      <c r="B210" s="7" t="inlineStr">
        <is>
          <t>ppa_breakeven</t>
        </is>
      </c>
      <c r="C210" s="7" t="inlineStr">
        <is>
          <t>Virtual PPA break-even</t>
        </is>
      </c>
      <c r="D210" s="42" t="n">
        <v>67.33</v>
      </c>
      <c r="E210" s="42">
        <f>Breakeven!$C$14</f>
        <v/>
      </c>
      <c r="F210" s="42" t="n">
        <v>0.005000501</v>
      </c>
      <c r="G210" s="14">
        <f>IF(ISNUMBER(E210),IF(ABS(E210-D210)&lt;=F210,"OK","ERROR"),"ERROR")</f>
        <v/>
      </c>
      <c r="H210" s="5" t="inlineStr">
        <is>
          <t>$67.33</t>
        </is>
      </c>
    </row>
    <row r="211">
      <c r="B211" s="7" t="inlineStr">
        <is>
          <t>ppa_minus2</t>
        </is>
      </c>
      <c r="C211" s="7" t="inlineStr">
        <is>
          <t>Value of $1 on the utility PPA</t>
        </is>
      </c>
      <c r="D211" s="25" t="n">
        <v>3800000</v>
      </c>
      <c r="E211" s="25">
        <f>Breakeven!$C$11</f>
        <v/>
      </c>
      <c r="F211" s="25" t="n">
        <v>50005.000000001</v>
      </c>
      <c r="G211" s="14">
        <f>IF(ISNUMBER(E211),IF(ABS(E211-D211)&lt;=F211,"OK","ERROR"),"ERROR")</f>
        <v/>
      </c>
      <c r="H211" s="5" t="inlineStr">
        <is>
          <t>$3.8 million</t>
        </is>
      </c>
    </row>
    <row r="212">
      <c r="B212" s="7" t="inlineStr">
        <is>
          <t>ppa_minus2</t>
        </is>
      </c>
      <c r="C212" s="7" t="inlineStr">
        <is>
          <t>Value of $1 on the virtual PPA</t>
        </is>
      </c>
      <c r="D212" s="25" t="n">
        <v>2800000</v>
      </c>
      <c r="E212" s="25">
        <f>Breakeven!$C$12</f>
        <v/>
      </c>
      <c r="F212" s="25" t="n">
        <v>50005.000000001</v>
      </c>
      <c r="G212" s="14">
        <f>IF(ISNUMBER(E212),IF(ABS(E212-D212)&lt;=F212,"OK","ERROR"),"ERROR")</f>
        <v/>
      </c>
      <c r="H212" s="5" t="inlineStr">
        <is>
          <t>$2.8 million</t>
        </is>
      </c>
    </row>
    <row r="213">
      <c r="B213" s="7" t="inlineStr">
        <is>
          <t>sens_U</t>
        </is>
      </c>
      <c r="C213" s="7" t="inlineStr">
        <is>
          <t>capex: value</t>
        </is>
      </c>
      <c r="D213" s="25" t="n">
        <v>12500000</v>
      </c>
      <c r="E213" s="25">
        <f>Sensitivities!$C$9</f>
        <v/>
      </c>
      <c r="F213" s="25" t="n">
        <v>50005.000000001</v>
      </c>
      <c r="G213" s="14">
        <f>IF(ISNUMBER(E213),IF(ABS(E213-D213)&lt;=F213,"OK","ERROR"),"ERROR")</f>
        <v/>
      </c>
      <c r="H213" s="5" t="inlineStr">
        <is>
          <t>$12.5 million</t>
        </is>
      </c>
    </row>
    <row r="214">
      <c r="B214" s="7" t="inlineStr">
        <is>
          <t>sens_U</t>
        </is>
      </c>
      <c r="C214" s="7" t="inlineStr">
        <is>
          <t>capex: change (difference of the printed values)</t>
        </is>
      </c>
      <c r="D214" s="25" t="n">
        <v>-20900000</v>
      </c>
      <c r="E214" s="25">
        <f>ROUND(Sensitivities!$C$9/1000000,1)*1000000-ROUND(Cases!$C$36/1000000,1)*1000000</f>
        <v/>
      </c>
      <c r="F214" s="25" t="n">
        <v>50005.000000001</v>
      </c>
      <c r="G214" s="14">
        <f>IF(ISNUMBER(E214),IF(ABS(E214-D214)&lt;=F214,"OK","ERROR"),"ERROR")</f>
        <v/>
      </c>
      <c r="H214" s="5" t="inlineStr">
        <is>
          <t>minus $20.9 million</t>
        </is>
      </c>
    </row>
    <row r="215">
      <c r="B215" s="7" t="inlineStr">
        <is>
          <t>sens_U</t>
        </is>
      </c>
      <c r="C215" s="7" t="inlineStr">
        <is>
          <t>p90: value</t>
        </is>
      </c>
      <c r="D215" s="25" t="n">
        <v>10900000</v>
      </c>
      <c r="E215" s="25">
        <f>Sensitivities!$C$10</f>
        <v/>
      </c>
      <c r="F215" s="25" t="n">
        <v>50005.000000001</v>
      </c>
      <c r="G215" s="14">
        <f>IF(ISNUMBER(E215),IF(ABS(E215-D215)&lt;=F215,"OK","ERROR"),"ERROR")</f>
        <v/>
      </c>
      <c r="H215" s="5" t="inlineStr">
        <is>
          <t>$10.9 million</t>
        </is>
      </c>
    </row>
    <row r="216">
      <c r="B216" s="7" t="inlineStr">
        <is>
          <t>sens_U</t>
        </is>
      </c>
      <c r="C216" s="7" t="inlineStr">
        <is>
          <t>p90: change (difference of the printed values)</t>
        </is>
      </c>
      <c r="D216" s="25" t="n">
        <v>-22500000</v>
      </c>
      <c r="E216" s="25">
        <f>ROUND(Sensitivities!$C$10/1000000,1)*1000000-ROUND(Cases!$C$36/1000000,1)*1000000</f>
        <v/>
      </c>
      <c r="F216" s="25" t="n">
        <v>50005.000000001</v>
      </c>
      <c r="G216" s="14">
        <f>IF(ISNUMBER(E216),IF(ABS(E216-D216)&lt;=F216,"OK","ERROR"),"ERROR")</f>
        <v/>
      </c>
      <c r="H216" s="5" t="inlineStr">
        <is>
          <t>minus $22.5 million</t>
        </is>
      </c>
    </row>
    <row r="217">
      <c r="B217" s="7" t="inlineStr">
        <is>
          <t>sens_U</t>
        </is>
      </c>
      <c r="C217" s="7" t="inlineStr">
        <is>
          <t>ic30: value</t>
        </is>
      </c>
      <c r="D217" s="25" t="n">
        <v>21600000</v>
      </c>
      <c r="E217" s="25">
        <f>Sensitivities!$C$11</f>
        <v/>
      </c>
      <c r="F217" s="25" t="n">
        <v>50005.000000001</v>
      </c>
      <c r="G217" s="14">
        <f>IF(ISNUMBER(E217),IF(ABS(E217-D217)&lt;=F217,"OK","ERROR"),"ERROR")</f>
        <v/>
      </c>
      <c r="H217" s="5" t="inlineStr">
        <is>
          <t>$21.6 million</t>
        </is>
      </c>
    </row>
    <row r="218">
      <c r="B218" s="7" t="inlineStr">
        <is>
          <t>sens_U</t>
        </is>
      </c>
      <c r="C218" s="7" t="inlineStr">
        <is>
          <t>ic30: change (difference of the printed values)</t>
        </is>
      </c>
      <c r="D218" s="25" t="n">
        <v>-11800000</v>
      </c>
      <c r="E218" s="25">
        <f>ROUND(Sensitivities!$C$11/1000000,1)*1000000-ROUND(Cases!$C$36/1000000,1)*1000000</f>
        <v/>
      </c>
      <c r="F218" s="25" t="n">
        <v>50005.000000001</v>
      </c>
      <c r="G218" s="14">
        <f>IF(ISNUMBER(E218),IF(ABS(E218-D218)&lt;=F218,"OK","ERROR"),"ERROR")</f>
        <v/>
      </c>
      <c r="H218" s="5" t="inlineStr">
        <is>
          <t>minus $11.8 million</t>
        </is>
      </c>
    </row>
    <row r="219">
      <c r="B219" s="7" t="inlineStr">
        <is>
          <t>sens_U</t>
        </is>
      </c>
      <c r="C219" s="7" t="inlineStr">
        <is>
          <t>mod38: value</t>
        </is>
      </c>
      <c r="D219" s="25" t="n">
        <v>17300000</v>
      </c>
      <c r="E219" s="25">
        <f>Sensitivities!$C$12</f>
        <v/>
      </c>
      <c r="F219" s="25" t="n">
        <v>50005.000000001</v>
      </c>
      <c r="G219" s="14">
        <f>IF(ISNUMBER(E219),IF(ABS(E219-D219)&lt;=F219,"OK","ERROR"),"ERROR")</f>
        <v/>
      </c>
      <c r="H219" s="5" t="inlineStr">
        <is>
          <t>$17.3 million</t>
        </is>
      </c>
    </row>
    <row r="220">
      <c r="B220" s="7" t="inlineStr">
        <is>
          <t>sens_U</t>
        </is>
      </c>
      <c r="C220" s="7" t="inlineStr">
        <is>
          <t>mod38: change (difference of the printed values)</t>
        </is>
      </c>
      <c r="D220" s="25" t="n">
        <v>-16100000</v>
      </c>
      <c r="E220" s="25">
        <f>ROUND(Sensitivities!$C$12/1000000,1)*1000000-ROUND(Cases!$C$36/1000000,1)*1000000</f>
        <v/>
      </c>
      <c r="F220" s="25" t="n">
        <v>50005.000000001</v>
      </c>
      <c r="G220" s="14">
        <f>IF(ISNUMBER(E220),IF(ABS(E220-D220)&lt;=F220,"OK","ERROR"),"ERROR")</f>
        <v/>
      </c>
      <c r="H220" s="5" t="inlineStr">
        <is>
          <t>minus $16.1 million</t>
        </is>
      </c>
    </row>
    <row r="221">
      <c r="B221" s="7" t="inlineStr">
        <is>
          <t>sens_U</t>
        </is>
      </c>
      <c r="C221" s="7" t="inlineStr">
        <is>
          <t>hub: value</t>
        </is>
      </c>
      <c r="D221" s="25" t="n">
        <v>28000000</v>
      </c>
      <c r="E221" s="25">
        <f>Sensitivities!$C$13</f>
        <v/>
      </c>
      <c r="F221" s="25" t="n">
        <v>50005.000000001</v>
      </c>
      <c r="G221" s="14">
        <f>IF(ISNUMBER(E221),IF(ABS(E221-D221)&lt;=F221,"OK","ERROR"),"ERROR")</f>
        <v/>
      </c>
      <c r="H221" s="5" t="inlineStr">
        <is>
          <t>$28.0 million</t>
        </is>
      </c>
    </row>
    <row r="222">
      <c r="B222" s="7" t="inlineStr">
        <is>
          <t>sens_U</t>
        </is>
      </c>
      <c r="C222" s="7" t="inlineStr">
        <is>
          <t>hub: change (difference of the printed values)</t>
        </is>
      </c>
      <c r="D222" s="25" t="n">
        <v>-5400000</v>
      </c>
      <c r="E222" s="25">
        <f>ROUND(Sensitivities!$C$13/1000000,1)*1000000-ROUND(Cases!$C$36/1000000,1)*1000000</f>
        <v/>
      </c>
      <c r="F222" s="25" t="n">
        <v>50005.000000001</v>
      </c>
      <c r="G222" s="14">
        <f>IF(ISNUMBER(E222),IF(ABS(E222-D222)&lt;=F222,"OK","ERROR"),"ERROR")</f>
        <v/>
      </c>
      <c r="H222" s="5" t="inlineStr">
        <is>
          <t>minus $5.4 million</t>
        </is>
      </c>
    </row>
    <row r="223">
      <c r="B223" s="7" t="inlineStr">
        <is>
          <t>sens_U</t>
        </is>
      </c>
      <c r="C223" s="7" t="inlineStr">
        <is>
          <t>itc: value</t>
        </is>
      </c>
      <c r="D223" s="25" t="n">
        <v>6600000</v>
      </c>
      <c r="E223" s="25">
        <f>Sensitivities!$C$14</f>
        <v/>
      </c>
      <c r="F223" s="25" t="n">
        <v>50005.000000001</v>
      </c>
      <c r="G223" s="14">
        <f>IF(ISNUMBER(E223),IF(ABS(E223-D223)&lt;=F223,"OK","ERROR"),"ERROR")</f>
        <v/>
      </c>
      <c r="H223" s="5" t="inlineStr">
        <is>
          <t>$6.6 million</t>
        </is>
      </c>
    </row>
    <row r="224">
      <c r="B224" s="7" t="inlineStr">
        <is>
          <t>sens_U</t>
        </is>
      </c>
      <c r="C224" s="7" t="inlineStr">
        <is>
          <t>itc: change (difference of the printed values)</t>
        </is>
      </c>
      <c r="D224" s="25" t="n">
        <v>-26800000</v>
      </c>
      <c r="E224" s="25">
        <f>ROUND(Sensitivities!$C$14/1000000,1)*1000000-ROUND(Cases!$C$36/1000000,1)*1000000</f>
        <v/>
      </c>
      <c r="F224" s="25" t="n">
        <v>50005.000000001</v>
      </c>
      <c r="G224" s="14">
        <f>IF(ISNUMBER(E224),IF(ABS(E224-D224)&lt;=F224,"OK","ERROR"),"ERROR")</f>
        <v/>
      </c>
      <c r="H224" s="5" t="inlineStr">
        <is>
          <t>minus $26.8 million</t>
        </is>
      </c>
    </row>
    <row r="225">
      <c r="B225" s="7" t="inlineStr">
        <is>
          <t>sens_U</t>
        </is>
      </c>
      <c r="C225" s="7" t="inlineStr">
        <is>
          <t>none: value</t>
        </is>
      </c>
      <c r="D225" s="25" t="n">
        <v>-39600000</v>
      </c>
      <c r="E225" s="25">
        <f>Sensitivities!$C$15</f>
        <v/>
      </c>
      <c r="F225" s="25" t="n">
        <v>50005.000000001</v>
      </c>
      <c r="G225" s="14">
        <f>IF(ISNUMBER(E225),IF(ABS(E225-D225)&lt;=F225,"OK","ERROR"),"ERROR")</f>
        <v/>
      </c>
      <c r="H225" s="5" t="inlineStr">
        <is>
          <t>minus $39.6 million</t>
        </is>
      </c>
    </row>
    <row r="226">
      <c r="B226" s="7" t="inlineStr">
        <is>
          <t>sens_U</t>
        </is>
      </c>
      <c r="C226" s="7" t="inlineStr">
        <is>
          <t>none: change (difference of the printed values)</t>
        </is>
      </c>
      <c r="D226" s="25" t="n">
        <v>-73000000</v>
      </c>
      <c r="E226" s="25">
        <f>ROUND(Sensitivities!$C$15/1000000,1)*1000000-ROUND(Cases!$C$36/1000000,1)*1000000</f>
        <v/>
      </c>
      <c r="F226" s="25" t="n">
        <v>50005.000000001</v>
      </c>
      <c r="G226" s="14">
        <f>IF(ISNUMBER(E226),IF(ABS(E226-D226)&lt;=F226,"OK","ERROR"),"ERROR")</f>
        <v/>
      </c>
      <c r="H226" s="5" t="inlineStr">
        <is>
          <t>minus $73.0 million</t>
        </is>
      </c>
    </row>
    <row r="227">
      <c r="B227" s="7" t="inlineStr">
        <is>
          <t>sens_U</t>
        </is>
      </c>
      <c r="C227" s="7" t="inlineStr">
        <is>
          <t>ec: value</t>
        </is>
      </c>
      <c r="D227" s="25" t="n">
        <v>40700000</v>
      </c>
      <c r="E227" s="25">
        <f>Sensitivities!$C$16</f>
        <v/>
      </c>
      <c r="F227" s="25" t="n">
        <v>50005.000000001</v>
      </c>
      <c r="G227" s="14">
        <f>IF(ISNUMBER(E227),IF(ABS(E227-D227)&lt;=F227,"OK","ERROR"),"ERROR")</f>
        <v/>
      </c>
      <c r="H227" s="5" t="inlineStr">
        <is>
          <t>$40.7 million</t>
        </is>
      </c>
    </row>
    <row r="228">
      <c r="B228" s="7" t="inlineStr">
        <is>
          <t>sens_U</t>
        </is>
      </c>
      <c r="C228" s="7" t="inlineStr">
        <is>
          <t>ec: change (difference of the printed values)</t>
        </is>
      </c>
      <c r="D228" s="25" t="n">
        <v>7300000</v>
      </c>
      <c r="E228" s="25">
        <f>ROUND(Sensitivities!$C$16/1000000,1)*1000000-ROUND(Cases!$C$36/1000000,1)*1000000</f>
        <v/>
      </c>
      <c r="F228" s="25" t="n">
        <v>50005.000000001</v>
      </c>
      <c r="G228" s="14">
        <f>IF(ISNUMBER(E228),IF(ABS(E228-D228)&lt;=F228,"OK","ERROR"),"ERROR")</f>
        <v/>
      </c>
      <c r="H228" s="5" t="inlineStr">
        <is>
          <t>+$7.3 million</t>
        </is>
      </c>
    </row>
    <row r="229">
      <c r="B229" s="7" t="inlineStr">
        <is>
          <t>sens_U</t>
        </is>
      </c>
      <c r="C229" s="7" t="inlineStr">
        <is>
          <t>rate: value</t>
        </is>
      </c>
      <c r="D229" s="25" t="n">
        <v>16500000</v>
      </c>
      <c r="E229" s="25">
        <f>Sensitivities!$C$17</f>
        <v/>
      </c>
      <c r="F229" s="25" t="n">
        <v>50005.000000001</v>
      </c>
      <c r="G229" s="14">
        <f>IF(ISNUMBER(E229),IF(ABS(E229-D229)&lt;=F229,"OK","ERROR"),"ERROR")</f>
        <v/>
      </c>
      <c r="H229" s="5" t="inlineStr">
        <is>
          <t>$16.5 million</t>
        </is>
      </c>
    </row>
    <row r="230">
      <c r="B230" s="7" t="inlineStr">
        <is>
          <t>sens_U</t>
        </is>
      </c>
      <c r="C230" s="7" t="inlineStr">
        <is>
          <t>rate: change (difference of the printed values)</t>
        </is>
      </c>
      <c r="D230" s="25" t="n">
        <v>-16900000</v>
      </c>
      <c r="E230" s="25">
        <f>ROUND(Sensitivities!$C$17/1000000,1)*1000000-ROUND(Cases!$C$36/1000000,1)*1000000</f>
        <v/>
      </c>
      <c r="F230" s="25" t="n">
        <v>50005.000000001</v>
      </c>
      <c r="G230" s="14">
        <f>IF(ISNUMBER(E230),IF(ABS(E230-D230)&lt;=F230,"OK","ERROR"),"ERROR")</f>
        <v/>
      </c>
      <c r="H230" s="5" t="inlineStr">
        <is>
          <t>minus $16.9 million</t>
        </is>
      </c>
    </row>
    <row r="231">
      <c r="B231" s="7" t="inlineStr">
        <is>
          <t>sens_C</t>
        </is>
      </c>
      <c r="C231" s="7" t="inlineStr">
        <is>
          <t>capex: value</t>
        </is>
      </c>
      <c r="D231" s="25" t="n">
        <v>-5600000</v>
      </c>
      <c r="E231" s="25">
        <f>Sensitivities!$E$9</f>
        <v/>
      </c>
      <c r="F231" s="25" t="n">
        <v>50005.000000001</v>
      </c>
      <c r="G231" s="14">
        <f>IF(ISNUMBER(E231),IF(ABS(E231-D231)&lt;=F231,"OK","ERROR"),"ERROR")</f>
        <v/>
      </c>
      <c r="H231" s="5" t="inlineStr">
        <is>
          <t>minus $5.6 million</t>
        </is>
      </c>
    </row>
    <row r="232">
      <c r="B232" s="7" t="inlineStr">
        <is>
          <t>sens_C</t>
        </is>
      </c>
      <c r="C232" s="7" t="inlineStr">
        <is>
          <t>capex: change (difference of the printed values)</t>
        </is>
      </c>
      <c r="D232" s="25" t="n">
        <v>-20800000</v>
      </c>
      <c r="E232" s="25">
        <f>ROUND(Sensitivities!$E$9/1000000,1)*1000000-ROUND(Cases!$C$80/1000000,1)*1000000</f>
        <v/>
      </c>
      <c r="F232" s="25" t="n">
        <v>50005.000000001</v>
      </c>
      <c r="G232" s="14">
        <f>IF(ISNUMBER(E232),IF(ABS(E232-D232)&lt;=F232,"OK","ERROR"),"ERROR")</f>
        <v/>
      </c>
      <c r="H232" s="5" t="inlineStr">
        <is>
          <t>minus $20.8 million</t>
        </is>
      </c>
    </row>
    <row r="233">
      <c r="B233" s="7" t="inlineStr">
        <is>
          <t>sens_C</t>
        </is>
      </c>
      <c r="C233" s="7" t="inlineStr">
        <is>
          <t>p90: value</t>
        </is>
      </c>
      <c r="D233" s="25" t="n">
        <v>-5200000</v>
      </c>
      <c r="E233" s="25">
        <f>Sensitivities!$E$10</f>
        <v/>
      </c>
      <c r="F233" s="25" t="n">
        <v>50005.000000001</v>
      </c>
      <c r="G233" s="14">
        <f>IF(ISNUMBER(E233),IF(ABS(E233-D233)&lt;=F233,"OK","ERROR"),"ERROR")</f>
        <v/>
      </c>
      <c r="H233" s="5" t="inlineStr">
        <is>
          <t>minus $5.2 million</t>
        </is>
      </c>
    </row>
    <row r="234">
      <c r="B234" s="7" t="inlineStr">
        <is>
          <t>sens_C</t>
        </is>
      </c>
      <c r="C234" s="7" t="inlineStr">
        <is>
          <t>p90: change (difference of the printed values)</t>
        </is>
      </c>
      <c r="D234" s="25" t="n">
        <v>-20400000</v>
      </c>
      <c r="E234" s="25">
        <f>ROUND(Sensitivities!$E$10/1000000,1)*1000000-ROUND(Cases!$C$80/1000000,1)*1000000</f>
        <v/>
      </c>
      <c r="F234" s="25" t="n">
        <v>50005.000000001</v>
      </c>
      <c r="G234" s="14">
        <f>IF(ISNUMBER(E234),IF(ABS(E234-D234)&lt;=F234,"OK","ERROR"),"ERROR")</f>
        <v/>
      </c>
      <c r="H234" s="5" t="inlineStr">
        <is>
          <t>minus $20.4 million</t>
        </is>
      </c>
    </row>
    <row r="235">
      <c r="B235" s="7" t="inlineStr">
        <is>
          <t>sens_C</t>
        </is>
      </c>
      <c r="C235" s="7" t="inlineStr">
        <is>
          <t>ic30: value</t>
        </is>
      </c>
      <c r="D235" s="25" t="n">
        <v>3400000</v>
      </c>
      <c r="E235" s="25">
        <f>Sensitivities!$E$11</f>
        <v/>
      </c>
      <c r="F235" s="25" t="n">
        <v>50005.000000001</v>
      </c>
      <c r="G235" s="14">
        <f>IF(ISNUMBER(E235),IF(ABS(E235-D235)&lt;=F235,"OK","ERROR"),"ERROR")</f>
        <v/>
      </c>
      <c r="H235" s="5" t="inlineStr">
        <is>
          <t>$3.4 million</t>
        </is>
      </c>
    </row>
    <row r="236">
      <c r="B236" s="7" t="inlineStr">
        <is>
          <t>sens_C</t>
        </is>
      </c>
      <c r="C236" s="7" t="inlineStr">
        <is>
          <t>ic30: change (difference of the printed values)</t>
        </is>
      </c>
      <c r="D236" s="25" t="n">
        <v>-11800000</v>
      </c>
      <c r="E236" s="25">
        <f>ROUND(Sensitivities!$E$11/1000000,1)*1000000-ROUND(Cases!$C$80/1000000,1)*1000000</f>
        <v/>
      </c>
      <c r="F236" s="25" t="n">
        <v>50005.000000001</v>
      </c>
      <c r="G236" s="14">
        <f>IF(ISNUMBER(E236),IF(ABS(E236-D236)&lt;=F236,"OK","ERROR"),"ERROR")</f>
        <v/>
      </c>
      <c r="H236" s="5" t="inlineStr">
        <is>
          <t>minus $11.8 million</t>
        </is>
      </c>
    </row>
    <row r="237">
      <c r="B237" s="7" t="inlineStr">
        <is>
          <t>sens_C</t>
        </is>
      </c>
      <c r="C237" s="7" t="inlineStr">
        <is>
          <t>mod38: value</t>
        </is>
      </c>
      <c r="D237" s="25" t="n">
        <v>-900000</v>
      </c>
      <c r="E237" s="25">
        <f>Sensitivities!$E$12</f>
        <v/>
      </c>
      <c r="F237" s="25" t="n">
        <v>50005.000000001</v>
      </c>
      <c r="G237" s="14">
        <f>IF(ISNUMBER(E237),IF(ABS(E237-D237)&lt;=F237,"OK","ERROR"),"ERROR")</f>
        <v/>
      </c>
      <c r="H237" s="5" t="inlineStr">
        <is>
          <t>minus $0.9 million</t>
        </is>
      </c>
    </row>
    <row r="238">
      <c r="B238" s="7" t="inlineStr">
        <is>
          <t>sens_C</t>
        </is>
      </c>
      <c r="C238" s="7" t="inlineStr">
        <is>
          <t>mod38: change (difference of the printed values)</t>
        </is>
      </c>
      <c r="D238" s="25" t="n">
        <v>-16100000</v>
      </c>
      <c r="E238" s="25">
        <f>ROUND(Sensitivities!$E$12/1000000,1)*1000000-ROUND(Cases!$C$80/1000000,1)*1000000</f>
        <v/>
      </c>
      <c r="F238" s="25" t="n">
        <v>50005.000000001</v>
      </c>
      <c r="G238" s="14">
        <f>IF(ISNUMBER(E238),IF(ABS(E238-D238)&lt;=F238,"OK","ERROR"),"ERROR")</f>
        <v/>
      </c>
      <c r="H238" s="5" t="inlineStr">
        <is>
          <t>minus $16.1 million</t>
        </is>
      </c>
    </row>
    <row r="239">
      <c r="B239" s="7" t="inlineStr">
        <is>
          <t>sens_C</t>
        </is>
      </c>
      <c r="C239" s="7" t="inlineStr">
        <is>
          <t>hub: value</t>
        </is>
      </c>
      <c r="D239" s="25" t="n">
        <v>6300000</v>
      </c>
      <c r="E239" s="25">
        <f>Sensitivities!$E$13</f>
        <v/>
      </c>
      <c r="F239" s="25" t="n">
        <v>50005.000000001</v>
      </c>
      <c r="G239" s="14">
        <f>IF(ISNUMBER(E239),IF(ABS(E239-D239)&lt;=F239,"OK","ERROR"),"ERROR")</f>
        <v/>
      </c>
      <c r="H239" s="5" t="inlineStr">
        <is>
          <t>$6.3 million</t>
        </is>
      </c>
    </row>
    <row r="240">
      <c r="B240" s="7" t="inlineStr">
        <is>
          <t>sens_C</t>
        </is>
      </c>
      <c r="C240" s="7" t="inlineStr">
        <is>
          <t>hub: change (difference of the printed values)</t>
        </is>
      </c>
      <c r="D240" s="25" t="n">
        <v>-8900000</v>
      </c>
      <c r="E240" s="25">
        <f>ROUND(Sensitivities!$E$13/1000000,1)*1000000-ROUND(Cases!$C$80/1000000,1)*1000000</f>
        <v/>
      </c>
      <c r="F240" s="25" t="n">
        <v>50005.000000001</v>
      </c>
      <c r="G240" s="14">
        <f>IF(ISNUMBER(E240),IF(ABS(E240-D240)&lt;=F240,"OK","ERROR"),"ERROR")</f>
        <v/>
      </c>
      <c r="H240" s="5" t="inlineStr">
        <is>
          <t>minus $8.9 million</t>
        </is>
      </c>
    </row>
    <row r="241">
      <c r="B241" s="7" t="inlineStr">
        <is>
          <t>sens_C</t>
        </is>
      </c>
      <c r="C241" s="7" t="inlineStr">
        <is>
          <t>itc: value</t>
        </is>
      </c>
      <c r="D241" s="25" t="n">
        <v>-11500000</v>
      </c>
      <c r="E241" s="25">
        <f>Sensitivities!$E$14</f>
        <v/>
      </c>
      <c r="F241" s="25" t="n">
        <v>50005.000000001</v>
      </c>
      <c r="G241" s="14">
        <f>IF(ISNUMBER(E241),IF(ABS(E241-D241)&lt;=F241,"OK","ERROR"),"ERROR")</f>
        <v/>
      </c>
      <c r="H241" s="5" t="inlineStr">
        <is>
          <t>minus $11.5 million</t>
        </is>
      </c>
    </row>
    <row r="242">
      <c r="B242" s="7" t="inlineStr">
        <is>
          <t>sens_C</t>
        </is>
      </c>
      <c r="C242" s="7" t="inlineStr">
        <is>
          <t>itc: change (difference of the printed values)</t>
        </is>
      </c>
      <c r="D242" s="25" t="n">
        <v>-26700000</v>
      </c>
      <c r="E242" s="25">
        <f>ROUND(Sensitivities!$E$14/1000000,1)*1000000-ROUND(Cases!$C$80/1000000,1)*1000000</f>
        <v/>
      </c>
      <c r="F242" s="25" t="n">
        <v>50005.000000001</v>
      </c>
      <c r="G242" s="14">
        <f>IF(ISNUMBER(E242),IF(ABS(E242-D242)&lt;=F242,"OK","ERROR"),"ERROR")</f>
        <v/>
      </c>
      <c r="H242" s="5" t="inlineStr">
        <is>
          <t>minus $26.7 million</t>
        </is>
      </c>
    </row>
    <row r="243">
      <c r="B243" s="7" t="inlineStr">
        <is>
          <t>sens_C</t>
        </is>
      </c>
      <c r="C243" s="7" t="inlineStr">
        <is>
          <t>none: value</t>
        </is>
      </c>
      <c r="D243" s="25" t="n">
        <v>-57800000</v>
      </c>
      <c r="E243" s="25">
        <f>Sensitivities!$E$15</f>
        <v/>
      </c>
      <c r="F243" s="25" t="n">
        <v>50005.000000001</v>
      </c>
      <c r="G243" s="14">
        <f>IF(ISNUMBER(E243),IF(ABS(E243-D243)&lt;=F243,"OK","ERROR"),"ERROR")</f>
        <v/>
      </c>
      <c r="H243" s="5" t="inlineStr">
        <is>
          <t>minus $57.8 million</t>
        </is>
      </c>
    </row>
    <row r="244">
      <c r="B244" s="7" t="inlineStr">
        <is>
          <t>sens_C</t>
        </is>
      </c>
      <c r="C244" s="7" t="inlineStr">
        <is>
          <t>none: change (difference of the printed values)</t>
        </is>
      </c>
      <c r="D244" s="25" t="n">
        <v>-73000000</v>
      </c>
      <c r="E244" s="25">
        <f>ROUND(Sensitivities!$E$15/1000000,1)*1000000-ROUND(Cases!$C$80/1000000,1)*1000000</f>
        <v/>
      </c>
      <c r="F244" s="25" t="n">
        <v>50005.000000001</v>
      </c>
      <c r="G244" s="14">
        <f>IF(ISNUMBER(E244),IF(ABS(E244-D244)&lt;=F244,"OK","ERROR"),"ERROR")</f>
        <v/>
      </c>
      <c r="H244" s="5" t="inlineStr">
        <is>
          <t>minus $73.0 million</t>
        </is>
      </c>
    </row>
    <row r="245">
      <c r="B245" s="7" t="inlineStr">
        <is>
          <t>sens_C</t>
        </is>
      </c>
      <c r="C245" s="7" t="inlineStr">
        <is>
          <t>ec: value</t>
        </is>
      </c>
      <c r="D245" s="25" t="n">
        <v>22500000</v>
      </c>
      <c r="E245" s="25">
        <f>Sensitivities!$E$16</f>
        <v/>
      </c>
      <c r="F245" s="25" t="n">
        <v>50005.000000001</v>
      </c>
      <c r="G245" s="14">
        <f>IF(ISNUMBER(E245),IF(ABS(E245-D245)&lt;=F245,"OK","ERROR"),"ERROR")</f>
        <v/>
      </c>
      <c r="H245" s="5" t="inlineStr">
        <is>
          <t>$22.5 million</t>
        </is>
      </c>
    </row>
    <row r="246">
      <c r="B246" s="7" t="inlineStr">
        <is>
          <t>sens_C</t>
        </is>
      </c>
      <c r="C246" s="7" t="inlineStr">
        <is>
          <t>ec: change (difference of the printed values)</t>
        </is>
      </c>
      <c r="D246" s="25" t="n">
        <v>7300000</v>
      </c>
      <c r="E246" s="25">
        <f>ROUND(Sensitivities!$E$16/1000000,1)*1000000-ROUND(Cases!$C$80/1000000,1)*1000000</f>
        <v/>
      </c>
      <c r="F246" s="25" t="n">
        <v>50005.000000001</v>
      </c>
      <c r="G246" s="14">
        <f>IF(ISNUMBER(E246),IF(ABS(E246-D246)&lt;=F246,"OK","ERROR"),"ERROR")</f>
        <v/>
      </c>
      <c r="H246" s="5" t="inlineStr">
        <is>
          <t>+$7.3 million</t>
        </is>
      </c>
    </row>
    <row r="247">
      <c r="B247" s="7" t="inlineStr">
        <is>
          <t>sens_C</t>
        </is>
      </c>
      <c r="C247" s="7" t="inlineStr">
        <is>
          <t>rate: value</t>
        </is>
      </c>
      <c r="D247" s="25" t="n">
        <v>1900000</v>
      </c>
      <c r="E247" s="25">
        <f>Sensitivities!$E$17</f>
        <v/>
      </c>
      <c r="F247" s="25" t="n">
        <v>50005.000000001</v>
      </c>
      <c r="G247" s="14">
        <f>IF(ISNUMBER(E247),IF(ABS(E247-D247)&lt;=F247,"OK","ERROR"),"ERROR")</f>
        <v/>
      </c>
      <c r="H247" s="5" t="inlineStr">
        <is>
          <t>$1.9 million</t>
        </is>
      </c>
    </row>
    <row r="248">
      <c r="B248" s="7" t="inlineStr">
        <is>
          <t>sens_C</t>
        </is>
      </c>
      <c r="C248" s="7" t="inlineStr">
        <is>
          <t>rate: change (difference of the printed values)</t>
        </is>
      </c>
      <c r="D248" s="25" t="n">
        <v>-13300000</v>
      </c>
      <c r="E248" s="25">
        <f>ROUND(Sensitivities!$E$17/1000000,1)*1000000-ROUND(Cases!$C$80/1000000,1)*1000000</f>
        <v/>
      </c>
      <c r="F248" s="25" t="n">
        <v>50005.000000001</v>
      </c>
      <c r="G248" s="14">
        <f>IF(ISNUMBER(E248),IF(ABS(E248-D248)&lt;=F248,"OK","ERROR"),"ERROR")</f>
        <v/>
      </c>
      <c r="H248" s="5" t="inlineStr">
        <is>
          <t>minus $13.3 million</t>
        </is>
      </c>
    </row>
    <row r="249">
      <c r="B249" s="7" t="inlineStr">
        <is>
          <t>capex_10</t>
        </is>
      </c>
      <c r="C249" s="7" t="inlineStr">
        <is>
          <t>10 percent of capital cost</t>
        </is>
      </c>
      <c r="D249" s="25" t="n">
        <v>22100000</v>
      </c>
      <c r="E249" s="25">
        <f>Sensitivities!$C$24</f>
        <v/>
      </c>
      <c r="F249" s="25" t="n">
        <v>50005.000000001</v>
      </c>
      <c r="G249" s="14">
        <f>IF(ISNUMBER(E249),IF(ABS(E249-D249)&lt;=F249,"OK","ERROR"),"ERROR")</f>
        <v/>
      </c>
      <c r="H249" s="5" t="inlineStr">
        <is>
          <t>$22.1 million</t>
        </is>
      </c>
    </row>
    <row r="250">
      <c r="B250" s="7" t="inlineStr">
        <is>
          <t>capex_10</t>
        </is>
      </c>
      <c r="C250" s="7" t="inlineStr">
        <is>
          <t>Extra spending</t>
        </is>
      </c>
      <c r="D250" s="25" t="n">
        <v>21200000</v>
      </c>
      <c r="E250" s="25">
        <f>Sensitivities!$E$24</f>
        <v/>
      </c>
      <c r="F250" s="25" t="n">
        <v>50005.000000001</v>
      </c>
      <c r="G250" s="14">
        <f>IF(ISNUMBER(E250),IF(ABS(E250-D250)&lt;=F250,"OK","ERROR"),"ERROR")</f>
        <v/>
      </c>
      <c r="H250" s="5" t="inlineStr">
        <is>
          <t>$21.2 million</t>
        </is>
      </c>
    </row>
    <row r="251">
      <c r="B251" s="7" t="inlineStr">
        <is>
          <t>ic_30</t>
        </is>
      </c>
      <c r="C251" s="7" t="inlineStr">
        <is>
          <t>Development value</t>
        </is>
      </c>
      <c r="D251" s="25" t="n">
        <v>21600000</v>
      </c>
      <c r="E251" s="25">
        <f>Interconnection!$C$20</f>
        <v/>
      </c>
      <c r="F251" s="25" t="n">
        <v>50005.000000001</v>
      </c>
      <c r="G251" s="14">
        <f>IF(ISNUMBER(E251),IF(ABS(E251-D251)&lt;=F251,"OK","ERROR"),"ERROR")</f>
        <v/>
      </c>
      <c r="H251" s="5" t="inlineStr">
        <is>
          <t>$21.6 million</t>
        </is>
      </c>
    </row>
    <row r="252">
      <c r="B252" s="7" t="inlineStr">
        <is>
          <t>ic_30</t>
        </is>
      </c>
      <c r="C252" s="7" t="inlineStr">
        <is>
          <t>Change (difference of the printed values)</t>
        </is>
      </c>
      <c r="D252" s="25" t="n">
        <v>-11800000</v>
      </c>
      <c r="E252" s="25">
        <f>ROUND(Interconnection!$C$20/1000000,1)*1000000-ROUND(Cases!$C$36/1000000,1)*1000000</f>
        <v/>
      </c>
      <c r="F252" s="25" t="n">
        <v>50005.000000001</v>
      </c>
      <c r="G252" s="14">
        <f>IF(ISNUMBER(E252),IF(ABS(E252-D252)&lt;=F252,"OK","ERROR"),"ERROR")</f>
        <v/>
      </c>
      <c r="H252" s="5" t="inlineStr">
        <is>
          <t>minus $11.8 million</t>
        </is>
      </c>
    </row>
    <row r="253">
      <c r="B253" s="7" t="inlineStr">
        <is>
          <t>ic_30</t>
        </is>
      </c>
      <c r="C253" s="7" t="inlineStr">
        <is>
          <t>Highest premium</t>
        </is>
      </c>
      <c r="D253" s="25" t="n">
        <v>21000000</v>
      </c>
      <c r="E253" s="25">
        <f>Interconnection!$E$20</f>
        <v/>
      </c>
      <c r="F253" s="25" t="n">
        <v>50005.000000001</v>
      </c>
      <c r="G253" s="14">
        <f>IF(ISNUMBER(E253),IF(ABS(E253-D253)&lt;=F253,"OK","ERROR"),"ERROR")</f>
        <v/>
      </c>
      <c r="H253" s="5" t="inlineStr">
        <is>
          <t>$21.0 million</t>
        </is>
      </c>
    </row>
    <row r="254">
      <c r="B254" s="7" t="inlineStr">
        <is>
          <t>ic_45</t>
        </is>
      </c>
      <c r="C254" s="7" t="inlineStr">
        <is>
          <t>Development value</t>
        </is>
      </c>
      <c r="D254" s="25" t="n">
        <v>6800000</v>
      </c>
      <c r="E254" s="25">
        <f>Interconnection!$C$21</f>
        <v/>
      </c>
      <c r="F254" s="25" t="n">
        <v>50005.000000001</v>
      </c>
      <c r="G254" s="14">
        <f>IF(ISNUMBER(E254),IF(ABS(E254-D254)&lt;=F254,"OK","ERROR"),"ERROR")</f>
        <v/>
      </c>
      <c r="H254" s="5" t="inlineStr">
        <is>
          <t>$6.8 million</t>
        </is>
      </c>
    </row>
    <row r="255">
      <c r="B255" s="7" t="inlineStr">
        <is>
          <t>ic_45</t>
        </is>
      </c>
      <c r="C255" s="7" t="inlineStr">
        <is>
          <t>Change (difference of the printed values)</t>
        </is>
      </c>
      <c r="D255" s="25" t="n">
        <v>-26600000</v>
      </c>
      <c r="E255" s="25">
        <f>ROUND(Interconnection!$C$21/1000000,1)*1000000-ROUND(Cases!$C$36/1000000,1)*1000000</f>
        <v/>
      </c>
      <c r="F255" s="25" t="n">
        <v>50005.000000001</v>
      </c>
      <c r="G255" s="14">
        <f>IF(ISNUMBER(E255),IF(ABS(E255-D255)&lt;=F255,"OK","ERROR"),"ERROR")</f>
        <v/>
      </c>
      <c r="H255" s="5" t="inlineStr">
        <is>
          <t>minus $26.6 million</t>
        </is>
      </c>
    </row>
    <row r="256">
      <c r="B256" s="7" t="inlineStr">
        <is>
          <t>ic_45</t>
        </is>
      </c>
      <c r="C256" s="7" t="inlineStr">
        <is>
          <t>Highest premium</t>
        </is>
      </c>
      <c r="D256" s="25" t="n">
        <v>6300000</v>
      </c>
      <c r="E256" s="25">
        <f>Interconnection!$E$21</f>
        <v/>
      </c>
      <c r="F256" s="25" t="n">
        <v>50005.000000001</v>
      </c>
      <c r="G256" s="14">
        <f>IF(ISNUMBER(E256),IF(ABS(E256-D256)&lt;=F256,"OK","ERROR"),"ERROR")</f>
        <v/>
      </c>
      <c r="H256" s="5" t="inlineStr">
        <is>
          <t>$6.3 million</t>
        </is>
      </c>
    </row>
    <row r="257">
      <c r="B257" s="7" t="inlineStr">
        <is>
          <t>ic_breakeven</t>
        </is>
      </c>
      <c r="C257" s="7" t="inlineStr">
        <is>
          <t>Per $1 million of upgrades</t>
        </is>
      </c>
      <c r="D257" s="25" t="n">
        <v>980000</v>
      </c>
      <c r="E257" s="25">
        <f>Interconnection!$C$14</f>
        <v/>
      </c>
      <c r="F257" s="25" t="n">
        <v>5000.500000001</v>
      </c>
      <c r="G257" s="14">
        <f>IF(ISNUMBER(E257),IF(ABS(E257-D257)&lt;=F257,"OK","ERROR"),"ERROR")</f>
        <v/>
      </c>
      <c r="H257" s="5" t="inlineStr">
        <is>
          <t>$0.98 million</t>
        </is>
      </c>
    </row>
    <row r="258">
      <c r="B258" s="7" t="inlineStr">
        <is>
          <t>ic_breakeven</t>
        </is>
      </c>
      <c r="C258" s="7" t="inlineStr">
        <is>
          <t>Capital part</t>
        </is>
      </c>
      <c r="D258" s="25" t="n">
        <v>930000</v>
      </c>
      <c r="E258" s="25">
        <f>Interconnection!$C$15</f>
        <v/>
      </c>
      <c r="F258" s="25" t="n">
        <v>5000.500000001</v>
      </c>
      <c r="G258" s="14">
        <f>IF(ISNUMBER(E258),IF(ABS(E258-D258)&lt;=F258,"OK","ERROR"),"ERROR")</f>
        <v/>
      </c>
      <c r="H258" s="5" t="inlineStr">
        <is>
          <t>$0.93 million</t>
        </is>
      </c>
    </row>
    <row r="259">
      <c r="B259" s="7" t="inlineStr">
        <is>
          <t>ic_breakeven</t>
        </is>
      </c>
      <c r="C259" s="7" t="inlineStr">
        <is>
          <t>Insurance part (difference of the printed values)</t>
        </is>
      </c>
      <c r="D259" s="25" t="n">
        <v>50000</v>
      </c>
      <c r="E259" s="25">
        <f>ROUND(Interconnection!$C$14/1000000,2)*1000000-ROUND(Interconnection!$C$15/1000000,2)*1000000</f>
        <v/>
      </c>
      <c r="F259" s="25" t="n">
        <v>5000.500000001</v>
      </c>
      <c r="G259" s="14">
        <f>IF(ISNUMBER(E259),IF(ABS(E259-D259)&lt;=F259,"OK","ERROR"),"ERROR")</f>
        <v/>
      </c>
      <c r="H259" s="5" t="inlineStr">
        <is>
          <t>$0.05 million</t>
        </is>
      </c>
    </row>
    <row r="260">
      <c r="B260" s="7" t="inlineStr">
        <is>
          <t>tracker</t>
        </is>
      </c>
      <c r="C260" s="7" t="inlineStr">
        <is>
          <t>Fixed-tilt energy</t>
        </is>
      </c>
      <c r="D260" s="32" t="n">
        <v>297078</v>
      </c>
      <c r="E260" s="32">
        <f>Sensitivities!$D$410</f>
        <v/>
      </c>
      <c r="F260" s="32" t="n">
        <v>0.500050001</v>
      </c>
      <c r="G260" s="14">
        <f>IF(ISNUMBER(E260),IF(ABS(E260-D260)&lt;=F260,"OK","ERROR"),"ERROR")</f>
        <v/>
      </c>
      <c r="H260" s="5" t="inlineStr">
        <is>
          <t>297,078</t>
        </is>
      </c>
    </row>
    <row r="261">
      <c r="B261" s="7" t="inlineStr">
        <is>
          <t>tracker</t>
        </is>
      </c>
      <c r="C261" s="7" t="inlineStr">
        <is>
          <t>Fixed-tilt capital cost</t>
        </is>
      </c>
      <c r="D261" s="25" t="n">
        <v>204700000</v>
      </c>
      <c r="E261" s="25">
        <f>Sensitivities!$C$407</f>
        <v/>
      </c>
      <c r="F261" s="25" t="n">
        <v>50005.000000001</v>
      </c>
      <c r="G261" s="14">
        <f>IF(ISNUMBER(E261),IF(ABS(E261-D261)&lt;=F261,"OK","ERROR"),"ERROR")</f>
        <v/>
      </c>
      <c r="H261" s="5" t="inlineStr">
        <is>
          <t>$204.7 million</t>
        </is>
      </c>
    </row>
    <row r="262">
      <c r="B262" s="7" t="inlineStr">
        <is>
          <t>tracker</t>
        </is>
      </c>
      <c r="C262" s="7" t="inlineStr">
        <is>
          <t>Fixed-tilt development value</t>
        </is>
      </c>
      <c r="D262" s="25" t="n">
        <v>8199999.999999999</v>
      </c>
      <c r="E262" s="25">
        <f>Sensitivities!$C$20</f>
        <v/>
      </c>
      <c r="F262" s="25" t="n">
        <v>50005.000000001</v>
      </c>
      <c r="G262" s="14">
        <f>IF(ISNUMBER(E262),IF(ABS(E262-D262)&lt;=F262,"OK","ERROR"),"ERROR")</f>
        <v/>
      </c>
      <c r="H262" s="5" t="inlineStr">
        <is>
          <t>$8.2 million</t>
        </is>
      </c>
    </row>
    <row r="263">
      <c r="B263" s="7" t="inlineStr">
        <is>
          <t>site_cedar</t>
        </is>
      </c>
      <c r="C263" s="7" t="inlineStr">
        <is>
          <t>Capital cost</t>
        </is>
      </c>
      <c r="D263" s="25" t="n">
        <v>221000000</v>
      </c>
      <c r="E263" s="25">
        <f>Screening!$C$20</f>
        <v/>
      </c>
      <c r="F263" s="25" t="n">
        <v>50005.000000001</v>
      </c>
      <c r="G263" s="14">
        <f>IF(ISNUMBER(E263),IF(ABS(E263-D263)&lt;=F263,"OK","ERROR"),"ERROR")</f>
        <v/>
      </c>
      <c r="H263" s="5" t="inlineStr">
        <is>
          <t>$221.0 million</t>
        </is>
      </c>
    </row>
    <row r="264">
      <c r="B264" s="7" t="inlineStr">
        <is>
          <t>site_cedar</t>
        </is>
      </c>
      <c r="C264" s="7" t="inlineStr">
        <is>
          <t>P50 energy</t>
        </is>
      </c>
      <c r="D264" s="32" t="n">
        <v>341640</v>
      </c>
      <c r="E264" s="32">
        <f>Screening!$C$21</f>
        <v/>
      </c>
      <c r="F264" s="32" t="n">
        <v>0.500050001</v>
      </c>
      <c r="G264" s="14">
        <f>IF(ISNUMBER(E264),IF(ABS(E264-D264)&lt;=F264,"OK","ERROR"),"ERROR")</f>
        <v/>
      </c>
      <c r="H264" s="5" t="inlineStr">
        <is>
          <t>341,640</t>
        </is>
      </c>
    </row>
    <row r="265">
      <c r="B265" s="7" t="inlineStr">
        <is>
          <t>site_cedar</t>
        </is>
      </c>
      <c r="C265" s="7" t="inlineStr">
        <is>
          <t>Levelized cost without credits</t>
        </is>
      </c>
      <c r="D265" s="42" t="n">
        <v>71.7</v>
      </c>
      <c r="E265" s="42">
        <f>Screening!$C$26</f>
        <v/>
      </c>
      <c r="F265" s="42" t="n">
        <v>0.005000501</v>
      </c>
      <c r="G265" s="14">
        <f>IF(ISNUMBER(E265),IF(ABS(E265-D265)&lt;=F265,"OK","ERROR"),"ERROR")</f>
        <v/>
      </c>
      <c r="H265" s="5" t="inlineStr">
        <is>
          <t>$71.70</t>
        </is>
      </c>
    </row>
    <row r="266">
      <c r="B266" s="7" t="inlineStr">
        <is>
          <t>site_cedar</t>
        </is>
      </c>
      <c r="C266" s="7" t="inlineStr">
        <is>
          <t>Levelized cost with credits</t>
        </is>
      </c>
      <c r="D266" s="42" t="n">
        <v>53.28</v>
      </c>
      <c r="E266" s="42">
        <f>Screening!$C$27</f>
        <v/>
      </c>
      <c r="F266" s="42" t="n">
        <v>0.005000501</v>
      </c>
      <c r="G266" s="14">
        <f>IF(ISNUMBER(E266),IF(ABS(E266-D266)&lt;=F266,"OK","ERROR"),"ERROR")</f>
        <v/>
      </c>
      <c r="H266" s="5" t="inlineStr">
        <is>
          <t>$53.28</t>
        </is>
      </c>
    </row>
    <row r="267">
      <c r="B267" s="7" t="inlineStr">
        <is>
          <t>site_bram</t>
        </is>
      </c>
      <c r="C267" s="7" t="inlineStr">
        <is>
          <t>Capital cost</t>
        </is>
      </c>
      <c r="D267" s="25" t="n">
        <v>248200000</v>
      </c>
      <c r="E267" s="25">
        <f>Screening!$D$20</f>
        <v/>
      </c>
      <c r="F267" s="25" t="n">
        <v>50005.000000001</v>
      </c>
      <c r="G267" s="14">
        <f>IF(ISNUMBER(E267),IF(ABS(E267-D267)&lt;=F267,"OK","ERROR"),"ERROR")</f>
        <v/>
      </c>
      <c r="H267" s="5" t="inlineStr">
        <is>
          <t>$248.2 million</t>
        </is>
      </c>
    </row>
    <row r="268">
      <c r="B268" s="7" t="inlineStr">
        <is>
          <t>site_bram</t>
        </is>
      </c>
      <c r="C268" s="7" t="inlineStr">
        <is>
          <t>P50 energy</t>
        </is>
      </c>
      <c r="D268" s="32" t="n">
        <v>352152</v>
      </c>
      <c r="E268" s="32">
        <f>Screening!$D$21</f>
        <v/>
      </c>
      <c r="F268" s="32" t="n">
        <v>0.500050001</v>
      </c>
      <c r="G268" s="14">
        <f>IF(ISNUMBER(E268),IF(ABS(E268-D268)&lt;=F268,"OK","ERROR"),"ERROR")</f>
        <v/>
      </c>
      <c r="H268" s="5" t="inlineStr">
        <is>
          <t>352,152</t>
        </is>
      </c>
    </row>
    <row r="269">
      <c r="B269" s="7" t="inlineStr">
        <is>
          <t>site_bram</t>
        </is>
      </c>
      <c r="C269" s="7" t="inlineStr">
        <is>
          <t>Levelized cost without credits</t>
        </is>
      </c>
      <c r="D269" s="42" t="n">
        <v>75.51000000000001</v>
      </c>
      <c r="E269" s="42">
        <f>Screening!$D$26</f>
        <v/>
      </c>
      <c r="F269" s="42" t="n">
        <v>0.005000501</v>
      </c>
      <c r="G269" s="14">
        <f>IF(ISNUMBER(E269),IF(ABS(E269-D269)&lt;=F269,"OK","ERROR"),"ERROR")</f>
        <v/>
      </c>
      <c r="H269" s="5" t="inlineStr">
        <is>
          <t>$75.51</t>
        </is>
      </c>
    </row>
    <row r="270">
      <c r="B270" s="7" t="inlineStr">
        <is>
          <t>site_bram</t>
        </is>
      </c>
      <c r="C270" s="7" t="inlineStr">
        <is>
          <t>Levelized cost with credits</t>
        </is>
      </c>
      <c r="D270" s="42" t="n">
        <v>55.26</v>
      </c>
      <c r="E270" s="42">
        <f>Screening!$D$27</f>
        <v/>
      </c>
      <c r="F270" s="42" t="n">
        <v>0.005000501</v>
      </c>
      <c r="G270" s="14">
        <f>IF(ISNUMBER(E270),IF(ABS(E270-D270)&lt;=F270,"OK","ERROR"),"ERROR")</f>
        <v/>
      </c>
      <c r="H270" s="5" t="inlineStr">
        <is>
          <t>$55.26</t>
        </is>
      </c>
    </row>
    <row r="271">
      <c r="B271" s="7" t="inlineStr">
        <is>
          <t>site_oxley</t>
        </is>
      </c>
      <c r="C271" s="7" t="inlineStr">
        <is>
          <t>Capital cost</t>
        </is>
      </c>
      <c r="D271" s="25" t="n">
        <v>209900000</v>
      </c>
      <c r="E271" s="25">
        <f>Screening!$E$20</f>
        <v/>
      </c>
      <c r="F271" s="25" t="n">
        <v>50005.000000001</v>
      </c>
      <c r="G271" s="14">
        <f>IF(ISNUMBER(E271),IF(ABS(E271-D271)&lt;=F271,"OK","ERROR"),"ERROR")</f>
        <v/>
      </c>
      <c r="H271" s="5" t="inlineStr">
        <is>
          <t>$209.9 million</t>
        </is>
      </c>
    </row>
    <row r="272">
      <c r="B272" s="7" t="inlineStr">
        <is>
          <t>site_oxley</t>
        </is>
      </c>
      <c r="C272" s="7" t="inlineStr">
        <is>
          <t>P50 energy</t>
        </is>
      </c>
      <c r="D272" s="32" t="n">
        <v>325872</v>
      </c>
      <c r="E272" s="32">
        <f>Screening!$E$21</f>
        <v/>
      </c>
      <c r="F272" s="32" t="n">
        <v>0.500050001</v>
      </c>
      <c r="G272" s="14">
        <f>IF(ISNUMBER(E272),IF(ABS(E272-D272)&lt;=F272,"OK","ERROR"),"ERROR")</f>
        <v/>
      </c>
      <c r="H272" s="5" t="inlineStr">
        <is>
          <t>325,872</t>
        </is>
      </c>
    </row>
    <row r="273">
      <c r="B273" s="7" t="inlineStr">
        <is>
          <t>site_oxley</t>
        </is>
      </c>
      <c r="C273" s="7" t="inlineStr">
        <is>
          <t>Levelized cost without credits</t>
        </is>
      </c>
      <c r="D273" s="42" t="n">
        <v>73.54000000000001</v>
      </c>
      <c r="E273" s="42">
        <f>Screening!$E$26</f>
        <v/>
      </c>
      <c r="F273" s="42" t="n">
        <v>0.005000501</v>
      </c>
      <c r="G273" s="14">
        <f>IF(ISNUMBER(E273),IF(ABS(E273-D273)&lt;=F273,"OK","ERROR"),"ERROR")</f>
        <v/>
      </c>
      <c r="H273" s="5" t="inlineStr">
        <is>
          <t>$73.54</t>
        </is>
      </c>
    </row>
    <row r="274">
      <c r="B274" s="7" t="inlineStr">
        <is>
          <t>site_oxley</t>
        </is>
      </c>
      <c r="C274" s="7" t="inlineStr">
        <is>
          <t>Levelized cost with credits</t>
        </is>
      </c>
      <c r="D274" s="42" t="n">
        <v>55.13</v>
      </c>
      <c r="E274" s="42">
        <f>Screening!$E$27</f>
        <v/>
      </c>
      <c r="F274" s="42" t="n">
        <v>0.005000501</v>
      </c>
      <c r="G274" s="14">
        <f>IF(ISNUMBER(E274),IF(ABS(E274-D274)&lt;=F274,"OK","ERROR"),"ERROR")</f>
        <v/>
      </c>
      <c r="H274" s="5" t="inlineStr">
        <is>
          <t>$55.13</t>
        </is>
      </c>
    </row>
    <row r="275">
      <c r="B275" s="7" t="inlineStr">
        <is>
          <t>lcoe_case</t>
        </is>
      </c>
      <c r="C275" s="7" t="inlineStr">
        <is>
          <t>Wind without credits</t>
        </is>
      </c>
      <c r="D275" s="42" t="n">
        <v>74.79000000000001</v>
      </c>
      <c r="E275" s="42">
        <f>Screening!$C$29</f>
        <v/>
      </c>
      <c r="F275" s="42" t="n">
        <v>0.005000501</v>
      </c>
      <c r="G275" s="14">
        <f>IF(ISNUMBER(E275),IF(ABS(E275-D275)&lt;=F275,"OK","ERROR"),"ERROR")</f>
        <v/>
      </c>
      <c r="H275" s="5" t="inlineStr">
        <is>
          <t>$74.79</t>
        </is>
      </c>
    </row>
    <row r="276">
      <c r="B276" s="7" t="inlineStr">
        <is>
          <t>lcoe_case</t>
        </is>
      </c>
      <c r="C276" s="7" t="inlineStr">
        <is>
          <t>Wind with the PTC</t>
        </is>
      </c>
      <c r="D276" s="42" t="n">
        <v>56.06</v>
      </c>
      <c r="E276" s="42">
        <f>Screening!$C$30</f>
        <v/>
      </c>
      <c r="F276" s="42" t="n">
        <v>0.005000501</v>
      </c>
      <c r="G276" s="14">
        <f>IF(ISNUMBER(E276),IF(ABS(E276-D276)&lt;=F276,"OK","ERROR"),"ERROR")</f>
        <v/>
      </c>
      <c r="H276" s="5" t="inlineStr">
        <is>
          <t>$56.06</t>
        </is>
      </c>
    </row>
    <row r="277">
      <c r="B277" s="7" t="inlineStr">
        <is>
          <t>ic_deposits</t>
        </is>
      </c>
      <c r="C277" s="7" t="inlineStr">
        <is>
          <t>Restudy deposit</t>
        </is>
      </c>
      <c r="D277" s="25" t="n">
        <v>900000</v>
      </c>
      <c r="E277" s="25">
        <f>Interconnection!$C$7</f>
        <v/>
      </c>
      <c r="F277" s="25" t="n">
        <v>5000.500000001</v>
      </c>
      <c r="G277" s="14">
        <f>IF(ISNUMBER(E277),IF(ABS(E277-D277)&lt;=F277,"OK","ERROR"),"ERROR")</f>
        <v/>
      </c>
      <c r="H277" s="5" t="inlineStr">
        <is>
          <t>$0.90 million</t>
        </is>
      </c>
    </row>
    <row r="278">
      <c r="B278" s="7" t="inlineStr">
        <is>
          <t>ic_deposits</t>
        </is>
      </c>
      <c r="C278" s="7" t="inlineStr">
        <is>
          <t>Facilities study deposit</t>
        </is>
      </c>
      <c r="D278" s="25" t="n">
        <v>1800000</v>
      </c>
      <c r="E278" s="25">
        <f>Interconnection!$C$8</f>
        <v/>
      </c>
      <c r="F278" s="25" t="n">
        <v>5000.500000001</v>
      </c>
      <c r="G278" s="14">
        <f>IF(ISNUMBER(E278),IF(ABS(E278-D278)&lt;=F278,"OK","ERROR"),"ERROR")</f>
        <v/>
      </c>
      <c r="H278" s="5" t="inlineStr">
        <is>
          <t>$1.80 million</t>
        </is>
      </c>
    </row>
    <row r="279">
      <c r="B279" s="7" t="inlineStr">
        <is>
          <t>ic_deposits</t>
        </is>
      </c>
      <c r="C279" s="7" t="inlineStr">
        <is>
          <t>LGIA security</t>
        </is>
      </c>
      <c r="D279" s="25" t="n">
        <v>3600000</v>
      </c>
      <c r="E279" s="25">
        <f>Interconnection!$C$9</f>
        <v/>
      </c>
      <c r="F279" s="25" t="n">
        <v>5000.500000001</v>
      </c>
      <c r="G279" s="14">
        <f>IF(ISNUMBER(E279),IF(ABS(E279-D279)&lt;=F279,"OK","ERROR"),"ERROR")</f>
        <v/>
      </c>
      <c r="H279" s="5" t="inlineStr">
        <is>
          <t>$3.60 million</t>
        </is>
      </c>
    </row>
    <row r="280">
      <c r="B280" s="7" t="inlineStr">
        <is>
          <t>ic_deposits</t>
        </is>
      </c>
      <c r="C280" s="7" t="inlineStr">
        <is>
          <t>Study deposit</t>
        </is>
      </c>
      <c r="D280" s="42" t="n">
        <v>150000</v>
      </c>
      <c r="E280" s="42">
        <f>Interconnection!$C$5</f>
        <v/>
      </c>
      <c r="F280" s="42" t="n">
        <v>0.500050001</v>
      </c>
      <c r="G280" s="14">
        <f>IF(ISNUMBER(E280),IF(ABS(E280-D280)&lt;=F280,"OK","ERROR"),"ERROR")</f>
        <v/>
      </c>
      <c r="H280" s="5" t="inlineStr">
        <is>
          <t>$150,000</t>
        </is>
      </c>
    </row>
    <row r="281">
      <c r="B281" s="7" t="inlineStr">
        <is>
          <t>ic_deposits</t>
        </is>
      </c>
      <c r="C281" s="7" t="inlineStr">
        <is>
          <t>Initial readiness deposit</t>
        </is>
      </c>
      <c r="D281" s="42" t="n">
        <v>300000</v>
      </c>
      <c r="E281" s="42">
        <f>Interconnection!$C$6</f>
        <v/>
      </c>
      <c r="F281" s="42" t="n">
        <v>0.500050001</v>
      </c>
      <c r="G281" s="14">
        <f>IF(ISNUMBER(E281),IF(ABS(E281-D281)&lt;=F281,"OK","ERROR"),"ERROR")</f>
        <v/>
      </c>
      <c r="H281" s="5" t="inlineStr">
        <is>
          <t>$300,000</t>
        </is>
      </c>
    </row>
    <row r="282">
      <c r="B282" s="7" t="inlineStr">
        <is>
          <t>withdrawal</t>
        </is>
      </c>
      <c r="C282" s="7" t="inlineStr">
        <is>
          <t>Deposit at risk</t>
        </is>
      </c>
      <c r="D282" s="25" t="n">
        <v>1800000</v>
      </c>
      <c r="E282" s="25">
        <f>Interconnection!$C$8</f>
        <v/>
      </c>
      <c r="F282" s="25" t="n">
        <v>5000.500000001</v>
      </c>
      <c r="G282" s="14">
        <f>IF(ISNUMBER(E282),IF(ABS(E282-D282)&lt;=F282,"OK","ERROR"),"ERROR")</f>
        <v/>
      </c>
      <c r="H282" s="5" t="inlineStr">
        <is>
          <t>$1.80 million</t>
        </is>
      </c>
    </row>
    <row r="283">
      <c r="B283" s="7" t="inlineStr">
        <is>
          <t>stage_2022</t>
        </is>
      </c>
      <c r="C283" s="7" t="inlineStr">
        <is>
          <t>Stage value</t>
        </is>
      </c>
      <c r="D283" s="25" t="n">
        <v>20000</v>
      </c>
      <c r="E283" s="25">
        <f>Stages!$G$14</f>
        <v/>
      </c>
      <c r="F283" s="25" t="n">
        <v>5000.500000001</v>
      </c>
      <c r="G283" s="14">
        <f>IF(ISNUMBER(E283),IF(ABS(E283-D283)&lt;=F283,"OK","ERROR"),"ERROR")</f>
        <v/>
      </c>
      <c r="H283" s="5" t="inlineStr">
        <is>
          <t>$0.02 million</t>
        </is>
      </c>
    </row>
    <row r="284">
      <c r="B284" s="7" t="inlineStr">
        <is>
          <t>stage_2022</t>
        </is>
      </c>
      <c r="C284" s="7" t="inlineStr">
        <is>
          <t>Per kWac</t>
        </is>
      </c>
      <c r="D284" s="42" t="n">
        <v>0.1</v>
      </c>
      <c r="E284" s="42">
        <f>Stages!$H$14</f>
        <v/>
      </c>
      <c r="F284" s="42" t="n">
        <v>0.005000501</v>
      </c>
      <c r="G284" s="14">
        <f>IF(ISNUMBER(E284),IF(ABS(E284-D284)&lt;=F284,"OK","ERROR"),"ERROR")</f>
        <v/>
      </c>
      <c r="H284" s="5" t="inlineStr">
        <is>
          <t>$0.10</t>
        </is>
      </c>
    </row>
    <row r="285">
      <c r="B285" s="7" t="inlineStr">
        <is>
          <t>stage_2022</t>
        </is>
      </c>
      <c r="C285" s="7" t="inlineStr">
        <is>
          <t>Outlays to come</t>
        </is>
      </c>
      <c r="D285" s="25" t="n">
        <v>17100000</v>
      </c>
      <c r="E285" s="25">
        <f>Stages!$E$14</f>
        <v/>
      </c>
      <c r="F285" s="25" t="n">
        <v>50005.000000001</v>
      </c>
      <c r="G285" s="14">
        <f>IF(ISNUMBER(E285),IF(ABS(E285-D285)&lt;=F285,"OK","ERROR"),"ERROR")</f>
        <v/>
      </c>
      <c r="H285" s="5" t="inlineStr">
        <is>
          <t>$17.1 million</t>
        </is>
      </c>
    </row>
    <row r="286">
      <c r="B286" s="7" t="inlineStr">
        <is>
          <t>stage_2022</t>
        </is>
      </c>
      <c r="C286" s="7" t="inlineStr">
        <is>
          <t>Expected outlays</t>
        </is>
      </c>
      <c r="D286" s="25" t="n">
        <v>5200000</v>
      </c>
      <c r="E286" s="25">
        <f>Stages!$F$14</f>
        <v/>
      </c>
      <c r="F286" s="25" t="n">
        <v>50005.000000001</v>
      </c>
      <c r="G286" s="14">
        <f>IF(ISNUMBER(E286),IF(ABS(E286-D286)&lt;=F286,"OK","ERROR"),"ERROR")</f>
        <v/>
      </c>
      <c r="H286" s="5" t="inlineStr">
        <is>
          <t>$5.2 million</t>
        </is>
      </c>
    </row>
    <row r="287">
      <c r="B287" s="7" t="inlineStr">
        <is>
          <t>stage_2023</t>
        </is>
      </c>
      <c r="C287" s="7" t="inlineStr">
        <is>
          <t>Stage value</t>
        </is>
      </c>
      <c r="D287" s="25" t="n">
        <v>540000</v>
      </c>
      <c r="E287" s="25">
        <f>Stages!$G$15</f>
        <v/>
      </c>
      <c r="F287" s="25" t="n">
        <v>5000.500000001</v>
      </c>
      <c r="G287" s="14">
        <f>IF(ISNUMBER(E287),IF(ABS(E287-D287)&lt;=F287,"OK","ERROR"),"ERROR")</f>
        <v/>
      </c>
      <c r="H287" s="5" t="inlineStr">
        <is>
          <t>$0.54 million</t>
        </is>
      </c>
    </row>
    <row r="288">
      <c r="B288" s="7" t="inlineStr">
        <is>
          <t>stage_2023</t>
        </is>
      </c>
      <c r="C288" s="7" t="inlineStr">
        <is>
          <t>Per kWac</t>
        </is>
      </c>
      <c r="D288" s="42" t="n">
        <v>3.63</v>
      </c>
      <c r="E288" s="42">
        <f>Stages!$H$15</f>
        <v/>
      </c>
      <c r="F288" s="42" t="n">
        <v>0.005000501</v>
      </c>
      <c r="G288" s="14">
        <f>IF(ISNUMBER(E288),IF(ABS(E288-D288)&lt;=F288,"OK","ERROR"),"ERROR")</f>
        <v/>
      </c>
      <c r="H288" s="5" t="inlineStr">
        <is>
          <t>$3.63</t>
        </is>
      </c>
    </row>
    <row r="289">
      <c r="B289" s="7" t="inlineStr">
        <is>
          <t>stage_2023</t>
        </is>
      </c>
      <c r="C289" s="7" t="inlineStr">
        <is>
          <t>Outlays to come</t>
        </is>
      </c>
      <c r="D289" s="25" t="n">
        <v>16800000</v>
      </c>
      <c r="E289" s="25">
        <f>Stages!$E$15</f>
        <v/>
      </c>
      <c r="F289" s="25" t="n">
        <v>50005.000000001</v>
      </c>
      <c r="G289" s="14">
        <f>IF(ISNUMBER(E289),IF(ABS(E289-D289)&lt;=F289,"OK","ERROR"),"ERROR")</f>
        <v/>
      </c>
      <c r="H289" s="5" t="inlineStr">
        <is>
          <t>$16.8 million</t>
        </is>
      </c>
    </row>
    <row r="290">
      <c r="B290" s="7" t="inlineStr">
        <is>
          <t>stage_2023</t>
        </is>
      </c>
      <c r="C290" s="7" t="inlineStr">
        <is>
          <t>Expected outlays</t>
        </is>
      </c>
      <c r="D290" s="25" t="n">
        <v>7400000</v>
      </c>
      <c r="E290" s="25">
        <f>Stages!$F$15</f>
        <v/>
      </c>
      <c r="F290" s="25" t="n">
        <v>50005.000000001</v>
      </c>
      <c r="G290" s="14">
        <f>IF(ISNUMBER(E290),IF(ABS(E290-D290)&lt;=F290,"OK","ERROR"),"ERROR")</f>
        <v/>
      </c>
      <c r="H290" s="5" t="inlineStr">
        <is>
          <t>$7.4 million</t>
        </is>
      </c>
    </row>
    <row r="291">
      <c r="B291" s="7" t="inlineStr">
        <is>
          <t>stage_2024</t>
        </is>
      </c>
      <c r="C291" s="7" t="inlineStr">
        <is>
          <t>Stage value</t>
        </is>
      </c>
      <c r="D291" s="25" t="n">
        <v>2490000</v>
      </c>
      <c r="E291" s="25">
        <f>Stages!$G$16</f>
        <v/>
      </c>
      <c r="F291" s="25" t="n">
        <v>5000.500000001</v>
      </c>
      <c r="G291" s="14">
        <f>IF(ISNUMBER(E291),IF(ABS(E291-D291)&lt;=F291,"OK","ERROR"),"ERROR")</f>
        <v/>
      </c>
      <c r="H291" s="5" t="inlineStr">
        <is>
          <t>$2.49 million</t>
        </is>
      </c>
    </row>
    <row r="292">
      <c r="B292" s="7" t="inlineStr">
        <is>
          <t>stage_2024</t>
        </is>
      </c>
      <c r="C292" s="7" t="inlineStr">
        <is>
          <t>Per kWac</t>
        </is>
      </c>
      <c r="D292" s="42" t="n">
        <v>16.61</v>
      </c>
      <c r="E292" s="42">
        <f>Stages!$H$16</f>
        <v/>
      </c>
      <c r="F292" s="42" t="n">
        <v>0.005000501</v>
      </c>
      <c r="G292" s="14">
        <f>IF(ISNUMBER(E292),IF(ABS(E292-D292)&lt;=F292,"OK","ERROR"),"ERROR")</f>
        <v/>
      </c>
      <c r="H292" s="5" t="inlineStr">
        <is>
          <t>$16.61</t>
        </is>
      </c>
    </row>
    <row r="293">
      <c r="B293" s="7" t="inlineStr">
        <is>
          <t>stage_2024</t>
        </is>
      </c>
      <c r="C293" s="7" t="inlineStr">
        <is>
          <t>Outlays to come</t>
        </is>
      </c>
      <c r="D293" s="25" t="n">
        <v>15900000</v>
      </c>
      <c r="E293" s="25">
        <f>Stages!$E$16</f>
        <v/>
      </c>
      <c r="F293" s="25" t="n">
        <v>50005.000000001</v>
      </c>
      <c r="G293" s="14">
        <f>IF(ISNUMBER(E293),IF(ABS(E293-D293)&lt;=F293,"OK","ERROR"),"ERROR")</f>
        <v/>
      </c>
      <c r="H293" s="5" t="inlineStr">
        <is>
          <t>$15.9 million</t>
        </is>
      </c>
    </row>
    <row r="294">
      <c r="B294" s="7" t="inlineStr">
        <is>
          <t>stage_2024</t>
        </is>
      </c>
      <c r="C294" s="7" t="inlineStr">
        <is>
          <t>Expected outlays</t>
        </is>
      </c>
      <c r="D294" s="25" t="n">
        <v>9700000</v>
      </c>
      <c r="E294" s="25">
        <f>Stages!$F$16</f>
        <v/>
      </c>
      <c r="F294" s="25" t="n">
        <v>50005.000000001</v>
      </c>
      <c r="G294" s="14">
        <f>IF(ISNUMBER(E294),IF(ABS(E294-D294)&lt;=F294,"OK","ERROR"),"ERROR")</f>
        <v/>
      </c>
      <c r="H294" s="5" t="inlineStr">
        <is>
          <t>$9.7 million</t>
        </is>
      </c>
    </row>
    <row r="295">
      <c r="B295" s="7" t="inlineStr">
        <is>
          <t>stage_2025</t>
        </is>
      </c>
      <c r="C295" s="7" t="inlineStr">
        <is>
          <t>Stage value</t>
        </is>
      </c>
      <c r="D295" s="25" t="n">
        <v>7130000</v>
      </c>
      <c r="E295" s="25">
        <f>Stages!$G$17</f>
        <v/>
      </c>
      <c r="F295" s="25" t="n">
        <v>5000.500000001</v>
      </c>
      <c r="G295" s="14">
        <f>IF(ISNUMBER(E295),IF(ABS(E295-D295)&lt;=F295,"OK","ERROR"),"ERROR")</f>
        <v/>
      </c>
      <c r="H295" s="5" t="inlineStr">
        <is>
          <t>$7.13 million</t>
        </is>
      </c>
    </row>
    <row r="296">
      <c r="B296" s="7" t="inlineStr">
        <is>
          <t>stage_2025</t>
        </is>
      </c>
      <c r="C296" s="7" t="inlineStr">
        <is>
          <t>Per kWac</t>
        </is>
      </c>
      <c r="D296" s="42" t="n">
        <v>47.52</v>
      </c>
      <c r="E296" s="42">
        <f>Stages!$H$17</f>
        <v/>
      </c>
      <c r="F296" s="42" t="n">
        <v>0.005000501</v>
      </c>
      <c r="G296" s="14">
        <f>IF(ISNUMBER(E296),IF(ABS(E296-D296)&lt;=F296,"OK","ERROR"),"ERROR")</f>
        <v/>
      </c>
      <c r="H296" s="5" t="inlineStr">
        <is>
          <t>$47.52</t>
        </is>
      </c>
    </row>
    <row r="297">
      <c r="B297" s="7" t="inlineStr">
        <is>
          <t>stage_2025</t>
        </is>
      </c>
      <c r="C297" s="7" t="inlineStr">
        <is>
          <t>Outlays to come</t>
        </is>
      </c>
      <c r="D297" s="25" t="n">
        <v>14100000</v>
      </c>
      <c r="E297" s="25">
        <f>Stages!$E$17</f>
        <v/>
      </c>
      <c r="F297" s="25" t="n">
        <v>50005.000000001</v>
      </c>
      <c r="G297" s="14">
        <f>IF(ISNUMBER(E297),IF(ABS(E297-D297)&lt;=F297,"OK","ERROR"),"ERROR")</f>
        <v/>
      </c>
      <c r="H297" s="5" t="inlineStr">
        <is>
          <t>$14.1 million</t>
        </is>
      </c>
    </row>
    <row r="298">
      <c r="B298" s="7" t="inlineStr">
        <is>
          <t>stage_2025</t>
        </is>
      </c>
      <c r="C298" s="7" t="inlineStr">
        <is>
          <t>Expected outlays</t>
        </is>
      </c>
      <c r="D298" s="25" t="n">
        <v>11500000</v>
      </c>
      <c r="E298" s="25">
        <f>Stages!$F$17</f>
        <v/>
      </c>
      <c r="F298" s="25" t="n">
        <v>50005.000000001</v>
      </c>
      <c r="G298" s="14">
        <f>IF(ISNUMBER(E298),IF(ABS(E298-D298)&lt;=F298,"OK","ERROR"),"ERROR")</f>
        <v/>
      </c>
      <c r="H298" s="5" t="inlineStr">
        <is>
          <t>$11.5 million</t>
        </is>
      </c>
    </row>
    <row r="299">
      <c r="B299" s="7" t="inlineStr">
        <is>
          <t>stage_2026</t>
        </is>
      </c>
      <c r="C299" s="7" t="inlineStr">
        <is>
          <t>Stage value</t>
        </is>
      </c>
      <c r="D299" s="25" t="n">
        <v>13770000</v>
      </c>
      <c r="E299" s="25">
        <f>Stages!$G$18</f>
        <v/>
      </c>
      <c r="F299" s="25" t="n">
        <v>5000.500000001</v>
      </c>
      <c r="G299" s="14">
        <f>IF(ISNUMBER(E299),IF(ABS(E299-D299)&lt;=F299,"OK","ERROR"),"ERROR")</f>
        <v/>
      </c>
      <c r="H299" s="5" t="inlineStr">
        <is>
          <t>$13.77 million</t>
        </is>
      </c>
    </row>
    <row r="300">
      <c r="B300" s="7" t="inlineStr">
        <is>
          <t>stage_2026</t>
        </is>
      </c>
      <c r="C300" s="7" t="inlineStr">
        <is>
          <t>Per kWac</t>
        </is>
      </c>
      <c r="D300" s="42" t="n">
        <v>91.79000000000001</v>
      </c>
      <c r="E300" s="42">
        <f>Stages!$H$18</f>
        <v/>
      </c>
      <c r="F300" s="42" t="n">
        <v>0.005000501</v>
      </c>
      <c r="G300" s="14">
        <f>IF(ISNUMBER(E300),IF(ABS(E300-D300)&lt;=F300,"OK","ERROR"),"ERROR")</f>
        <v/>
      </c>
      <c r="H300" s="5" t="inlineStr">
        <is>
          <t>$91.79</t>
        </is>
      </c>
    </row>
    <row r="301">
      <c r="B301" s="7" t="inlineStr">
        <is>
          <t>stage_2026</t>
        </is>
      </c>
      <c r="C301" s="7" t="inlineStr">
        <is>
          <t>Outlays to come</t>
        </is>
      </c>
      <c r="D301" s="25" t="n">
        <v>11500000</v>
      </c>
      <c r="E301" s="25">
        <f>Stages!$E$18</f>
        <v/>
      </c>
      <c r="F301" s="25" t="n">
        <v>50005.000000001</v>
      </c>
      <c r="G301" s="14">
        <f>IF(ISNUMBER(E301),IF(ABS(E301-D301)&lt;=F301,"OK","ERROR"),"ERROR")</f>
        <v/>
      </c>
      <c r="H301" s="5" t="inlineStr">
        <is>
          <t>$11.5 million</t>
        </is>
      </c>
    </row>
    <row r="302">
      <c r="B302" s="7" t="inlineStr">
        <is>
          <t>stage_2026</t>
        </is>
      </c>
      <c r="C302" s="7" t="inlineStr">
        <is>
          <t>Expected outlays</t>
        </is>
      </c>
      <c r="D302" s="25" t="n">
        <v>10900000</v>
      </c>
      <c r="E302" s="25">
        <f>Stages!$F$18</f>
        <v/>
      </c>
      <c r="F302" s="25" t="n">
        <v>50005.000000001</v>
      </c>
      <c r="G302" s="14">
        <f>IF(ISNUMBER(E302),IF(ABS(E302-D302)&lt;=F302,"OK","ERROR"),"ERROR")</f>
        <v/>
      </c>
      <c r="H302" s="5" t="inlineStr">
        <is>
          <t>$10.9 million</t>
        </is>
      </c>
    </row>
    <row r="303">
      <c r="B303" s="7" t="inlineStr">
        <is>
          <t>stage_2026b</t>
        </is>
      </c>
      <c r="C303" s="7" t="inlineStr">
        <is>
          <t>Stage value</t>
        </is>
      </c>
      <c r="D303" s="25" t="n">
        <v>25610000</v>
      </c>
      <c r="E303" s="25">
        <f>Stages!$G$19</f>
        <v/>
      </c>
      <c r="F303" s="25" t="n">
        <v>5000.500000001</v>
      </c>
      <c r="G303" s="14">
        <f>IF(ISNUMBER(E303),IF(ABS(E303-D303)&lt;=F303,"OK","ERROR"),"ERROR")</f>
        <v/>
      </c>
      <c r="H303" s="5" t="inlineStr">
        <is>
          <t>$25.61 million</t>
        </is>
      </c>
    </row>
    <row r="304">
      <c r="B304" s="7" t="inlineStr">
        <is>
          <t>stage_2026b</t>
        </is>
      </c>
      <c r="C304" s="7" t="inlineStr">
        <is>
          <t>Per kWac</t>
        </is>
      </c>
      <c r="D304" s="42" t="n">
        <v>170.75</v>
      </c>
      <c r="E304" s="42">
        <f>Stages!$H$19</f>
        <v/>
      </c>
      <c r="F304" s="42" t="n">
        <v>0.005000501</v>
      </c>
      <c r="G304" s="14">
        <f>IF(ISNUMBER(E304),IF(ABS(E304-D304)&lt;=F304,"OK","ERROR"),"ERROR")</f>
        <v/>
      </c>
      <c r="H304" s="5" t="inlineStr">
        <is>
          <t>$170.75</t>
        </is>
      </c>
    </row>
    <row r="305">
      <c r="B305" s="7" t="inlineStr">
        <is>
          <t>stage_2026b</t>
        </is>
      </c>
      <c r="C305" s="7" t="inlineStr">
        <is>
          <t>Outlays to come</t>
        </is>
      </c>
      <c r="D305" s="25" t="n">
        <v>4500000</v>
      </c>
      <c r="E305" s="25">
        <f>Stages!$E$19</f>
        <v/>
      </c>
      <c r="F305" s="25" t="n">
        <v>50005.000000001</v>
      </c>
      <c r="G305" s="14">
        <f>IF(ISNUMBER(E305),IF(ABS(E305-D305)&lt;=F305,"OK","ERROR"),"ERROR")</f>
        <v/>
      </c>
      <c r="H305" s="5" t="inlineStr">
        <is>
          <t>$4.5 million</t>
        </is>
      </c>
    </row>
    <row r="306">
      <c r="B306" s="7" t="inlineStr">
        <is>
          <t>stage_2026b</t>
        </is>
      </c>
      <c r="C306" s="7" t="inlineStr">
        <is>
          <t>Expected outlays</t>
        </is>
      </c>
      <c r="D306" s="25" t="n">
        <v>4500000</v>
      </c>
      <c r="E306" s="25">
        <f>Stages!$F$19</f>
        <v/>
      </c>
      <c r="F306" s="25" t="n">
        <v>50005.000000001</v>
      </c>
      <c r="G306" s="14">
        <f>IF(ISNUMBER(E306),IF(ABS(E306-D306)&lt;=F306,"OK","ERROR"),"ERROR")</f>
        <v/>
      </c>
      <c r="H306" s="5" t="inlineStr">
        <is>
          <t>$4.5 million</t>
        </is>
      </c>
    </row>
    <row r="307">
      <c r="B307" s="7" t="inlineStr">
        <is>
          <t>stage_2027</t>
        </is>
      </c>
      <c r="C307" s="7" t="inlineStr">
        <is>
          <t>Stage value</t>
        </is>
      </c>
      <c r="D307" s="25" t="n">
        <v>35100000</v>
      </c>
      <c r="E307" s="25">
        <f>Stages!$G$20</f>
        <v/>
      </c>
      <c r="F307" s="25" t="n">
        <v>5000.500000001</v>
      </c>
      <c r="G307" s="14">
        <f>IF(ISNUMBER(E307),IF(ABS(E307-D307)&lt;=F307,"OK","ERROR"),"ERROR")</f>
        <v/>
      </c>
      <c r="H307" s="5" t="inlineStr">
        <is>
          <t>$35.10 million</t>
        </is>
      </c>
    </row>
    <row r="308">
      <c r="B308" s="7" t="inlineStr">
        <is>
          <t>stage_2027</t>
        </is>
      </c>
      <c r="C308" s="7" t="inlineStr">
        <is>
          <t>Per kWac</t>
        </is>
      </c>
      <c r="D308" s="42" t="n">
        <v>234</v>
      </c>
      <c r="E308" s="42">
        <f>Stages!$H$20</f>
        <v/>
      </c>
      <c r="F308" s="42" t="n">
        <v>0.005000501</v>
      </c>
      <c r="G308" s="14">
        <f>IF(ISNUMBER(E308),IF(ABS(E308-D308)&lt;=F308,"OK","ERROR"),"ERROR")</f>
        <v/>
      </c>
      <c r="H308" s="5" t="inlineStr">
        <is>
          <t>$234.00</t>
        </is>
      </c>
    </row>
    <row r="309">
      <c r="B309" s="7" t="inlineStr">
        <is>
          <t>stage_2027</t>
        </is>
      </c>
      <c r="C309" s="7" t="inlineStr">
        <is>
          <t>Outlays to come</t>
        </is>
      </c>
      <c r="D309" s="25" t="n">
        <v>0</v>
      </c>
      <c r="E309" s="25">
        <f>Stages!$E$20</f>
        <v/>
      </c>
      <c r="F309" s="25" t="n">
        <v>50005.000000001</v>
      </c>
      <c r="G309" s="14">
        <f>IF(ISNUMBER(E309),IF(ABS(E309-D309)&lt;=F309,"OK","ERROR"),"ERROR")</f>
        <v/>
      </c>
      <c r="H309" s="5" t="inlineStr">
        <is>
          <t>$0.0 million</t>
        </is>
      </c>
    </row>
    <row r="310">
      <c r="B310" s="7" t="inlineStr">
        <is>
          <t>stage_2027</t>
        </is>
      </c>
      <c r="C310" s="7" t="inlineStr">
        <is>
          <t>Expected outlays</t>
        </is>
      </c>
      <c r="D310" s="25" t="n">
        <v>0</v>
      </c>
      <c r="E310" s="25">
        <f>Stages!$F$20</f>
        <v/>
      </c>
      <c r="F310" s="25" t="n">
        <v>50005.000000001</v>
      </c>
      <c r="G310" s="14">
        <f>IF(ISNUMBER(E310),IF(ABS(E310-D310)&lt;=F310,"OK","ERROR"),"ERROR")</f>
        <v/>
      </c>
      <c r="H310" s="5" t="inlineStr">
        <is>
          <t>$0.0 million</t>
        </is>
      </c>
    </row>
    <row r="311">
      <c r="B311" s="7" t="inlineStr">
        <is>
          <t>stage_jumps</t>
        </is>
      </c>
      <c r="C311" s="7" t="inlineStr">
        <is>
          <t>PPA and start of construction</t>
        </is>
      </c>
      <c r="D311" s="25" t="n">
        <v>11800000</v>
      </c>
      <c r="E311" s="25">
        <f>Stages!$I$19</f>
        <v/>
      </c>
      <c r="F311" s="25" t="n">
        <v>50005.000000001</v>
      </c>
      <c r="G311" s="14">
        <f>IF(ISNUMBER(E311),IF(ABS(E311-D311)&lt;=F311,"OK","ERROR"),"ERROR")</f>
        <v/>
      </c>
      <c r="H311" s="5" t="inlineStr">
        <is>
          <t>$11.8 million</t>
        </is>
      </c>
    </row>
    <row r="312">
      <c r="B312" s="7" t="inlineStr">
        <is>
          <t>stage_jumps</t>
        </is>
      </c>
      <c r="C312" s="7" t="inlineStr">
        <is>
          <t>Permit</t>
        </is>
      </c>
      <c r="D312" s="25" t="n">
        <v>4600000</v>
      </c>
      <c r="E312" s="25">
        <f>Stages!$I$17</f>
        <v/>
      </c>
      <c r="F312" s="25" t="n">
        <v>50005.000000001</v>
      </c>
      <c r="G312" s="14">
        <f>IF(ISNUMBER(E312),IF(ABS(E312-D312)&lt;=F312,"OK","ERROR"),"ERROR")</f>
        <v/>
      </c>
      <c r="H312" s="5" t="inlineStr">
        <is>
          <t>$4.6 million</t>
        </is>
      </c>
    </row>
    <row r="313">
      <c r="B313" s="7" t="inlineStr">
        <is>
          <t>stage_jumps</t>
        </is>
      </c>
      <c r="C313" s="7" t="inlineStr">
        <is>
          <t>Interconnection agreement</t>
        </is>
      </c>
      <c r="D313" s="25" t="n">
        <v>6600000</v>
      </c>
      <c r="E313" s="25">
        <f>Stages!$I$18</f>
        <v/>
      </c>
      <c r="F313" s="25" t="n">
        <v>50005.000000001</v>
      </c>
      <c r="G313" s="14">
        <f>IF(ISNUMBER(E313),IF(ABS(E313-D313)&lt;=F313,"OK","ERROR"),"ERROR")</f>
        <v/>
      </c>
      <c r="H313" s="5" t="inlineStr">
        <is>
          <t>$6.6 million</t>
        </is>
      </c>
    </row>
    <row r="314">
      <c r="B314" s="7" t="inlineStr">
        <is>
          <t>risk_retired</t>
        </is>
      </c>
      <c r="C314" s="7" t="inlineStr">
        <is>
          <t>Development spend</t>
        </is>
      </c>
      <c r="D314" s="25" t="n">
        <v>9000000</v>
      </c>
      <c r="E314" s="25">
        <f>Stages!$C$22</f>
        <v/>
      </c>
      <c r="F314" s="25" t="n">
        <v>50005.000000001</v>
      </c>
      <c r="G314" s="14">
        <f>IF(ISNUMBER(E314),IF(ABS(E314-D314)&lt;=F314,"OK","ERROR"),"ERROR")</f>
        <v/>
      </c>
      <c r="H314" s="5" t="inlineStr">
        <is>
          <t>$9.0 million</t>
        </is>
      </c>
    </row>
    <row r="315">
      <c r="B315" s="7" t="inlineStr">
        <is>
          <t>risk_retired</t>
        </is>
      </c>
      <c r="C315" s="7" t="inlineStr">
        <is>
          <t>Value at site control</t>
        </is>
      </c>
      <c r="D315" s="25" t="n">
        <v>20000</v>
      </c>
      <c r="E315" s="25">
        <f>Stages!$G$14</f>
        <v/>
      </c>
      <c r="F315" s="25" t="n">
        <v>5000.500000001</v>
      </c>
      <c r="G315" s="14">
        <f>IF(ISNUMBER(E315),IF(ABS(E315-D315)&lt;=F315,"OK","ERROR"),"ERROR")</f>
        <v/>
      </c>
      <c r="H315" s="5" t="inlineStr">
        <is>
          <t>$0.02 million</t>
        </is>
      </c>
    </row>
    <row r="316">
      <c r="B316" s="7" t="inlineStr">
        <is>
          <t>risk_retired</t>
        </is>
      </c>
      <c r="C316" s="7" t="inlineStr">
        <is>
          <t>Value at NTP</t>
        </is>
      </c>
      <c r="D316" s="25" t="n">
        <v>35100000</v>
      </c>
      <c r="E316" s="25">
        <f>Stages!$G$20</f>
        <v/>
      </c>
      <c r="F316" s="25" t="n">
        <v>50005.000000001</v>
      </c>
      <c r="G316" s="14">
        <f>IF(ISNUMBER(E316),IF(ABS(E316-D316)&lt;=F316,"OK","ERROR"),"ERROR")</f>
        <v/>
      </c>
      <c r="H316" s="5" t="inlineStr">
        <is>
          <t>$35.1 million</t>
        </is>
      </c>
    </row>
    <row r="317">
      <c r="B317" s="7" t="inlineStr">
        <is>
          <t>risk_retired</t>
        </is>
      </c>
      <c r="C317" s="7" t="inlineStr">
        <is>
          <t>Reimbursable costs</t>
        </is>
      </c>
      <c r="D317" s="25" t="n">
        <v>8100000</v>
      </c>
      <c r="E317" s="25">
        <f>Inputs!$C$294</f>
        <v/>
      </c>
      <c r="F317" s="25" t="n">
        <v>50005.000000001</v>
      </c>
      <c r="G317" s="14">
        <f>IF(ISNUMBER(E317),IF(ABS(E317-D317)&lt;=F317,"OK","ERROR"),"ERROR")</f>
        <v/>
      </c>
      <c r="H317" s="5" t="inlineStr">
        <is>
          <t>$8.1 million</t>
        </is>
      </c>
    </row>
    <row r="318">
      <c r="B318" s="7" t="inlineStr">
        <is>
          <t>permit_value_step</t>
        </is>
      </c>
      <c r="C318" s="7" t="inlineStr">
        <is>
          <t>Value before the permit</t>
        </is>
      </c>
      <c r="D318" s="25" t="n">
        <v>2490000</v>
      </c>
      <c r="E318" s="25">
        <f>Stages!$G$16</f>
        <v/>
      </c>
      <c r="F318" s="25" t="n">
        <v>5000.500000001</v>
      </c>
      <c r="G318" s="14">
        <f>IF(ISNUMBER(E318),IF(ABS(E318-D318)&lt;=F318,"OK","ERROR"),"ERROR")</f>
        <v/>
      </c>
      <c r="H318" s="5" t="inlineStr">
        <is>
          <t>$2.49 million</t>
        </is>
      </c>
    </row>
    <row r="319">
      <c r="B319" s="7" t="inlineStr">
        <is>
          <t>permit_value_step</t>
        </is>
      </c>
      <c r="C319" s="7" t="inlineStr">
        <is>
          <t>Value with the permit</t>
        </is>
      </c>
      <c r="D319" s="25" t="n">
        <v>7130000</v>
      </c>
      <c r="E319" s="25">
        <f>Stages!$G$17</f>
        <v/>
      </c>
      <c r="F319" s="25" t="n">
        <v>5000.500000001</v>
      </c>
      <c r="G319" s="14">
        <f>IF(ISNUMBER(E319),IF(ABS(E319-D319)&lt;=F319,"OK","ERROR"),"ERROR")</f>
        <v/>
      </c>
      <c r="H319" s="5" t="inlineStr">
        <is>
          <t>$7.13 million</t>
        </is>
      </c>
    </row>
    <row r="320">
      <c r="B320" s="7" t="inlineStr">
        <is>
          <t>developer</t>
        </is>
      </c>
      <c r="C320" s="7" t="inlineStr">
        <is>
          <t>Development spend</t>
        </is>
      </c>
      <c r="D320" s="25" t="n">
        <v>9000000</v>
      </c>
      <c r="E320" s="25">
        <f>Stages!$C$22</f>
        <v/>
      </c>
      <c r="F320" s="25" t="n">
        <v>50005.000000001</v>
      </c>
      <c r="G320" s="14">
        <f>IF(ISNUMBER(E320),IF(ABS(E320-D320)&lt;=F320,"OK","ERROR"),"ERROR")</f>
        <v/>
      </c>
      <c r="H320" s="5" t="inlineStr">
        <is>
          <t>$9.0 million</t>
        </is>
      </c>
    </row>
    <row r="321">
      <c r="B321" s="7" t="inlineStr">
        <is>
          <t>developer</t>
        </is>
      </c>
      <c r="C321" s="7" t="inlineStr">
        <is>
          <t>Advanced and reimbursed</t>
        </is>
      </c>
      <c r="D321" s="25" t="n">
        <v>8100000</v>
      </c>
      <c r="E321" s="25">
        <f>Inputs!$C$294</f>
        <v/>
      </c>
      <c r="F321" s="25" t="n">
        <v>50005.000000001</v>
      </c>
      <c r="G321" s="14">
        <f>IF(ISNUMBER(E321),IF(ABS(E321-D321)&lt;=F321,"OK","ERROR"),"ERROR")</f>
        <v/>
      </c>
      <c r="H321" s="5" t="inlineStr">
        <is>
          <t>$8.1 million</t>
        </is>
      </c>
    </row>
    <row r="322">
      <c r="B322" s="7" t="inlineStr">
        <is>
          <t>developer</t>
        </is>
      </c>
      <c r="C322" s="7" t="inlineStr">
        <is>
          <t>NTP price</t>
        </is>
      </c>
      <c r="D322" s="25" t="n">
        <v>35100000</v>
      </c>
      <c r="E322" s="25">
        <f>Inputs!$C$295</f>
        <v/>
      </c>
      <c r="F322" s="25" t="n">
        <v>50005.000000001</v>
      </c>
      <c r="G322" s="14">
        <f>IF(ISNUMBER(E322),IF(ABS(E322-D322)&lt;=F322,"OK","ERROR"),"ERROR")</f>
        <v/>
      </c>
      <c r="H322" s="5" t="inlineStr">
        <is>
          <t>$35.1 million</t>
        </is>
      </c>
    </row>
    <row r="323">
      <c r="B323" s="7" t="inlineStr">
        <is>
          <t>delay_year</t>
        </is>
      </c>
      <c r="C323" s="7" t="inlineStr">
        <is>
          <t>Stage value after a one-year slip</t>
        </is>
      </c>
      <c r="D323" s="25" t="n">
        <v>5860000</v>
      </c>
      <c r="E323" s="25">
        <f>Stages!$C$24</f>
        <v/>
      </c>
      <c r="F323" s="25" t="n">
        <v>5000.500000001</v>
      </c>
      <c r="G323" s="14">
        <f>IF(ISNUMBER(E323),IF(ABS(E323-D323)&lt;=F323,"OK","ERROR"),"ERROR")</f>
        <v/>
      </c>
      <c r="H323" s="5" t="inlineStr">
        <is>
          <t>$5.86 million</t>
        </is>
      </c>
    </row>
    <row r="324">
      <c r="B324" s="7" t="inlineStr">
        <is>
          <t>developer</t>
        </is>
      </c>
      <c r="C324" s="7" t="inlineStr">
        <is>
          <t>NTP price / all outlays</t>
        </is>
      </c>
      <c r="D324" s="32" t="n">
        <v>2.05</v>
      </c>
      <c r="E324" s="32">
        <f>Stages!$C$30</f>
        <v/>
      </c>
      <c r="F324" s="32" t="n">
        <v>0.005000501</v>
      </c>
      <c r="G324" s="14">
        <f>IF(ISNUMBER(E324),IF(ABS(E324-D324)&lt;=F324,"OK","ERROR"),"ERROR")</f>
        <v/>
      </c>
      <c r="H324" s="5" t="inlineStr">
        <is>
          <t>2.05</t>
        </is>
      </c>
    </row>
    <row r="325">
      <c r="B325" s="7" t="inlineStr">
        <is>
          <t>developer</t>
        </is>
      </c>
      <c r="C325" s="7" t="inlineStr">
        <is>
          <t>Premium / development spend</t>
        </is>
      </c>
      <c r="D325" s="32" t="n">
        <v>3</v>
      </c>
      <c r="E325" s="32">
        <f>Stages!$C$31</f>
        <v/>
      </c>
      <c r="F325" s="32" t="n">
        <v>0.005000501</v>
      </c>
      <c r="G325" s="14">
        <f>IF(ISNUMBER(E325),IF(ABS(E325-D325)&lt;=F325,"OK","ERROR"),"ERROR")</f>
        <v/>
      </c>
      <c r="H325" s="5" t="inlineStr">
        <is>
          <t>3.00</t>
        </is>
      </c>
    </row>
    <row r="326">
      <c r="B326" s="7" t="inlineStr">
        <is>
          <t>developer</t>
        </is>
      </c>
      <c r="C326" s="7" t="inlineStr">
        <is>
          <t>IRR on a success</t>
        </is>
      </c>
      <c r="D326" s="24" t="n">
        <v>0.507</v>
      </c>
      <c r="E326" s="24">
        <f>Stages!$C$32</f>
        <v/>
      </c>
      <c r="F326" s="24" t="n">
        <v>0.0005000510000000001</v>
      </c>
      <c r="G326" s="14">
        <f>IF(ISNUMBER(E326),IF(ABS(E326-D326)&lt;=F326,"OK","ERROR"),"ERROR")</f>
        <v/>
      </c>
      <c r="H326" s="5" t="inlineStr">
        <is>
          <t>50.7 percent</t>
        </is>
      </c>
    </row>
    <row r="327">
      <c r="B327" s="7" t="inlineStr">
        <is>
          <t>expected_return</t>
        </is>
      </c>
      <c r="C327" s="7" t="inlineStr">
        <is>
          <t>Expected return of starting in 2022</t>
        </is>
      </c>
      <c r="D327" s="24" t="n">
        <v>0.152</v>
      </c>
      <c r="E327" s="24">
        <f>Stages!$C$123</f>
        <v/>
      </c>
      <c r="F327" s="24" t="n">
        <v>0.0005000510000000001</v>
      </c>
      <c r="G327" s="14">
        <f>IF(ISNUMBER(E327),IF(ABS(E327-D327)&lt;=F327,"OK","ERROR"),"ERROR")</f>
        <v/>
      </c>
      <c r="H327" s="5" t="inlineStr">
        <is>
          <t>15.2 percent</t>
        </is>
      </c>
    </row>
    <row r="328">
      <c r="B328" s="7" t="inlineStr">
        <is>
          <t>dev_budget</t>
        </is>
      </c>
      <c r="C328" s="7" t="inlineStr">
        <is>
          <t>Budget total</t>
        </is>
      </c>
      <c r="D328" s="25" t="n">
        <v>9000000</v>
      </c>
      <c r="E328" s="25">
        <f>Stages!$C$23</f>
        <v/>
      </c>
      <c r="F328" s="25" t="n">
        <v>50005.000000001</v>
      </c>
      <c r="G328" s="14">
        <f>IF(ISNUMBER(E328),IF(ABS(E328-D328)&lt;=F328,"OK","ERROR"),"ERROR")</f>
        <v/>
      </c>
      <c r="H328" s="5" t="inlineStr">
        <is>
          <t>$9.0 million</t>
        </is>
      </c>
    </row>
    <row r="329">
      <c r="B329" s="7" t="inlineStr">
        <is>
          <t>sale_2024</t>
        </is>
      </c>
      <c r="C329" s="7" t="inlineStr">
        <is>
          <t>Price</t>
        </is>
      </c>
      <c r="D329" s="25" t="n">
        <v>2490000</v>
      </c>
      <c r="E329" s="25">
        <f>Sale!$C$8</f>
        <v/>
      </c>
      <c r="F329" s="25" t="n">
        <v>5000.500000001</v>
      </c>
      <c r="G329" s="14">
        <f>IF(ISNUMBER(E329),IF(ABS(E329-D329)&lt;=F329,"OK","ERROR"),"ERROR")</f>
        <v/>
      </c>
      <c r="H329" s="5" t="inlineStr">
        <is>
          <t>$2.49 million</t>
        </is>
      </c>
    </row>
    <row r="330">
      <c r="B330" s="7" t="inlineStr">
        <is>
          <t>sale_2024</t>
        </is>
      </c>
      <c r="C330" s="7" t="inlineStr">
        <is>
          <t>Spent</t>
        </is>
      </c>
      <c r="D330" s="25" t="n">
        <v>1200000</v>
      </c>
      <c r="E330" s="25">
        <f>Sale!$C$7</f>
        <v/>
      </c>
      <c r="F330" s="25" t="n">
        <v>50005.000000001</v>
      </c>
      <c r="G330" s="14">
        <f>IF(ISNUMBER(E330),IF(ABS(E330-D330)&lt;=F330,"OK","ERROR"),"ERROR")</f>
        <v/>
      </c>
      <c r="H330" s="5" t="inlineStr">
        <is>
          <t>$1.2 million</t>
        </is>
      </c>
    </row>
    <row r="331">
      <c r="B331" s="7" t="inlineStr">
        <is>
          <t>sale_2024</t>
        </is>
      </c>
      <c r="C331" s="7" t="inlineStr">
        <is>
          <t>IRR</t>
        </is>
      </c>
      <c r="D331" s="24" t="n">
        <v>0.7490000000000001</v>
      </c>
      <c r="E331" s="24">
        <f>Sale!$C$9</f>
        <v/>
      </c>
      <c r="F331" s="24" t="n">
        <v>0.0005000510000000001</v>
      </c>
      <c r="G331" s="14">
        <f>IF(ISNUMBER(E331),IF(ABS(E331-D331)&lt;=F331,"OK","ERROR"),"ERROR")</f>
        <v/>
      </c>
      <c r="H331" s="5" t="inlineStr">
        <is>
          <t>74.9 percent</t>
        </is>
      </c>
    </row>
    <row r="332">
      <c r="B332" s="7" t="inlineStr">
        <is>
          <t>sale_2025</t>
        </is>
      </c>
      <c r="C332" s="7" t="inlineStr">
        <is>
          <t>Price</t>
        </is>
      </c>
      <c r="D332" s="25" t="n">
        <v>7130000</v>
      </c>
      <c r="E332" s="25">
        <f>Sale!$C$13</f>
        <v/>
      </c>
      <c r="F332" s="25" t="n">
        <v>5000.500000001</v>
      </c>
      <c r="G332" s="14">
        <f>IF(ISNUMBER(E332),IF(ABS(E332-D332)&lt;=F332,"OK","ERROR"),"ERROR")</f>
        <v/>
      </c>
      <c r="H332" s="5" t="inlineStr">
        <is>
          <t>$7.13 million</t>
        </is>
      </c>
    </row>
    <row r="333">
      <c r="B333" s="7" t="inlineStr">
        <is>
          <t>sale_2025</t>
        </is>
      </c>
      <c r="C333" s="7" t="inlineStr">
        <is>
          <t>Spent</t>
        </is>
      </c>
      <c r="D333" s="25" t="n">
        <v>3000000</v>
      </c>
      <c r="E333" s="25">
        <f>Sale!$C$12</f>
        <v/>
      </c>
      <c r="F333" s="25" t="n">
        <v>50005.000000001</v>
      </c>
      <c r="G333" s="14">
        <f>IF(ISNUMBER(E333),IF(ABS(E333-D333)&lt;=F333,"OK","ERROR"),"ERROR")</f>
        <v/>
      </c>
      <c r="H333" s="5" t="inlineStr">
        <is>
          <t>$3.0 million</t>
        </is>
      </c>
    </row>
    <row r="334">
      <c r="B334" s="7" t="inlineStr">
        <is>
          <t>sale_2025</t>
        </is>
      </c>
      <c r="C334" s="7" t="inlineStr">
        <is>
          <t>IRR</t>
        </is>
      </c>
      <c r="D334" s="24" t="n">
        <v>0.6990000000000001</v>
      </c>
      <c r="E334" s="24">
        <f>Sale!$C$14</f>
        <v/>
      </c>
      <c r="F334" s="24" t="n">
        <v>0.0005000510000000001</v>
      </c>
      <c r="G334" s="14">
        <f>IF(ISNUMBER(E334),IF(ABS(E334-D334)&lt;=F334,"OK","ERROR"),"ERROR")</f>
        <v/>
      </c>
      <c r="H334" s="5" t="inlineStr">
        <is>
          <t>69.9 percent</t>
        </is>
      </c>
    </row>
    <row r="335">
      <c r="B335" s="7" t="inlineStr">
        <is>
          <t>sale_2026</t>
        </is>
      </c>
      <c r="C335" s="7" t="inlineStr">
        <is>
          <t>Price</t>
        </is>
      </c>
      <c r="D335" s="25" t="n">
        <v>13770000</v>
      </c>
      <c r="E335" s="25">
        <f>Sale!$C$18</f>
        <v/>
      </c>
      <c r="F335" s="25" t="n">
        <v>5000.500000001</v>
      </c>
      <c r="G335" s="14">
        <f>IF(ISNUMBER(E335),IF(ABS(E335-D335)&lt;=F335,"OK","ERROR"),"ERROR")</f>
        <v/>
      </c>
      <c r="H335" s="5" t="inlineStr">
        <is>
          <t>$13.77 million</t>
        </is>
      </c>
    </row>
    <row r="336">
      <c r="B336" s="7" t="inlineStr">
        <is>
          <t>sale_2026</t>
        </is>
      </c>
      <c r="C336" s="7" t="inlineStr">
        <is>
          <t>Spent</t>
        </is>
      </c>
      <c r="D336" s="25" t="n">
        <v>5600000</v>
      </c>
      <c r="E336" s="25">
        <f>Sale!$C$17</f>
        <v/>
      </c>
      <c r="F336" s="25" t="n">
        <v>50005.000000001</v>
      </c>
      <c r="G336" s="14">
        <f>IF(ISNUMBER(E336),IF(ABS(E336-D336)&lt;=F336,"OK","ERROR"),"ERROR")</f>
        <v/>
      </c>
      <c r="H336" s="5" t="inlineStr">
        <is>
          <t>$5.6 million</t>
        </is>
      </c>
    </row>
    <row r="337">
      <c r="B337" s="7" t="inlineStr">
        <is>
          <t>sale_2026</t>
        </is>
      </c>
      <c r="C337" s="7" t="inlineStr">
        <is>
          <t>IRR</t>
        </is>
      </c>
      <c r="D337" s="24" t="n">
        <v>0.5670000000000001</v>
      </c>
      <c r="E337" s="24">
        <f>Sale!$C$19</f>
        <v/>
      </c>
      <c r="F337" s="24" t="n">
        <v>0.0005000510000000001</v>
      </c>
      <c r="G337" s="14">
        <f>IF(ISNUMBER(E337),IF(ABS(E337-D337)&lt;=F337,"OK","ERROR"),"ERROR")</f>
        <v/>
      </c>
      <c r="H337" s="5" t="inlineStr">
        <is>
          <t>56.7 percent</t>
        </is>
      </c>
    </row>
    <row r="338">
      <c r="B338" s="7" t="inlineStr">
        <is>
          <t>earnout</t>
        </is>
      </c>
      <c r="C338" s="7" t="inlineStr">
        <is>
          <t>Probability of the LGIA</t>
        </is>
      </c>
      <c r="D338" s="24" t="n">
        <v>0.8100000000000001</v>
      </c>
      <c r="E338" s="24">
        <f>Sale!$C$23</f>
        <v/>
      </c>
      <c r="F338" s="24" t="n">
        <v>0.005000501</v>
      </c>
      <c r="G338" s="14">
        <f>IF(ISNUMBER(E338),IF(ABS(E338-D338)&lt;=F338,"OK","ERROR"),"ERROR")</f>
        <v/>
      </c>
      <c r="H338" s="5" t="inlineStr">
        <is>
          <t>81 percent</t>
        </is>
      </c>
    </row>
    <row r="339">
      <c r="B339" s="7" t="inlineStr">
        <is>
          <t>earnout</t>
        </is>
      </c>
      <c r="C339" s="7" t="inlineStr">
        <is>
          <t>Headline price</t>
        </is>
      </c>
      <c r="D339" s="25" t="n">
        <v>10000000</v>
      </c>
      <c r="E339" s="25">
        <f>Sale!$C$25</f>
        <v/>
      </c>
      <c r="F339" s="25" t="n">
        <v>50005.000000001</v>
      </c>
      <c r="G339" s="14">
        <f>IF(ISNUMBER(E339),IF(ABS(E339-D339)&lt;=F339,"OK","ERROR"),"ERROR")</f>
        <v/>
      </c>
      <c r="H339" s="5" t="inlineStr">
        <is>
          <t>$10.0 million</t>
        </is>
      </c>
    </row>
    <row r="340">
      <c r="B340" s="7" t="inlineStr">
        <is>
          <t>earnout</t>
        </is>
      </c>
      <c r="C340" s="7" t="inlineStr">
        <is>
          <t>Expected value</t>
        </is>
      </c>
      <c r="D340" s="25" t="n">
        <v>6580000</v>
      </c>
      <c r="E340" s="25">
        <f>Sale!$C$26</f>
        <v/>
      </c>
      <c r="F340" s="25" t="n">
        <v>5000.500000001</v>
      </c>
      <c r="G340" s="14">
        <f>IF(ISNUMBER(E340),IF(ABS(E340-D340)&lt;=F340,"OK","ERROR"),"ERROR")</f>
        <v/>
      </c>
      <c r="H340" s="5" t="inlineStr">
        <is>
          <t>$6.58 million</t>
        </is>
      </c>
    </row>
    <row r="341">
      <c r="B341" s="7" t="inlineStr">
        <is>
          <t>earnout</t>
        </is>
      </c>
      <c r="C341" s="7" t="inlineStr">
        <is>
          <t>All-cash stage value</t>
        </is>
      </c>
      <c r="D341" s="25" t="n">
        <v>7130000</v>
      </c>
      <c r="E341" s="25">
        <f>Sale!$C$27</f>
        <v/>
      </c>
      <c r="F341" s="25" t="n">
        <v>5000.500000001</v>
      </c>
      <c r="G341" s="14">
        <f>IF(ISNUMBER(E341),IF(ABS(E341-D341)&lt;=F341,"OK","ERROR"),"ERROR")</f>
        <v/>
      </c>
      <c r="H341" s="5" t="inlineStr">
        <is>
          <t>$7.13 million</t>
        </is>
      </c>
    </row>
    <row r="342">
      <c r="B342" s="7" t="inlineStr">
        <is>
          <t>platform</t>
        </is>
      </c>
      <c r="C342" s="7" t="inlineStr">
        <is>
          <t>Stage 2022</t>
        </is>
      </c>
      <c r="D342" s="25" t="n">
        <v>200000</v>
      </c>
      <c r="E342" s="25">
        <f>Sale!$E$30</f>
        <v/>
      </c>
      <c r="F342" s="25" t="n">
        <v>50005.000000001</v>
      </c>
      <c r="G342" s="14">
        <f>IF(ISNUMBER(E342),IF(ABS(E342-D342)&lt;=F342,"OK","ERROR"),"ERROR")</f>
        <v/>
      </c>
      <c r="H342" s="5" t="inlineStr">
        <is>
          <t>$0.2 million</t>
        </is>
      </c>
    </row>
    <row r="343">
      <c r="B343" s="7" t="inlineStr">
        <is>
          <t>platform</t>
        </is>
      </c>
      <c r="C343" s="7" t="inlineStr">
        <is>
          <t>Stage 2023</t>
        </is>
      </c>
      <c r="D343" s="25" t="n">
        <v>3300000</v>
      </c>
      <c r="E343" s="25">
        <f>Sale!$E$31</f>
        <v/>
      </c>
      <c r="F343" s="25" t="n">
        <v>50005.000000001</v>
      </c>
      <c r="G343" s="14">
        <f>IF(ISNUMBER(E343),IF(ABS(E343-D343)&lt;=F343,"OK","ERROR"),"ERROR")</f>
        <v/>
      </c>
      <c r="H343" s="5" t="inlineStr">
        <is>
          <t>$3.3 million</t>
        </is>
      </c>
    </row>
    <row r="344">
      <c r="B344" s="7" t="inlineStr">
        <is>
          <t>platform</t>
        </is>
      </c>
      <c r="C344" s="7" t="inlineStr">
        <is>
          <t>Stage 2024</t>
        </is>
      </c>
      <c r="D344" s="25" t="n">
        <v>10000000</v>
      </c>
      <c r="E344" s="25">
        <f>Sale!$E$32</f>
        <v/>
      </c>
      <c r="F344" s="25" t="n">
        <v>50005.000000001</v>
      </c>
      <c r="G344" s="14">
        <f>IF(ISNUMBER(E344),IF(ABS(E344-D344)&lt;=F344,"OK","ERROR"),"ERROR")</f>
        <v/>
      </c>
      <c r="H344" s="5" t="inlineStr">
        <is>
          <t>$10.0 million</t>
        </is>
      </c>
    </row>
    <row r="345">
      <c r="B345" s="7" t="inlineStr">
        <is>
          <t>platform</t>
        </is>
      </c>
      <c r="C345" s="7" t="inlineStr">
        <is>
          <t>Stage 2025</t>
        </is>
      </c>
      <c r="D345" s="25" t="n">
        <v>21400000</v>
      </c>
      <c r="E345" s="25">
        <f>Sale!$E$33</f>
        <v/>
      </c>
      <c r="F345" s="25" t="n">
        <v>50005.000000001</v>
      </c>
      <c r="G345" s="14">
        <f>IF(ISNUMBER(E345),IF(ABS(E345-D345)&lt;=F345,"OK","ERROR"),"ERROR")</f>
        <v/>
      </c>
      <c r="H345" s="5" t="inlineStr">
        <is>
          <t>$21.4 million</t>
        </is>
      </c>
    </row>
    <row r="346">
      <c r="B346" s="7" t="inlineStr">
        <is>
          <t>platform</t>
        </is>
      </c>
      <c r="C346" s="7" t="inlineStr">
        <is>
          <t>Stage 2026</t>
        </is>
      </c>
      <c r="D346" s="25" t="n">
        <v>27500000</v>
      </c>
      <c r="E346" s="25">
        <f>Sale!$E$34</f>
        <v/>
      </c>
      <c r="F346" s="25" t="n">
        <v>50005.000000001</v>
      </c>
      <c r="G346" s="14">
        <f>IF(ISNUMBER(E346),IF(ABS(E346-D346)&lt;=F346,"OK","ERROR"),"ERROR")</f>
        <v/>
      </c>
      <c r="H346" s="5" t="inlineStr">
        <is>
          <t>$27.5 million</t>
        </is>
      </c>
    </row>
    <row r="347">
      <c r="B347" s="7" t="inlineStr">
        <is>
          <t>platform</t>
        </is>
      </c>
      <c r="C347" s="7" t="inlineStr">
        <is>
          <t>Stage 2027</t>
        </is>
      </c>
      <c r="D347" s="25" t="n">
        <v>35100000</v>
      </c>
      <c r="E347" s="25">
        <f>Sale!$E$35</f>
        <v/>
      </c>
      <c r="F347" s="25" t="n">
        <v>50005.000000001</v>
      </c>
      <c r="G347" s="14">
        <f>IF(ISNUMBER(E347),IF(ABS(E347-D347)&lt;=F347,"OK","ERROR"),"ERROR")</f>
        <v/>
      </c>
      <c r="H347" s="5" t="inlineStr">
        <is>
          <t>$35.1 million</t>
        </is>
      </c>
    </row>
    <row r="348">
      <c r="B348" s="7" t="inlineStr">
        <is>
          <t>platform</t>
        </is>
      </c>
      <c r="C348" s="7" t="inlineStr">
        <is>
          <t>Total</t>
        </is>
      </c>
      <c r="D348" s="25" t="n">
        <v>97400000</v>
      </c>
      <c r="E348" s="25">
        <f>Sale!$E$36</f>
        <v/>
      </c>
      <c r="F348" s="25" t="n">
        <v>50005.000000001</v>
      </c>
      <c r="G348" s="14">
        <f>IF(ISNUMBER(E348),IF(ABS(E348-D348)&lt;=F348,"OK","ERROR"),"ERROR")</f>
        <v/>
      </c>
      <c r="H348" s="5" t="inlineStr">
        <is>
          <t>$97.4 million</t>
        </is>
      </c>
    </row>
    <row r="349">
      <c r="B349" s="7" t="inlineStr">
        <is>
          <t>platform</t>
        </is>
      </c>
      <c r="C349" s="7" t="inlineStr">
        <is>
          <t>Total MWac</t>
        </is>
      </c>
      <c r="D349" s="32" t="n">
        <v>4200</v>
      </c>
      <c r="E349" s="32">
        <f>Sale!$D$36</f>
        <v/>
      </c>
      <c r="F349" s="32" t="n">
        <v>0.500050001</v>
      </c>
      <c r="G349" s="14">
        <f>IF(ISNUMBER(E349),IF(ABS(E349-D349)&lt;=F349,"OK","ERROR"),"ERROR")</f>
        <v/>
      </c>
      <c r="H349" s="5" t="inlineStr">
        <is>
          <t>4,200</t>
        </is>
      </c>
    </row>
    <row r="350">
      <c r="B350" s="7" t="inlineStr">
        <is>
          <t>debt_U</t>
        </is>
      </c>
      <c r="C350" s="7" t="inlineStr">
        <is>
          <t>Term debt</t>
        </is>
      </c>
      <c r="D350" s="25" t="n">
        <v>131800000</v>
      </c>
      <c r="E350" s="25">
        <f>Debt!$C$19</f>
        <v/>
      </c>
      <c r="F350" s="25" t="n">
        <v>50005.000000001</v>
      </c>
      <c r="G350" s="14">
        <f>IF(ISNUMBER(E350),IF(ABS(E350-D350)&lt;=F350,"OK","ERROR"),"ERROR")</f>
        <v/>
      </c>
      <c r="H350" s="5" t="inlineStr">
        <is>
          <t>$131.8 million</t>
        </is>
      </c>
    </row>
    <row r="351">
      <c r="B351" s="7" t="inlineStr">
        <is>
          <t>debt_U</t>
        </is>
      </c>
      <c r="C351" s="7" t="inlineStr">
        <is>
          <t>Share of capital cost</t>
        </is>
      </c>
      <c r="D351" s="24" t="n">
        <v>0.6</v>
      </c>
      <c r="E351" s="24">
        <f>Debt!$C$20</f>
        <v/>
      </c>
      <c r="F351" s="24" t="n">
        <v>0.005000501</v>
      </c>
      <c r="G351" s="14">
        <f>IF(ISNUMBER(E351),IF(ABS(E351-D351)&lt;=F351,"OK","ERROR"),"ERROR")</f>
        <v/>
      </c>
      <c r="H351" s="5" t="inlineStr">
        <is>
          <t>60 percent</t>
        </is>
      </c>
    </row>
    <row r="352">
      <c r="B352" s="7" t="inlineStr">
        <is>
          <t>debt_U</t>
        </is>
      </c>
      <c r="C352" s="7" t="inlineStr">
        <is>
          <t>First-year debt service</t>
        </is>
      </c>
      <c r="D352" s="25" t="n">
        <v>11320000</v>
      </c>
      <c r="E352" s="25">
        <f>Debt!$D$16</f>
        <v/>
      </c>
      <c r="F352" s="25" t="n">
        <v>5000.500000001</v>
      </c>
      <c r="G352" s="14">
        <f>IF(ISNUMBER(E352),IF(ABS(E352-D352)&lt;=F352,"OK","ERROR"),"ERROR")</f>
        <v/>
      </c>
      <c r="H352" s="5" t="inlineStr">
        <is>
          <t>$11.32 million</t>
        </is>
      </c>
    </row>
    <row r="353">
      <c r="B353" s="7" t="inlineStr">
        <is>
          <t>debt_U</t>
        </is>
      </c>
      <c r="C353" s="7" t="inlineStr">
        <is>
          <t>Equity in 2027</t>
        </is>
      </c>
      <c r="D353" s="25" t="n">
        <v>116200000</v>
      </c>
      <c r="E353" s="25">
        <f>Debt!$C$21</f>
        <v/>
      </c>
      <c r="F353" s="25" t="n">
        <v>50005.000000001</v>
      </c>
      <c r="G353" s="14">
        <f>IF(ISNUMBER(E353),IF(ABS(E353-D353)&lt;=F353,"OK","ERROR"),"ERROR")</f>
        <v/>
      </c>
      <c r="H353" s="5" t="inlineStr">
        <is>
          <t>$116.2 million</t>
        </is>
      </c>
    </row>
    <row r="354">
      <c r="B354" s="7" t="inlineStr">
        <is>
          <t>debt_U</t>
        </is>
      </c>
      <c r="C354" s="7" t="inlineStr">
        <is>
          <t>Equity IRR</t>
        </is>
      </c>
      <c r="D354" s="24" t="n">
        <v>0.1003</v>
      </c>
      <c r="E354" s="24">
        <f>Debt!$C$24</f>
        <v/>
      </c>
      <c r="F354" s="24" t="n">
        <v>5.0006e-05</v>
      </c>
      <c r="G354" s="14">
        <f>IF(ISNUMBER(E354),IF(ABS(E354-D354)&lt;=F354,"OK","ERROR"),"ERROR")</f>
        <v/>
      </c>
      <c r="H354" s="5" t="inlineStr">
        <is>
          <t>10.03 percent</t>
        </is>
      </c>
    </row>
    <row r="355">
      <c r="B355" s="7" t="inlineStr">
        <is>
          <t>debt_C</t>
        </is>
      </c>
      <c r="C355" s="7" t="inlineStr">
        <is>
          <t>Term debt</t>
        </is>
      </c>
      <c r="D355" s="25" t="n">
        <v>108600000</v>
      </c>
      <c r="E355" s="25">
        <f>Debt!$C$37</f>
        <v/>
      </c>
      <c r="F355" s="25" t="n">
        <v>50005.000000001</v>
      </c>
      <c r="G355" s="14">
        <f>IF(ISNUMBER(E355),IF(ABS(E355-D355)&lt;=F355,"OK","ERROR"),"ERROR")</f>
        <v/>
      </c>
      <c r="H355" s="5" t="inlineStr">
        <is>
          <t>$108.6 million</t>
        </is>
      </c>
    </row>
    <row r="356">
      <c r="B356" s="7" t="inlineStr">
        <is>
          <t>debt_C</t>
        </is>
      </c>
      <c r="C356" s="7" t="inlineStr">
        <is>
          <t>Share of capital cost</t>
        </is>
      </c>
      <c r="D356" s="24" t="n">
        <v>0.49</v>
      </c>
      <c r="E356" s="24">
        <f>Debt!$C$38</f>
        <v/>
      </c>
      <c r="F356" s="24" t="n">
        <v>0.005000501</v>
      </c>
      <c r="G356" s="14">
        <f>IF(ISNUMBER(E356),IF(ABS(E356-D356)&lt;=F356,"OK","ERROR"),"ERROR")</f>
        <v/>
      </c>
      <c r="H356" s="5" t="inlineStr">
        <is>
          <t>49 percent</t>
        </is>
      </c>
    </row>
    <row r="357">
      <c r="B357" s="7" t="inlineStr">
        <is>
          <t>debt_C</t>
        </is>
      </c>
      <c r="C357" s="7" t="inlineStr">
        <is>
          <t>First-year debt service</t>
        </is>
      </c>
      <c r="D357" s="25" t="n">
        <v>13750000</v>
      </c>
      <c r="E357" s="25">
        <f>Debt!$D$34</f>
        <v/>
      </c>
      <c r="F357" s="25" t="n">
        <v>5000.500000001</v>
      </c>
      <c r="G357" s="14">
        <f>IF(ISNUMBER(E357),IF(ABS(E357-D357)&lt;=F357,"OK","ERROR"),"ERROR")</f>
        <v/>
      </c>
      <c r="H357" s="5" t="inlineStr">
        <is>
          <t>$13.75 million</t>
        </is>
      </c>
    </row>
    <row r="358">
      <c r="B358" s="7" t="inlineStr">
        <is>
          <t>debt_C</t>
        </is>
      </c>
      <c r="C358" s="7" t="inlineStr">
        <is>
          <t>Equity in 2027</t>
        </is>
      </c>
      <c r="D358" s="25" t="n">
        <v>139400000</v>
      </c>
      <c r="E358" s="25">
        <f>Debt!$C$39</f>
        <v/>
      </c>
      <c r="F358" s="25" t="n">
        <v>50005.000000001</v>
      </c>
      <c r="G358" s="14">
        <f>IF(ISNUMBER(E358),IF(ABS(E358-D358)&lt;=F358,"OK","ERROR"),"ERROR")</f>
        <v/>
      </c>
      <c r="H358" s="5" t="inlineStr">
        <is>
          <t>$139.4 million</t>
        </is>
      </c>
    </row>
    <row r="359">
      <c r="B359" s="7" t="inlineStr">
        <is>
          <t>debt_C</t>
        </is>
      </c>
      <c r="C359" s="7" t="inlineStr">
        <is>
          <t>Equity IRR</t>
        </is>
      </c>
      <c r="D359" s="24" t="n">
        <v>0.08890000000000001</v>
      </c>
      <c r="E359" s="24">
        <f>Debt!$C$42</f>
        <v/>
      </c>
      <c r="F359" s="24" t="n">
        <v>5.0006e-05</v>
      </c>
      <c r="G359" s="14">
        <f>IF(ISNUMBER(E359),IF(ABS(E359-D359)&lt;=F359,"OK","ERROR"),"ERROR")</f>
        <v/>
      </c>
      <c r="H359" s="5" t="inlineStr">
        <is>
          <t>8.89 percent</t>
        </is>
      </c>
    </row>
    <row r="360">
      <c r="B360" s="7" t="inlineStr">
        <is>
          <t>debt_M</t>
        </is>
      </c>
      <c r="C360" s="7" t="inlineStr">
        <is>
          <t>Term debt</t>
        </is>
      </c>
      <c r="D360" s="25" t="n">
        <v>34900000</v>
      </c>
      <c r="E360" s="25">
        <f>Debt!$C$55</f>
        <v/>
      </c>
      <c r="F360" s="25" t="n">
        <v>50005.000000001</v>
      </c>
      <c r="G360" s="14">
        <f>IF(ISNUMBER(E360),IF(ABS(E360-D360)&lt;=F360,"OK","ERROR"),"ERROR")</f>
        <v/>
      </c>
      <c r="H360" s="5" t="inlineStr">
        <is>
          <t>$34.9 million</t>
        </is>
      </c>
    </row>
    <row r="361">
      <c r="B361" s="7" t="inlineStr">
        <is>
          <t>debt_M</t>
        </is>
      </c>
      <c r="C361" s="7" t="inlineStr">
        <is>
          <t>Share of capital cost</t>
        </is>
      </c>
      <c r="D361" s="24" t="n">
        <v>0.16</v>
      </c>
      <c r="E361" s="24">
        <f>Debt!$C$56</f>
        <v/>
      </c>
      <c r="F361" s="24" t="n">
        <v>0.005000501</v>
      </c>
      <c r="G361" s="14">
        <f>IF(ISNUMBER(E361),IF(ABS(E361-D361)&lt;=F361,"OK","ERROR"),"ERROR")</f>
        <v/>
      </c>
      <c r="H361" s="5" t="inlineStr">
        <is>
          <t>16 percent</t>
        </is>
      </c>
    </row>
    <row r="362">
      <c r="B362" s="7" t="inlineStr">
        <is>
          <t>debt_M</t>
        </is>
      </c>
      <c r="C362" s="7" t="inlineStr">
        <is>
          <t>First-year debt service</t>
        </is>
      </c>
      <c r="D362" s="25" t="n">
        <v>6380000</v>
      </c>
      <c r="E362" s="25">
        <f>Debt!$D$52</f>
        <v/>
      </c>
      <c r="F362" s="25" t="n">
        <v>5000.500000001</v>
      </c>
      <c r="G362" s="14">
        <f>IF(ISNUMBER(E362),IF(ABS(E362-D362)&lt;=F362,"OK","ERROR"),"ERROR")</f>
        <v/>
      </c>
      <c r="H362" s="5" t="inlineStr">
        <is>
          <t>$6.38 million</t>
        </is>
      </c>
    </row>
    <row r="363">
      <c r="B363" s="7" t="inlineStr">
        <is>
          <t>debt_M</t>
        </is>
      </c>
      <c r="C363" s="7" t="inlineStr">
        <is>
          <t>Equity in 2027</t>
        </is>
      </c>
      <c r="D363" s="25" t="n">
        <v>213200000</v>
      </c>
      <c r="E363" s="25">
        <f>Debt!$C$57</f>
        <v/>
      </c>
      <c r="F363" s="25" t="n">
        <v>50005.000000001</v>
      </c>
      <c r="G363" s="14">
        <f>IF(ISNUMBER(E363),IF(ABS(E363-D363)&lt;=F363,"OK","ERROR"),"ERROR")</f>
        <v/>
      </c>
      <c r="H363" s="5" t="inlineStr">
        <is>
          <t>$213.2 million</t>
        </is>
      </c>
    </row>
    <row r="364">
      <c r="B364" s="7" t="inlineStr">
        <is>
          <t>debt_M</t>
        </is>
      </c>
      <c r="C364" s="7" t="inlineStr">
        <is>
          <t>Equity IRR</t>
        </is>
      </c>
      <c r="D364" s="24" t="n">
        <v>0.06710000000000001</v>
      </c>
      <c r="E364" s="24">
        <f>Debt!$C$60</f>
        <v/>
      </c>
      <c r="F364" s="24" t="n">
        <v>5.0006e-05</v>
      </c>
      <c r="G364" s="14">
        <f>IF(ISNUMBER(E364),IF(ABS(E364-D364)&lt;=F364,"OK","ERROR"),"ERROR")</f>
        <v/>
      </c>
      <c r="H364" s="5" t="inlineStr">
        <is>
          <t>6.71 percent</t>
        </is>
      </c>
    </row>
    <row r="365">
      <c r="B365" s="7" t="inlineStr">
        <is>
          <t>debt_U_2028</t>
        </is>
      </c>
      <c r="C365" s="7" t="inlineStr">
        <is>
          <t>Revenue</t>
        </is>
      </c>
      <c r="D365" s="25" t="n">
        <v>19470000</v>
      </c>
      <c r="E365" s="25">
        <f>Debt!$C$66</f>
        <v/>
      </c>
      <c r="F365" s="25" t="n">
        <v>5000.500000001</v>
      </c>
      <c r="G365" s="14">
        <f>IF(ISNUMBER(E365),IF(ABS(E365-D365)&lt;=F365,"OK","ERROR"),"ERROR")</f>
        <v/>
      </c>
      <c r="H365" s="5" t="inlineStr">
        <is>
          <t>$19.47 million</t>
        </is>
      </c>
    </row>
    <row r="366">
      <c r="B366" s="7" t="inlineStr">
        <is>
          <t>debt_U_2028</t>
        </is>
      </c>
      <c r="C366" s="7" t="inlineStr">
        <is>
          <t>Operating cost</t>
        </is>
      </c>
      <c r="D366" s="25" t="n">
        <v>4760000</v>
      </c>
      <c r="E366" s="25">
        <f>Debt!$C$67</f>
        <v/>
      </c>
      <c r="F366" s="25" t="n">
        <v>5000.500000001</v>
      </c>
      <c r="G366" s="14">
        <f>IF(ISNUMBER(E366),IF(ABS(E366-D366)&lt;=F366,"OK","ERROR"),"ERROR")</f>
        <v/>
      </c>
      <c r="H366" s="5" t="inlineStr">
        <is>
          <t>$4.76 million</t>
        </is>
      </c>
    </row>
    <row r="367">
      <c r="B367" s="7" t="inlineStr">
        <is>
          <t>debt_U_2028</t>
        </is>
      </c>
      <c r="C367" s="7" t="inlineStr">
        <is>
          <t>CFADS</t>
        </is>
      </c>
      <c r="D367" s="25" t="n">
        <v>14710000</v>
      </c>
      <c r="E367" s="25">
        <f>Debt!$C$68</f>
        <v/>
      </c>
      <c r="F367" s="25" t="n">
        <v>5000.500000001</v>
      </c>
      <c r="G367" s="14">
        <f>IF(ISNUMBER(E367),IF(ABS(E367-D367)&lt;=F367,"OK","ERROR"),"ERROR")</f>
        <v/>
      </c>
      <c r="H367" s="5" t="inlineStr">
        <is>
          <t>$14.71 million</t>
        </is>
      </c>
    </row>
    <row r="368">
      <c r="B368" s="7" t="inlineStr">
        <is>
          <t>debt_U_2028</t>
        </is>
      </c>
      <c r="C368" s="7" t="inlineStr">
        <is>
          <t>CFADS / 1.30</t>
        </is>
      </c>
      <c r="D368" s="25" t="n">
        <v>11320000</v>
      </c>
      <c r="E368" s="25">
        <f>Debt!$C$69</f>
        <v/>
      </c>
      <c r="F368" s="25" t="n">
        <v>5000.500000001</v>
      </c>
      <c r="G368" s="14">
        <f>IF(ISNUMBER(E368),IF(ABS(E368-D368)&lt;=F368,"OK","ERROR"),"ERROR")</f>
        <v/>
      </c>
      <c r="H368" s="5" t="inlineStr">
        <is>
          <t>$11.32 million</t>
        </is>
      </c>
    </row>
    <row r="369">
      <c r="B369" s="7" t="inlineStr">
        <is>
          <t>debt_U_2028</t>
        </is>
      </c>
      <c r="C369" s="7" t="inlineStr">
        <is>
          <t>CFADS at P99 (text)</t>
        </is>
      </c>
      <c r="D369" s="25" t="n">
        <v>11400000</v>
      </c>
      <c r="E369" s="25">
        <f>Debt!$C$70</f>
        <v/>
      </c>
      <c r="F369" s="25" t="n">
        <v>5000.500000001</v>
      </c>
      <c r="G369" s="14">
        <f>IF(ISNUMBER(E369),IF(ABS(E369-D369)&lt;=F369,"OK","ERROR"),"ERROR")</f>
        <v/>
      </c>
      <c r="H369" s="5" t="inlineStr">
        <is>
          <t>$11.40 million</t>
        </is>
      </c>
    </row>
    <row r="370">
      <c r="B370" s="7" t="inlineStr">
        <is>
          <t>debt_U_2028</t>
        </is>
      </c>
      <c r="C370" s="7" t="inlineStr">
        <is>
          <t>Debt service</t>
        </is>
      </c>
      <c r="D370" s="25" t="n">
        <v>11320000</v>
      </c>
      <c r="E370" s="25">
        <f>Debt!$C$71</f>
        <v/>
      </c>
      <c r="F370" s="25" t="n">
        <v>5000.500000001</v>
      </c>
      <c r="G370" s="14">
        <f>IF(ISNUMBER(E370),IF(ABS(E370-D370)&lt;=F370,"OK","ERROR"),"ERROR")</f>
        <v/>
      </c>
      <c r="H370" s="5" t="inlineStr">
        <is>
          <t>$11.32 million</t>
        </is>
      </c>
    </row>
    <row r="371">
      <c r="B371" s="7" t="inlineStr">
        <is>
          <t>construction_loan</t>
        </is>
      </c>
      <c r="C371" s="7" t="inlineStr">
        <is>
          <t>Construction interest</t>
        </is>
      </c>
      <c r="D371" s="25" t="n">
        <v>7700000</v>
      </c>
      <c r="E371" s="25">
        <f>Debt!$C$73</f>
        <v/>
      </c>
      <c r="F371" s="25" t="n">
        <v>50005.000000001</v>
      </c>
      <c r="G371" s="14">
        <f>IF(ISNUMBER(E371),IF(ABS(E371-D371)&lt;=F371,"OK","ERROR"),"ERROR")</f>
        <v/>
      </c>
      <c r="H371" s="5" t="inlineStr">
        <is>
          <t>$7.7 million</t>
        </is>
      </c>
    </row>
    <row r="372">
      <c r="B372" s="7" t="inlineStr">
        <is>
          <t>tax_equity</t>
        </is>
      </c>
      <c r="C372" s="7" t="inlineStr">
        <is>
          <t>Investment</t>
        </is>
      </c>
      <c r="D372" s="25" t="n">
        <v>106800000</v>
      </c>
      <c r="E372" s="25">
        <f>'Tax equity'!$C$20</f>
        <v/>
      </c>
      <c r="F372" s="25" t="n">
        <v>50005.000000001</v>
      </c>
      <c r="G372" s="14">
        <f>IF(ISNUMBER(E372),IF(ABS(E372-D372)&lt;=F372,"OK","ERROR"),"ERROR")</f>
        <v/>
      </c>
      <c r="H372" s="5" t="inlineStr">
        <is>
          <t>$106.8 million</t>
        </is>
      </c>
    </row>
    <row r="373">
      <c r="B373" s="7" t="inlineStr">
        <is>
          <t>tax_equity</t>
        </is>
      </c>
      <c r="C373" s="7" t="inlineStr">
        <is>
          <t>Share of capital cost</t>
        </is>
      </c>
      <c r="D373" s="24" t="n">
        <v>0.48</v>
      </c>
      <c r="E373" s="24">
        <f>'Tax equity'!$C$21</f>
        <v/>
      </c>
      <c r="F373" s="24" t="n">
        <v>0.005000501</v>
      </c>
      <c r="G373" s="14">
        <f>IF(ISNUMBER(E373),IF(ABS(E373-D373)&lt;=F373,"OK","ERROR"),"ERROR")</f>
        <v/>
      </c>
      <c r="H373" s="5" t="inlineStr">
        <is>
          <t>48 percent</t>
        </is>
      </c>
    </row>
    <row r="374">
      <c r="B374" s="7" t="inlineStr">
        <is>
          <t>tax_equity</t>
        </is>
      </c>
      <c r="C374" s="7" t="inlineStr">
        <is>
          <t>PTC part</t>
        </is>
      </c>
      <c r="D374" s="25" t="n">
        <v>81600000</v>
      </c>
      <c r="E374" s="25">
        <f>'Tax equity'!$C$17</f>
        <v/>
      </c>
      <c r="F374" s="25" t="n">
        <v>50005.000000001</v>
      </c>
      <c r="G374" s="14">
        <f>IF(ISNUMBER(E374),IF(ABS(E374-D374)&lt;=F374,"OK","ERROR"),"ERROR")</f>
        <v/>
      </c>
      <c r="H374" s="5" t="inlineStr">
        <is>
          <t>$81.6 million</t>
        </is>
      </c>
    </row>
    <row r="375">
      <c r="B375" s="7" t="inlineStr">
        <is>
          <t>tax_equity</t>
        </is>
      </c>
      <c r="C375" s="7" t="inlineStr">
        <is>
          <t>Depreciable base</t>
        </is>
      </c>
      <c r="D375" s="25" t="n">
        <v>194000000</v>
      </c>
      <c r="E375" s="25">
        <f>'Tax equity'!$C$16</f>
        <v/>
      </c>
      <c r="F375" s="25" t="n">
        <v>50005.000000001</v>
      </c>
      <c r="G375" s="14">
        <f>IF(ISNUMBER(E375),IF(ABS(E375-D375)&lt;=F375,"OK","ERROR"),"ERROR")</f>
        <v/>
      </c>
      <c r="H375" s="5" t="inlineStr">
        <is>
          <t>$194.0 million</t>
        </is>
      </c>
    </row>
    <row r="376">
      <c r="B376" s="7" t="inlineStr">
        <is>
          <t>tax_equity</t>
        </is>
      </c>
      <c r="C376" s="7" t="inlineStr">
        <is>
          <t>Tax part</t>
        </is>
      </c>
      <c r="D376" s="25" t="n">
        <v>10100000</v>
      </c>
      <c r="E376" s="25">
        <f>'Tax equity'!$C$18</f>
        <v/>
      </c>
      <c r="F376" s="25" t="n">
        <v>50005.000000001</v>
      </c>
      <c r="G376" s="14">
        <f>IF(ISNUMBER(E376),IF(ABS(E376-D376)&lt;=F376,"OK","ERROR"),"ERROR")</f>
        <v/>
      </c>
      <c r="H376" s="5" t="inlineStr">
        <is>
          <t>$10.1 million</t>
        </is>
      </c>
    </row>
    <row r="377">
      <c r="B377" s="7" t="inlineStr">
        <is>
          <t>tax_equity</t>
        </is>
      </c>
      <c r="C377" s="7" t="inlineStr">
        <is>
          <t>Cash part</t>
        </is>
      </c>
      <c r="D377" s="25" t="n">
        <v>15100000</v>
      </c>
      <c r="E377" s="25">
        <f>'Tax equity'!$C$19</f>
        <v/>
      </c>
      <c r="F377" s="25" t="n">
        <v>50005.000000001</v>
      </c>
      <c r="G377" s="14">
        <f>IF(ISNUMBER(E377),IF(ABS(E377-D377)&lt;=F377,"OK","ERROR"),"ERROR")</f>
        <v/>
      </c>
      <c r="H377" s="5" t="inlineStr">
        <is>
          <t>$15.1 million</t>
        </is>
      </c>
    </row>
    <row r="378">
      <c r="B378" s="7" t="inlineStr">
        <is>
          <t>stack_te</t>
        </is>
      </c>
      <c r="C378" s="7" t="inlineStr">
        <is>
          <t>Uses</t>
        </is>
      </c>
      <c r="D378" s="25" t="n">
        <v>248000000</v>
      </c>
      <c r="E378" s="25">
        <f>'Tax equity'!$C$24</f>
        <v/>
      </c>
      <c r="F378" s="25" t="n">
        <v>50005.000000001</v>
      </c>
      <c r="G378" s="14">
        <f>IF(ISNUMBER(E378),IF(ABS(E378-D378)&lt;=F378,"OK","ERROR"),"ERROR")</f>
        <v/>
      </c>
      <c r="H378" s="5" t="inlineStr">
        <is>
          <t>$248.0 million</t>
        </is>
      </c>
    </row>
    <row r="379">
      <c r="B379" s="7" t="inlineStr">
        <is>
          <t>stack_te</t>
        </is>
      </c>
      <c r="C379" s="7" t="inlineStr">
        <is>
          <t>Back-leverage</t>
        </is>
      </c>
      <c r="D379" s="25" t="n">
        <v>120900000</v>
      </c>
      <c r="E379" s="25">
        <f>'Tax equity'!$C$25</f>
        <v/>
      </c>
      <c r="F379" s="25" t="n">
        <v>50005.000000001</v>
      </c>
      <c r="G379" s="14">
        <f>IF(ISNUMBER(E379),IF(ABS(E379-D379)&lt;=F379,"OK","ERROR"),"ERROR")</f>
        <v/>
      </c>
      <c r="H379" s="5" t="inlineStr">
        <is>
          <t>$120.9 million</t>
        </is>
      </c>
    </row>
    <row r="380">
      <c r="B380" s="7" t="inlineStr">
        <is>
          <t>stack_te</t>
        </is>
      </c>
      <c r="C380" s="7" t="inlineStr">
        <is>
          <t>Ashgrove's equity (difference of the printed values)</t>
        </is>
      </c>
      <c r="D380" s="25" t="n">
        <v>20300000</v>
      </c>
      <c r="E380" s="25">
        <f>ROUND('Tax equity'!$C$24/1000000,1)*1000000-ROUND('Tax equity'!$C$20/1000000,1)*1000000-ROUND('Tax equity'!$C$25/1000000,1)*1000000</f>
        <v/>
      </c>
      <c r="F380" s="25" t="n">
        <v>50005.000000001</v>
      </c>
      <c r="G380" s="14">
        <f>IF(ISNUMBER(E380),IF(ABS(E380-D380)&lt;=F380,"OK","ERROR"),"ERROR")</f>
        <v/>
      </c>
      <c r="H380" s="5" t="inlineStr">
        <is>
          <t>$20.3 million</t>
        </is>
      </c>
    </row>
    <row r="381">
      <c r="B381" s="7" t="inlineStr">
        <is>
          <t>stack_te</t>
        </is>
      </c>
      <c r="C381" s="7" t="inlineStr">
        <is>
          <t>Capital cost</t>
        </is>
      </c>
      <c r="D381" s="25" t="n">
        <v>221000000</v>
      </c>
      <c r="E381" s="25">
        <f>Capex!$C$13</f>
        <v/>
      </c>
      <c r="F381" s="25" t="n">
        <v>50005.000000001</v>
      </c>
      <c r="G381" s="14">
        <f>IF(ISNUMBER(E381),IF(ABS(E381-D381)&lt;=F381,"OK","ERROR"),"ERROR")</f>
        <v/>
      </c>
      <c r="H381" s="5" t="inlineStr">
        <is>
          <t>$221.0 million</t>
        </is>
      </c>
    </row>
    <row r="382">
      <c r="B382" s="7" t="inlineStr">
        <is>
          <t>stack_transfer</t>
        </is>
      </c>
      <c r="C382" s="7" t="inlineStr">
        <is>
          <t>Term debt</t>
        </is>
      </c>
      <c r="D382" s="25" t="n">
        <v>131800000</v>
      </c>
      <c r="E382" s="25">
        <f>'Tax equity'!$C$27</f>
        <v/>
      </c>
      <c r="F382" s="25" t="n">
        <v>50005.000000001</v>
      </c>
      <c r="G382" s="14">
        <f>IF(ISNUMBER(E382),IF(ABS(E382-D382)&lt;=F382,"OK","ERROR"),"ERROR")</f>
        <v/>
      </c>
      <c r="H382" s="5" t="inlineStr">
        <is>
          <t>$131.8 million</t>
        </is>
      </c>
    </row>
    <row r="383">
      <c r="B383" s="7" t="inlineStr">
        <is>
          <t>stack_transfer</t>
        </is>
      </c>
      <c r="C383" s="7" t="inlineStr">
        <is>
          <t>Ashgrove's equity (difference of the printed values)</t>
        </is>
      </c>
      <c r="D383" s="25" t="n">
        <v>116200000</v>
      </c>
      <c r="E383" s="25">
        <f>ROUND('Tax equity'!$C$24/1000000,1)*1000000-ROUND('Tax equity'!$C$27/1000000,1)*1000000</f>
        <v/>
      </c>
      <c r="F383" s="25" t="n">
        <v>50005.000000001</v>
      </c>
      <c r="G383" s="14">
        <f>IF(ISNUMBER(E383),IF(ABS(E383-D383)&lt;=F383,"OK","ERROR"),"ERROR")</f>
        <v/>
      </c>
      <c r="H383" s="5" t="inlineStr">
        <is>
          <t>$116.2 million</t>
        </is>
      </c>
    </row>
    <row r="384">
      <c r="B384" s="7" t="inlineStr">
        <is>
          <t>stack_transfer</t>
        </is>
      </c>
      <c r="C384" s="7" t="inlineStr">
        <is>
          <t>Ashgrove's equity equals debt_U equity</t>
        </is>
      </c>
      <c r="D384" s="25" t="n">
        <v>116200000</v>
      </c>
      <c r="E384" s="25">
        <f>Debt!$C$21</f>
        <v/>
      </c>
      <c r="F384" s="25" t="n">
        <v>50005.000000001</v>
      </c>
      <c r="G384" s="14">
        <f>IF(ISNUMBER(E384),IF(ABS(E384-D384)&lt;=F384,"OK","ERROR"),"ERROR")</f>
        <v/>
      </c>
      <c r="H384" s="5" t="inlineStr">
        <is>
          <t>$116.2 million</t>
        </is>
      </c>
    </row>
    <row r="385">
      <c r="B385" s="7" t="inlineStr">
        <is>
          <t>stack_transfer</t>
        </is>
      </c>
      <c r="C385" s="7" t="inlineStr">
        <is>
          <t>PTC cash 2028</t>
        </is>
      </c>
      <c r="D385" s="25" t="n">
        <v>10270000</v>
      </c>
      <c r="E385" s="25">
        <f>'Tax equity'!$C$29</f>
        <v/>
      </c>
      <c r="F385" s="25" t="n">
        <v>5000.500000001</v>
      </c>
      <c r="G385" s="14">
        <f>IF(ISNUMBER(E385),IF(ABS(E385-D385)&lt;=F385,"OK","ERROR"),"ERROR")</f>
        <v/>
      </c>
      <c r="H385" s="5" t="inlineStr">
        <is>
          <t>$10.27 million</t>
        </is>
      </c>
    </row>
    <row r="386">
      <c r="B386" s="7" t="inlineStr">
        <is>
          <t>wind_capex</t>
        </is>
      </c>
      <c r="C386" s="7" t="inlineStr">
        <is>
          <t>Total</t>
        </is>
      </c>
      <c r="D386" s="25" t="n">
        <v>328600000</v>
      </c>
      <c r="E386" s="25">
        <f>Wind!$C$27</f>
        <v/>
      </c>
      <c r="F386" s="25" t="n">
        <v>50005.000000001</v>
      </c>
      <c r="G386" s="14">
        <f>IF(ISNUMBER(E386),IF(ABS(E386-D386)&lt;=F386,"OK","ERROR"),"ERROR")</f>
        <v/>
      </c>
      <c r="H386" s="5" t="inlineStr">
        <is>
          <t>$328.6 million</t>
        </is>
      </c>
    </row>
    <row r="387">
      <c r="B387" s="7" t="inlineStr">
        <is>
          <t>wind_capex</t>
        </is>
      </c>
      <c r="C387" s="7" t="inlineStr">
        <is>
          <t>Per kW</t>
        </is>
      </c>
      <c r="D387" s="42" t="n">
        <v>2191</v>
      </c>
      <c r="E387" s="42">
        <f>Wind!$C$28</f>
        <v/>
      </c>
      <c r="F387" s="42" t="n">
        <v>0.500050001</v>
      </c>
      <c r="G387" s="14">
        <f>IF(ISNUMBER(E387),IF(ABS(E387-D387)&lt;=F387,"OK","ERROR"),"ERROR")</f>
        <v/>
      </c>
      <c r="H387" s="5" t="inlineStr">
        <is>
          <t>$2,191</t>
        </is>
      </c>
    </row>
    <row r="388">
      <c r="B388" s="7" t="inlineStr">
        <is>
          <t>wind_capex</t>
        </is>
      </c>
      <c r="C388" s="7" t="inlineStr">
        <is>
          <t>Turbines</t>
        </is>
      </c>
      <c r="D388" s="25" t="n">
        <v>187500000</v>
      </c>
      <c r="E388" s="25">
        <f>Wind!$C$21</f>
        <v/>
      </c>
      <c r="F388" s="25" t="n">
        <v>50005.000000001</v>
      </c>
      <c r="G388" s="14">
        <f>IF(ISNUMBER(E388),IF(ABS(E388-D388)&lt;=F388,"OK","ERROR"),"ERROR")</f>
        <v/>
      </c>
      <c r="H388" s="5" t="inlineStr">
        <is>
          <t>$187.5 million</t>
        </is>
      </c>
    </row>
    <row r="389">
      <c r="B389" s="7" t="inlineStr">
        <is>
          <t>wind_capex</t>
        </is>
      </c>
      <c r="C389" s="7" t="inlineStr">
        <is>
          <t>Balance of plant</t>
        </is>
      </c>
      <c r="D389" s="25" t="n">
        <v>84000000</v>
      </c>
      <c r="E389" s="25">
        <f>Wind!$C$22</f>
        <v/>
      </c>
      <c r="F389" s="25" t="n">
        <v>50005.000000001</v>
      </c>
      <c r="G389" s="14">
        <f>IF(ISNUMBER(E389),IF(ABS(E389-D389)&lt;=F389,"OK","ERROR"),"ERROR")</f>
        <v/>
      </c>
      <c r="H389" s="5" t="inlineStr">
        <is>
          <t>$84.0 million</t>
        </is>
      </c>
    </row>
    <row r="390">
      <c r="B390" s="7" t="inlineStr">
        <is>
          <t>wind_capex</t>
        </is>
      </c>
      <c r="C390" s="7" t="inlineStr">
        <is>
          <t>Contingency</t>
        </is>
      </c>
      <c r="D390" s="25" t="n">
        <v>14100000</v>
      </c>
      <c r="E390" s="25">
        <f>Wind!$C$24</f>
        <v/>
      </c>
      <c r="F390" s="25" t="n">
        <v>50005.000000001</v>
      </c>
      <c r="G390" s="14">
        <f>IF(ISNUMBER(E390),IF(ABS(E390-D390)&lt;=F390,"OK","ERROR"),"ERROR")</f>
        <v/>
      </c>
      <c r="H390" s="5" t="inlineStr">
        <is>
          <t>$14.1 million</t>
        </is>
      </c>
    </row>
    <row r="391">
      <c r="B391" s="7" t="inlineStr">
        <is>
          <t>wind_vs_solar_capex</t>
        </is>
      </c>
      <c r="C391" s="7" t="inlineStr">
        <is>
          <t>Energy per kW ratio</t>
        </is>
      </c>
      <c r="D391" s="32" t="n">
        <v>1.38</v>
      </c>
      <c r="E391" s="32">
        <f>Wind!$C$30</f>
        <v/>
      </c>
      <c r="F391" s="32" t="n">
        <v>0.005000501</v>
      </c>
      <c r="G391" s="14">
        <f>IF(ISNUMBER(E391),IF(ABS(E391-D391)&lt;=F391,"OK","ERROR"),"ERROR")</f>
        <v/>
      </c>
      <c r="H391" s="5" t="inlineStr">
        <is>
          <t>1.38</t>
        </is>
      </c>
    </row>
    <row r="392">
      <c r="B392" s="7" t="inlineStr">
        <is>
          <t>wind_credit</t>
        </is>
      </c>
      <c r="C392" s="7" t="inlineStr">
        <is>
          <t>Value with the PTC</t>
        </is>
      </c>
      <c r="D392" s="25" t="n">
        <v>53000000</v>
      </c>
      <c r="E392" s="25">
        <f>Wind!$C$35</f>
        <v/>
      </c>
      <c r="F392" s="25" t="n">
        <v>50005.000000001</v>
      </c>
      <c r="G392" s="14">
        <f>IF(ISNUMBER(E392),IF(ABS(E392-D392)&lt;=F392,"OK","ERROR"),"ERROR")</f>
        <v/>
      </c>
      <c r="H392" s="5" t="inlineStr">
        <is>
          <t>$53.0 million</t>
        </is>
      </c>
    </row>
    <row r="393">
      <c r="B393" s="7" t="inlineStr">
        <is>
          <t>wind_credit</t>
        </is>
      </c>
      <c r="C393" s="7" t="inlineStr">
        <is>
          <t>Value without the PTC</t>
        </is>
      </c>
      <c r="D393" s="25" t="n">
        <v>-49800000</v>
      </c>
      <c r="E393" s="25">
        <f>Wind!$C$36</f>
        <v/>
      </c>
      <c r="F393" s="25" t="n">
        <v>50005.000000001</v>
      </c>
      <c r="G393" s="14">
        <f>IF(ISNUMBER(E393),IF(ABS(E393-D393)&lt;=F393,"OK","ERROR"),"ERROR")</f>
        <v/>
      </c>
      <c r="H393" s="5" t="inlineStr">
        <is>
          <t>minus $49.8 million</t>
        </is>
      </c>
    </row>
    <row r="394">
      <c r="B394" s="7" t="inlineStr">
        <is>
          <t>wind_credit</t>
        </is>
      </c>
      <c r="C394" s="7" t="inlineStr">
        <is>
          <t>Break-even without the credit</t>
        </is>
      </c>
      <c r="D394" s="42" t="n">
        <v>69.14</v>
      </c>
      <c r="E394" s="42">
        <f>Wind!$C$37</f>
        <v/>
      </c>
      <c r="F394" s="42" t="n">
        <v>0.005000501</v>
      </c>
      <c r="G394" s="14">
        <f>IF(ISNUMBER(E394),IF(ABS(E394-D394)&lt;=F394,"OK","ERROR"),"ERROR")</f>
        <v/>
      </c>
      <c r="H394" s="5" t="inlineStr">
        <is>
          <t>$69.14</t>
        </is>
      </c>
    </row>
    <row r="395">
      <c r="B395" s="7" t="inlineStr">
        <is>
          <t>wind_credit</t>
        </is>
      </c>
      <c r="C395" s="7" t="inlineStr">
        <is>
          <t>Break-even with the credit</t>
        </is>
      </c>
      <c r="D395" s="42" t="n">
        <v>50.28</v>
      </c>
      <c r="E395" s="42">
        <f>Wind!$C$38</f>
        <v/>
      </c>
      <c r="F395" s="42" t="n">
        <v>0.005000501</v>
      </c>
      <c r="G395" s="14">
        <f>IF(ISNUMBER(E395),IF(ABS(E395-D395)&lt;=F395,"OK","ERROR"),"ERROR")</f>
        <v/>
      </c>
      <c r="H395" s="5" t="inlineStr">
        <is>
          <t>$50.28</t>
        </is>
      </c>
    </row>
    <row r="396">
      <c r="B396" s="7" t="inlineStr">
        <is>
          <t>wind_ptc_2028</t>
        </is>
      </c>
      <c r="C396" s="7" t="inlineStr">
        <is>
          <t>Wind PTC 2028</t>
        </is>
      </c>
      <c r="D396" s="25" t="n">
        <v>14220000</v>
      </c>
      <c r="E396" s="25">
        <f>Wind!$C$39</f>
        <v/>
      </c>
      <c r="F396" s="25" t="n">
        <v>5000.500000001</v>
      </c>
      <c r="G396" s="14">
        <f>IF(ISNUMBER(E396),IF(ABS(E396-D396)&lt;=F396,"OK","ERROR"),"ERROR")</f>
        <v/>
      </c>
      <c r="H396" s="5" t="inlineStr">
        <is>
          <t>$14.22 million</t>
        </is>
      </c>
    </row>
    <row r="397">
      <c r="B397" s="7" t="inlineStr">
        <is>
          <t>hybrid</t>
        </is>
      </c>
      <c r="C397" s="7" t="inlineStr">
        <is>
          <t>Capital cost</t>
        </is>
      </c>
      <c r="D397" s="25" t="n">
        <v>72000000</v>
      </c>
      <c r="E397" s="25">
        <f>Hybrid!$C$23</f>
        <v/>
      </c>
      <c r="F397" s="25" t="n">
        <v>50005.000000001</v>
      </c>
      <c r="G397" s="14">
        <f>IF(ISNUMBER(E397),IF(ABS(E397-D397)&lt;=F397,"OK","ERROR"),"ERROR")</f>
        <v/>
      </c>
      <c r="H397" s="5" t="inlineStr">
        <is>
          <t>$72.0 million</t>
        </is>
      </c>
    </row>
    <row r="398">
      <c r="B398" s="7" t="inlineStr">
        <is>
          <t>hybrid</t>
        </is>
      </c>
      <c r="C398" s="7" t="inlineStr">
        <is>
          <t>Storage ITC cash</t>
        </is>
      </c>
      <c r="D398" s="25" t="n">
        <v>20100000</v>
      </c>
      <c r="E398" s="25">
        <f>Hybrid!$C$24</f>
        <v/>
      </c>
      <c r="F398" s="25" t="n">
        <v>50005.000000001</v>
      </c>
      <c r="G398" s="14">
        <f>IF(ISNUMBER(E398),IF(ABS(E398-D398)&lt;=F398,"OK","ERROR"),"ERROR")</f>
        <v/>
      </c>
      <c r="H398" s="5" t="inlineStr">
        <is>
          <t>$20.1 million</t>
        </is>
      </c>
    </row>
    <row r="399">
      <c r="B399" s="7" t="inlineStr">
        <is>
          <t>hybrid_2028</t>
        </is>
      </c>
      <c r="C399" s="7" t="inlineStr">
        <is>
          <t>Discharged MWh</t>
        </is>
      </c>
      <c r="D399" s="32" t="n">
        <v>87300</v>
      </c>
      <c r="E399" s="32">
        <f>Hybrid!$D$9</f>
        <v/>
      </c>
      <c r="F399" s="32" t="n">
        <v>0.500050001</v>
      </c>
      <c r="G399" s="14">
        <f>IF(ISNUMBER(E399),IF(ABS(E399-D399)&lt;=F399,"OK","ERROR"),"ERROR")</f>
        <v/>
      </c>
      <c r="H399" s="5" t="inlineStr">
        <is>
          <t>87,300</t>
        </is>
      </c>
    </row>
    <row r="400">
      <c r="B400" s="7" t="inlineStr">
        <is>
          <t>hybrid_2028</t>
        </is>
      </c>
      <c r="C400" s="7" t="inlineStr">
        <is>
          <t>Shifting margin</t>
        </is>
      </c>
      <c r="D400" s="25" t="n">
        <v>3650000</v>
      </c>
      <c r="E400" s="25">
        <f>Hybrid!$D$13</f>
        <v/>
      </c>
      <c r="F400" s="25" t="n">
        <v>5000.500000001</v>
      </c>
      <c r="G400" s="14">
        <f>IF(ISNUMBER(E400),IF(ABS(E400-D400)&lt;=F400,"OK","ERROR"),"ERROR")</f>
        <v/>
      </c>
      <c r="H400" s="5" t="inlineStr">
        <is>
          <t>$3.65 million</t>
        </is>
      </c>
    </row>
    <row r="401">
      <c r="B401" s="7" t="inlineStr">
        <is>
          <t>hybrid_2028</t>
        </is>
      </c>
      <c r="C401" s="7" t="inlineStr">
        <is>
          <t>Clipped energy</t>
        </is>
      </c>
      <c r="D401" s="25" t="n">
        <v>250000</v>
      </c>
      <c r="E401" s="25">
        <f>Hybrid!$D$14</f>
        <v/>
      </c>
      <c r="F401" s="25" t="n">
        <v>5000.500000001</v>
      </c>
      <c r="G401" s="14">
        <f>IF(ISNUMBER(E401),IF(ABS(E401-D401)&lt;=F401,"OK","ERROR"),"ERROR")</f>
        <v/>
      </c>
      <c r="H401" s="5" t="inlineStr">
        <is>
          <t>$0.25 million</t>
        </is>
      </c>
    </row>
    <row r="402">
      <c r="B402" s="7" t="inlineStr">
        <is>
          <t>hybrid_2028</t>
        </is>
      </c>
      <c r="C402" s="7" t="inlineStr">
        <is>
          <t>Capacity</t>
        </is>
      </c>
      <c r="D402" s="25" t="n">
        <v>2630000</v>
      </c>
      <c r="E402" s="25">
        <f>Hybrid!$D$16</f>
        <v/>
      </c>
      <c r="F402" s="25" t="n">
        <v>5000.500000001</v>
      </c>
      <c r="G402" s="14">
        <f>IF(ISNUMBER(E402),IF(ABS(E402-D402)&lt;=F402,"OK","ERROR"),"ERROR")</f>
        <v/>
      </c>
      <c r="H402" s="5" t="inlineStr">
        <is>
          <t>$2.63 million</t>
        </is>
      </c>
    </row>
    <row r="403">
      <c r="B403" s="7" t="inlineStr">
        <is>
          <t>hybrid_2028</t>
        </is>
      </c>
      <c r="C403" s="7" t="inlineStr">
        <is>
          <t>Operating cost</t>
        </is>
      </c>
      <c r="D403" s="25" t="n">
        <v>900000</v>
      </c>
      <c r="E403" s="25">
        <f>Hybrid!$D$17</f>
        <v/>
      </c>
      <c r="F403" s="25" t="n">
        <v>5000.500000001</v>
      </c>
      <c r="G403" s="14">
        <f>IF(ISNUMBER(E403),IF(ABS(E403-D403)&lt;=F403,"OK","ERROR"),"ERROR")</f>
        <v/>
      </c>
      <c r="H403" s="5" t="inlineStr">
        <is>
          <t>$0.90 million</t>
        </is>
      </c>
    </row>
    <row r="404">
      <c r="B404" s="7" t="inlineStr">
        <is>
          <t>hybrid_2028</t>
        </is>
      </c>
      <c r="C404" s="7" t="inlineStr">
        <is>
          <t>EBITDA (sum of the printed lines)</t>
        </is>
      </c>
      <c r="D404" s="25" t="n">
        <v>5630000</v>
      </c>
      <c r="E404" s="25">
        <f>ROUND(Hybrid!$D$13/1000000,2)*1000000+ROUND(Hybrid!$D$14/1000000,2)*1000000+ROUND(Hybrid!$D$16/1000000,2)*1000000-ROUND(Hybrid!$D$17/1000000,2)*1000000</f>
        <v/>
      </c>
      <c r="F404" s="25" t="n">
        <v>5000.500000001</v>
      </c>
      <c r="G404" s="14">
        <f>IF(ISNUMBER(E404),IF(ABS(E404-D404)&lt;=F404,"OK","ERROR"),"ERROR")</f>
        <v/>
      </c>
      <c r="H404" s="5" t="inlineStr">
        <is>
          <t>$5.63 million</t>
        </is>
      </c>
    </row>
    <row r="405">
      <c r="B405" s="7" t="inlineStr">
        <is>
          <t>hybrid_2028</t>
        </is>
      </c>
      <c r="C405" s="7" t="inlineStr">
        <is>
          <t>EBITDA, exact</t>
        </is>
      </c>
      <c r="D405" s="25" t="n">
        <v>5630000</v>
      </c>
      <c r="E405" s="25">
        <f>Hybrid!$D$18</f>
        <v/>
      </c>
      <c r="F405" s="25" t="n">
        <v>10001.000000001</v>
      </c>
      <c r="G405" s="14">
        <f>IF(ISNUMBER(E405),IF(ABS(E405-D405)&lt;=F405,"OK","ERROR"),"ERROR")</f>
        <v/>
      </c>
      <c r="H405" s="5" t="inlineStr">
        <is>
          <t>$5.63 million</t>
        </is>
      </c>
    </row>
    <row r="406">
      <c r="B406" s="7" t="inlineStr">
        <is>
          <t>hybrid_value</t>
        </is>
      </c>
      <c r="C406" s="7" t="inlineStr">
        <is>
          <t>Merchant</t>
        </is>
      </c>
      <c r="D406" s="25" t="n">
        <v>-16000000</v>
      </c>
      <c r="E406" s="25">
        <f>Hybrid!$C$25</f>
        <v/>
      </c>
      <c r="F406" s="25" t="n">
        <v>50005.000000001</v>
      </c>
      <c r="G406" s="14">
        <f>IF(ISNUMBER(E406),IF(ABS(E406-D406)&lt;=F406,"OK","ERROR"),"ERROR")</f>
        <v/>
      </c>
      <c r="H406" s="5" t="inlineStr">
        <is>
          <t>minus $16.0 million</t>
        </is>
      </c>
    </row>
    <row r="407">
      <c r="B407" s="7" t="inlineStr">
        <is>
          <t>hybrid_value</t>
        </is>
      </c>
      <c r="C407" s="7" t="inlineStr">
        <is>
          <t>Capacity contract $8</t>
        </is>
      </c>
      <c r="D407" s="25" t="n">
        <v>17300000</v>
      </c>
      <c r="E407" s="25">
        <f>Hybrid!$C$27</f>
        <v/>
      </c>
      <c r="F407" s="25" t="n">
        <v>50005.000000001</v>
      </c>
      <c r="G407" s="14">
        <f>IF(ISNUMBER(E407),IF(ABS(E407-D407)&lt;=F407,"OK","ERROR"),"ERROR")</f>
        <v/>
      </c>
      <c r="H407" s="5" t="inlineStr">
        <is>
          <t>$17.3 million</t>
        </is>
      </c>
    </row>
    <row r="408">
      <c r="B408" s="7" t="inlineStr">
        <is>
          <t>hybrid_cc7</t>
        </is>
      </c>
      <c r="C408" s="7" t="inlineStr">
        <is>
          <t>Capacity contract $7</t>
        </is>
      </c>
      <c r="D408" s="25" t="n">
        <v>11300000</v>
      </c>
      <c r="E408" s="25">
        <f>Hybrid!$C$26</f>
        <v/>
      </c>
      <c r="F408" s="25" t="n">
        <v>50005.000000001</v>
      </c>
      <c r="G408" s="14">
        <f>IF(ISNUMBER(E408),IF(ABS(E408-D408)&lt;=F408,"OK","ERROR"),"ERROR")</f>
        <v/>
      </c>
      <c r="H408" s="5" t="inlineStr">
        <is>
          <t>$11.3 million</t>
        </is>
      </c>
    </row>
    <row r="409">
      <c r="B409" s="7" t="inlineStr">
        <is>
          <t>hybrid_cc9</t>
        </is>
      </c>
      <c r="C409" s="7" t="inlineStr">
        <is>
          <t>Capacity contract $9</t>
        </is>
      </c>
      <c r="D409" s="25" t="n">
        <v>23200000</v>
      </c>
      <c r="E409" s="25">
        <f>Hybrid!$C$28</f>
        <v/>
      </c>
      <c r="F409" s="25" t="n">
        <v>50005.000000001</v>
      </c>
      <c r="G409" s="14">
        <f>IF(ISNUMBER(E409),IF(ABS(E409-D409)&lt;=F409,"OK","ERROR"),"ERROR")</f>
        <v/>
      </c>
      <c r="H409" s="5" t="inlineStr">
        <is>
          <t>$23.2 million</t>
        </is>
      </c>
    </row>
    <row r="410">
      <c r="B410" s="7" t="inlineStr">
        <is>
          <t>delay_ld</t>
        </is>
      </c>
      <c r="C410" s="7" t="inlineStr">
        <is>
          <t>Damages a day</t>
        </is>
      </c>
      <c r="D410" s="42" t="n">
        <v>52500</v>
      </c>
      <c r="E410" s="42">
        <f>EPC!$C$5</f>
        <v/>
      </c>
      <c r="F410" s="42" t="n">
        <v>0.500050001</v>
      </c>
      <c r="G410" s="14">
        <f>IF(ISNUMBER(E410),IF(ABS(E410-D410)&lt;=F410,"OK","ERROR"),"ERROR")</f>
        <v/>
      </c>
      <c r="H410" s="5" t="inlineStr">
        <is>
          <t>$52,500</t>
        </is>
      </c>
    </row>
    <row r="411">
      <c r="B411" s="7" t="inlineStr">
        <is>
          <t>delay_ld</t>
        </is>
      </c>
      <c r="C411" s="7" t="inlineStr">
        <is>
          <t>Damages a month</t>
        </is>
      </c>
      <c r="D411" s="25" t="n">
        <v>1600000</v>
      </c>
      <c r="E411" s="25">
        <f>EPC!$C$6</f>
        <v/>
      </c>
      <c r="F411" s="25" t="n">
        <v>5000.500000001</v>
      </c>
      <c r="G411" s="14">
        <f>IF(ISNUMBER(E411),IF(ABS(E411-D411)&lt;=F411,"OK","ERROR"),"ERROR")</f>
        <v/>
      </c>
      <c r="H411" s="5" t="inlineStr">
        <is>
          <t>$1.60 million</t>
        </is>
      </c>
    </row>
    <row r="412">
      <c r="B412" s="7" t="inlineStr">
        <is>
          <t>delay_ld</t>
        </is>
      </c>
      <c r="C412" s="7" t="inlineStr">
        <is>
          <t>Cap</t>
        </is>
      </c>
      <c r="D412" s="25" t="n">
        <v>18900000</v>
      </c>
      <c r="E412" s="25">
        <f>EPC!$C$7</f>
        <v/>
      </c>
      <c r="F412" s="25" t="n">
        <v>50005.000000001</v>
      </c>
      <c r="G412" s="14">
        <f>IF(ISNUMBER(E412),IF(ABS(E412-D412)&lt;=F412,"OK","ERROR"),"ERROR")</f>
        <v/>
      </c>
      <c r="H412" s="5" t="inlineStr">
        <is>
          <t>$18.9 million</t>
        </is>
      </c>
    </row>
    <row r="413">
      <c r="B413" s="7" t="inlineStr">
        <is>
          <t>delay_cost</t>
        </is>
      </c>
      <c r="C413" s="7" t="inlineStr">
        <is>
          <t>Margin, one month</t>
        </is>
      </c>
      <c r="D413" s="25" t="n">
        <v>1230000</v>
      </c>
      <c r="E413" s="25">
        <f>EPC!$C$13</f>
        <v/>
      </c>
      <c r="F413" s="25" t="n">
        <v>5000.500000001</v>
      </c>
      <c r="G413" s="14">
        <f>IF(ISNUMBER(E413),IF(ABS(E413-D413)&lt;=F413,"OK","ERROR"),"ERROR")</f>
        <v/>
      </c>
      <c r="H413" s="5" t="inlineStr">
        <is>
          <t>$1.23 million</t>
        </is>
      </c>
    </row>
    <row r="414">
      <c r="B414" s="7" t="inlineStr">
        <is>
          <t>delay_cost</t>
        </is>
      </c>
      <c r="C414" s="7" t="inlineStr">
        <is>
          <t>PTC time value, one month</t>
        </is>
      </c>
      <c r="D414" s="25" t="n">
        <v>420000</v>
      </c>
      <c r="E414" s="25">
        <f>EPC!$D$13</f>
        <v/>
      </c>
      <c r="F414" s="25" t="n">
        <v>5000.500000001</v>
      </c>
      <c r="G414" s="14">
        <f>IF(ISNUMBER(E414),IF(ABS(E414-D414)&lt;=F414,"OK","ERROR"),"ERROR")</f>
        <v/>
      </c>
      <c r="H414" s="5" t="inlineStr">
        <is>
          <t>$0.42 million</t>
        </is>
      </c>
    </row>
    <row r="415">
      <c r="B415" s="7" t="inlineStr">
        <is>
          <t>delay_cost</t>
        </is>
      </c>
      <c r="C415" s="7" t="inlineStr">
        <is>
          <t>Total, one month (sum of the printed lines)</t>
        </is>
      </c>
      <c r="D415" s="25" t="n">
        <v>1650000</v>
      </c>
      <c r="E415" s="25">
        <f>ROUND(EPC!$C$13/1000000,2)*1000000+ROUND(EPC!$D$13/1000000,2)*1000000</f>
        <v/>
      </c>
      <c r="F415" s="25" t="n">
        <v>5000.500000001</v>
      </c>
      <c r="G415" s="14">
        <f>IF(ISNUMBER(E415),IF(ABS(E415-D415)&lt;=F415,"OK","ERROR"),"ERROR")</f>
        <v/>
      </c>
      <c r="H415" s="5" t="inlineStr">
        <is>
          <t>$1.65 million</t>
        </is>
      </c>
    </row>
    <row r="416">
      <c r="B416" s="7" t="inlineStr">
        <is>
          <t>delay_cost</t>
        </is>
      </c>
      <c r="C416" s="7" t="inlineStr">
        <is>
          <t>Left with Ashgrove after damages (printed lines)</t>
        </is>
      </c>
      <c r="D416" s="25" t="n">
        <v>50000</v>
      </c>
      <c r="E416" s="25">
        <f>ROUND(EPC!$C$13/1000000,2)*1000000+ROUND(EPC!$D$13/1000000,2)*1000000-ROUND(EPC!$C$6/1000000,2)*1000000</f>
        <v/>
      </c>
      <c r="F416" s="25" t="n">
        <v>5000.500000001</v>
      </c>
      <c r="G416" s="14">
        <f>IF(ISNUMBER(E416),IF(ABS(E416-D416)&lt;=F416,"OK","ERROR"),"ERROR")</f>
        <v/>
      </c>
      <c r="H416" s="5" t="inlineStr">
        <is>
          <t>$0.05 million</t>
        </is>
      </c>
    </row>
    <row r="417">
      <c r="B417" s="7" t="inlineStr">
        <is>
          <t>delay_cost</t>
        </is>
      </c>
      <c r="C417" s="7" t="inlineStr">
        <is>
          <t>Damages a month</t>
        </is>
      </c>
      <c r="D417" s="25" t="n">
        <v>1600000</v>
      </c>
      <c r="E417" s="25">
        <f>EPC!$C$6</f>
        <v/>
      </c>
      <c r="F417" s="25" t="n">
        <v>5000.500000001</v>
      </c>
      <c r="G417" s="14">
        <f>IF(ISNUMBER(E417),IF(ABS(E417-D417)&lt;=F417,"OK","ERROR"),"ERROR")</f>
        <v/>
      </c>
      <c r="H417" s="5" t="inlineStr">
        <is>
          <t>$1.60 million</t>
        </is>
      </c>
    </row>
    <row r="418">
      <c r="B418" s="7" t="inlineStr">
        <is>
          <t>delay_3m</t>
        </is>
      </c>
      <c r="C418" s="7" t="inlineStr">
        <is>
          <t>Margin</t>
        </is>
      </c>
      <c r="D418" s="25" t="n">
        <v>3680000</v>
      </c>
      <c r="E418" s="25">
        <f>EPC!$C$14</f>
        <v/>
      </c>
      <c r="F418" s="25" t="n">
        <v>5000.500000001</v>
      </c>
      <c r="G418" s="14">
        <f>IF(ISNUMBER(E418),IF(ABS(E418-D418)&lt;=F418,"OK","ERROR"),"ERROR")</f>
        <v/>
      </c>
      <c r="H418" s="5" t="inlineStr">
        <is>
          <t>$3.68 million</t>
        </is>
      </c>
    </row>
    <row r="419">
      <c r="B419" s="7" t="inlineStr">
        <is>
          <t>delay_3m</t>
        </is>
      </c>
      <c r="C419" s="7" t="inlineStr">
        <is>
          <t>PTC time value</t>
        </is>
      </c>
      <c r="D419" s="25" t="n">
        <v>1260000</v>
      </c>
      <c r="E419" s="25">
        <f>EPC!$D$14</f>
        <v/>
      </c>
      <c r="F419" s="25" t="n">
        <v>5000.500000001</v>
      </c>
      <c r="G419" s="14">
        <f>IF(ISNUMBER(E419),IF(ABS(E419-D419)&lt;=F419,"OK","ERROR"),"ERROR")</f>
        <v/>
      </c>
      <c r="H419" s="5" t="inlineStr">
        <is>
          <t>$1.26 million</t>
        </is>
      </c>
    </row>
    <row r="420">
      <c r="B420" s="7" t="inlineStr">
        <is>
          <t>delay_3m</t>
        </is>
      </c>
      <c r="C420" s="7" t="inlineStr">
        <is>
          <t>Delay damages</t>
        </is>
      </c>
      <c r="D420" s="25" t="n">
        <v>4790000</v>
      </c>
      <c r="E420" s="25">
        <f>EPC!$G$14</f>
        <v/>
      </c>
      <c r="F420" s="25" t="n">
        <v>5000.500000001</v>
      </c>
      <c r="G420" s="14">
        <f>IF(ISNUMBER(E420),IF(ABS(E420-D420)&lt;=F420,"OK","ERROR"),"ERROR")</f>
        <v/>
      </c>
      <c r="H420" s="5" t="inlineStr">
        <is>
          <t>$4.79 million</t>
        </is>
      </c>
    </row>
    <row r="421">
      <c r="B421" s="7" t="inlineStr">
        <is>
          <t>delay_3m</t>
        </is>
      </c>
      <c r="C421" s="7" t="inlineStr">
        <is>
          <t>Total (sum of the printed lines)</t>
        </is>
      </c>
      <c r="D421" s="25" t="n">
        <v>4940000</v>
      </c>
      <c r="E421" s="25">
        <f>ROUND(EPC!$C$14/1000000,2)*1000000+ROUND(EPC!$D$14/1000000,2)*1000000</f>
        <v/>
      </c>
      <c r="F421" s="25" t="n">
        <v>5000.500000001</v>
      </c>
      <c r="G421" s="14">
        <f>IF(ISNUMBER(E421),IF(ABS(E421-D421)&lt;=F421,"OK","ERROR"),"ERROR")</f>
        <v/>
      </c>
      <c r="H421" s="5" t="inlineStr">
        <is>
          <t>$4.94 million</t>
        </is>
      </c>
    </row>
    <row r="422">
      <c r="B422" s="7" t="inlineStr">
        <is>
          <t>delay_3m</t>
        </is>
      </c>
      <c r="C422" s="7" t="inlineStr">
        <is>
          <t>Left with Ashgrove (printed lines)</t>
        </is>
      </c>
      <c r="D422" s="25" t="n">
        <v>150000</v>
      </c>
      <c r="E422" s="25">
        <f>ROUND(EPC!$C$14/1000000,2)*1000000+ROUND(EPC!$D$14/1000000,2)*1000000-ROUND(EPC!$G$14/1000000,2)*1000000</f>
        <v/>
      </c>
      <c r="F422" s="25" t="n">
        <v>5000.500000001</v>
      </c>
      <c r="G422" s="14">
        <f>IF(ISNUMBER(E422),IF(ABS(E422-D422)&lt;=F422,"OK","ERROR"),"ERROR")</f>
        <v/>
      </c>
      <c r="H422" s="5" t="inlineStr">
        <is>
          <t>$0.15 million</t>
        </is>
      </c>
    </row>
    <row r="423">
      <c r="B423" s="7" t="inlineStr">
        <is>
          <t>delay_3m</t>
        </is>
      </c>
      <c r="C423" s="7" t="inlineStr">
        <is>
          <t>Days</t>
        </is>
      </c>
      <c r="D423" s="32" t="n">
        <v>91.2</v>
      </c>
      <c r="E423" s="32">
        <f>EPC!$F$14</f>
        <v/>
      </c>
      <c r="F423" s="32" t="n">
        <v>0.050005001</v>
      </c>
      <c r="G423" s="14">
        <f>IF(ISNUMBER(E423),IF(ABS(E423-D423)&lt;=F423,"OK","ERROR"),"ERROR")</f>
        <v/>
      </c>
      <c r="H423" s="5" t="inlineStr">
        <is>
          <t>91.2</t>
        </is>
      </c>
    </row>
    <row r="424">
      <c r="B424" s="7" t="inlineStr">
        <is>
          <t>delay_3m</t>
        </is>
      </c>
      <c r="C424" s="7" t="inlineStr">
        <is>
          <t>Damages a day</t>
        </is>
      </c>
      <c r="D424" s="42" t="n">
        <v>52500</v>
      </c>
      <c r="E424" s="42">
        <f>EPC!$C$5</f>
        <v/>
      </c>
      <c r="F424" s="42" t="n">
        <v>0.500050001</v>
      </c>
      <c r="G424" s="14">
        <f>IF(ISNUMBER(E424),IF(ABS(E424-D424)&lt;=F424,"OK","ERROR"),"ERROR")</f>
        <v/>
      </c>
      <c r="H424" s="5" t="inlineStr">
        <is>
          <t>$52,500</t>
        </is>
      </c>
    </row>
    <row r="425">
      <c r="B425" s="7" t="inlineStr">
        <is>
          <t>delay_3m</t>
        </is>
      </c>
      <c r="C425" s="7" t="inlineStr">
        <is>
          <t>Cap</t>
        </is>
      </c>
      <c r="D425" s="25" t="n">
        <v>18900000</v>
      </c>
      <c r="E425" s="25">
        <f>EPC!$C$7</f>
        <v/>
      </c>
      <c r="F425" s="25" t="n">
        <v>50005.000000001</v>
      </c>
      <c r="G425" s="14">
        <f>IF(ISNUMBER(E425),IF(ABS(E425-D425)&lt;=F425,"OK","ERROR"),"ERROR")</f>
        <v/>
      </c>
      <c r="H425" s="5" t="inlineStr">
        <is>
          <t>$18.9 million</t>
        </is>
      </c>
    </row>
    <row r="426">
      <c r="B426" s="7" t="inlineStr">
        <is>
          <t>delay_6m</t>
        </is>
      </c>
      <c r="C426" s="7" t="inlineStr">
        <is>
          <t>Margin</t>
        </is>
      </c>
      <c r="D426" s="25" t="n">
        <v>7360000</v>
      </c>
      <c r="E426" s="25">
        <f>EPC!$C$15</f>
        <v/>
      </c>
      <c r="F426" s="25" t="n">
        <v>5000.500000001</v>
      </c>
      <c r="G426" s="14">
        <f>IF(ISNUMBER(E426),IF(ABS(E426-D426)&lt;=F426,"OK","ERROR"),"ERROR")</f>
        <v/>
      </c>
      <c r="H426" s="5" t="inlineStr">
        <is>
          <t>$7.36 million</t>
        </is>
      </c>
    </row>
    <row r="427">
      <c r="B427" s="7" t="inlineStr">
        <is>
          <t>delay_6m</t>
        </is>
      </c>
      <c r="C427" s="7" t="inlineStr">
        <is>
          <t>PTC time value</t>
        </is>
      </c>
      <c r="D427" s="25" t="n">
        <v>2520000</v>
      </c>
      <c r="E427" s="25">
        <f>EPC!$D$15</f>
        <v/>
      </c>
      <c r="F427" s="25" t="n">
        <v>5000.500000001</v>
      </c>
      <c r="G427" s="14">
        <f>IF(ISNUMBER(E427),IF(ABS(E427-D427)&lt;=F427,"OK","ERROR"),"ERROR")</f>
        <v/>
      </c>
      <c r="H427" s="5" t="inlineStr">
        <is>
          <t>$2.52 million</t>
        </is>
      </c>
    </row>
    <row r="428">
      <c r="B428" s="7" t="inlineStr">
        <is>
          <t>delay_6m</t>
        </is>
      </c>
      <c r="C428" s="7" t="inlineStr">
        <is>
          <t>Delay damages</t>
        </is>
      </c>
      <c r="D428" s="25" t="n">
        <v>9580000</v>
      </c>
      <c r="E428" s="25">
        <f>EPC!$G$15</f>
        <v/>
      </c>
      <c r="F428" s="25" t="n">
        <v>5000.500000001</v>
      </c>
      <c r="G428" s="14">
        <f>IF(ISNUMBER(E428),IF(ABS(E428-D428)&lt;=F428,"OK","ERROR"),"ERROR")</f>
        <v/>
      </c>
      <c r="H428" s="5" t="inlineStr">
        <is>
          <t>$9.58 million</t>
        </is>
      </c>
    </row>
    <row r="429">
      <c r="B429" s="7" t="inlineStr">
        <is>
          <t>delay_6m</t>
        </is>
      </c>
      <c r="C429" s="7" t="inlineStr">
        <is>
          <t>Total (sum of the printed lines)</t>
        </is>
      </c>
      <c r="D429" s="25" t="n">
        <v>9880000</v>
      </c>
      <c r="E429" s="25">
        <f>ROUND(EPC!$C$15/1000000,2)*1000000+ROUND(EPC!$D$15/1000000,2)*1000000</f>
        <v/>
      </c>
      <c r="F429" s="25" t="n">
        <v>5000.500000001</v>
      </c>
      <c r="G429" s="14">
        <f>IF(ISNUMBER(E429),IF(ABS(E429-D429)&lt;=F429,"OK","ERROR"),"ERROR")</f>
        <v/>
      </c>
      <c r="H429" s="5" t="inlineStr">
        <is>
          <t>$9.88 million</t>
        </is>
      </c>
    </row>
    <row r="430">
      <c r="B430" s="7" t="inlineStr">
        <is>
          <t>delay_6m</t>
        </is>
      </c>
      <c r="C430" s="7" t="inlineStr">
        <is>
          <t>Left with Ashgrove (printed lines)</t>
        </is>
      </c>
      <c r="D430" s="25" t="n">
        <v>300000</v>
      </c>
      <c r="E430" s="25">
        <f>ROUND(EPC!$C$15/1000000,2)*1000000+ROUND(EPC!$D$15/1000000,2)*1000000-ROUND(EPC!$G$15/1000000,2)*1000000</f>
        <v/>
      </c>
      <c r="F430" s="25" t="n">
        <v>5000.500000001</v>
      </c>
      <c r="G430" s="14">
        <f>IF(ISNUMBER(E430),IF(ABS(E430-D430)&lt;=F430,"OK","ERROR"),"ERROR")</f>
        <v/>
      </c>
      <c r="H430" s="5" t="inlineStr">
        <is>
          <t>$0.30 million</t>
        </is>
      </c>
    </row>
    <row r="431">
      <c r="B431" s="7" t="inlineStr">
        <is>
          <t>delay_6m</t>
        </is>
      </c>
      <c r="C431" s="7" t="inlineStr">
        <is>
          <t>Days</t>
        </is>
      </c>
      <c r="D431" s="32" t="n">
        <v>182.4</v>
      </c>
      <c r="E431" s="32">
        <f>EPC!$F$15</f>
        <v/>
      </c>
      <c r="F431" s="32" t="n">
        <v>0.050005001</v>
      </c>
      <c r="G431" s="14">
        <f>IF(ISNUMBER(E431),IF(ABS(E431-D431)&lt;=F431,"OK","ERROR"),"ERROR")</f>
        <v/>
      </c>
      <c r="H431" s="5" t="inlineStr">
        <is>
          <t>182.4</t>
        </is>
      </c>
    </row>
    <row r="432">
      <c r="B432" s="7" t="inlineStr">
        <is>
          <t>delay_6m</t>
        </is>
      </c>
      <c r="C432" s="7" t="inlineStr">
        <is>
          <t>Damages a day</t>
        </is>
      </c>
      <c r="D432" s="42" t="n">
        <v>52500</v>
      </c>
      <c r="E432" s="42">
        <f>EPC!$C$5</f>
        <v/>
      </c>
      <c r="F432" s="42" t="n">
        <v>0.500050001</v>
      </c>
      <c r="G432" s="14">
        <f>IF(ISNUMBER(E432),IF(ABS(E432-D432)&lt;=F432,"OK","ERROR"),"ERROR")</f>
        <v/>
      </c>
      <c r="H432" s="5" t="inlineStr">
        <is>
          <t>$52,500</t>
        </is>
      </c>
    </row>
    <row r="433">
      <c r="B433" s="7" t="inlineStr">
        <is>
          <t>delay_6m</t>
        </is>
      </c>
      <c r="C433" s="7" t="inlineStr">
        <is>
          <t>Cap</t>
        </is>
      </c>
      <c r="D433" s="25" t="n">
        <v>18900000</v>
      </c>
      <c r="E433" s="25">
        <f>EPC!$C$7</f>
        <v/>
      </c>
      <c r="F433" s="25" t="n">
        <v>50005.000000001</v>
      </c>
      <c r="G433" s="14">
        <f>IF(ISNUMBER(E433),IF(ABS(E433-D433)&lt;=F433,"OK","ERROR"),"ERROR")</f>
        <v/>
      </c>
      <c r="H433" s="5" t="inlineStr">
        <is>
          <t>$18.9 million</t>
        </is>
      </c>
    </row>
    <row r="434">
      <c r="B434" s="7" t="inlineStr">
        <is>
          <t>retention</t>
        </is>
      </c>
      <c r="C434" s="7" t="inlineStr">
        <is>
          <t>Retention</t>
        </is>
      </c>
      <c r="D434" s="25" t="n">
        <v>6300000</v>
      </c>
      <c r="E434" s="25">
        <f>EPC!$C$8</f>
        <v/>
      </c>
      <c r="F434" s="25" t="n">
        <v>50005.000000001</v>
      </c>
      <c r="G434" s="14">
        <f>IF(ISNUMBER(E434),IF(ABS(E434-D434)&lt;=F434,"OK","ERROR"),"ERROR")</f>
        <v/>
      </c>
      <c r="H434" s="5" t="inlineStr">
        <is>
          <t>$6.3 million</t>
        </is>
      </c>
    </row>
    <row r="435">
      <c r="B435" s="7" t="inlineStr">
        <is>
          <t>perf_ld</t>
        </is>
      </c>
      <c r="C435" s="7" t="inlineStr">
        <is>
          <t>Per kWac per percent</t>
        </is>
      </c>
      <c r="D435" s="42" t="n">
        <v>21.11</v>
      </c>
      <c r="E435" s="42">
        <f>EPC!$C$10</f>
        <v/>
      </c>
      <c r="F435" s="42" t="n">
        <v>0.005000501</v>
      </c>
      <c r="G435" s="14">
        <f>IF(ISNUMBER(E435),IF(ABS(E435-D435)&lt;=F435,"OK","ERROR"),"ERROR")</f>
        <v/>
      </c>
      <c r="H435" s="5" t="inlineStr">
        <is>
          <t>$21.11</t>
        </is>
      </c>
    </row>
    <row r="437">
      <c r="B437" s="14" t="inlineStr">
        <is>
          <t>Identities (valid with any inputs)</t>
        </is>
      </c>
    </row>
    <row r="438">
      <c r="C438" s="7" t="inlineStr">
        <is>
          <t>Cost lines sum to the total capital cost</t>
        </is>
      </c>
      <c r="G438" s="14">
        <f>IF(ABS(Capex!$C$5+Capex!$C$6+Capex!$C$7+Capex!$C$8+Capex!$C$9+Capex!$C$10+Capex!$C$11+Capex!$C$12-Capex!$C$13)&lt;1,"OK","ERROR")</f>
        <v/>
      </c>
    </row>
    <row r="439">
      <c r="C439" s="7" t="inlineStr">
        <is>
          <t>Case U capital cost on Cases equals Capex</t>
        </is>
      </c>
      <c r="G439" s="14">
        <f>IF(ABS(Cases!$C$17-Capex!$C$13)&lt;1,"OK","ERROR")</f>
        <v/>
      </c>
    </row>
    <row r="440">
      <c r="C440" s="7" t="inlineStr">
        <is>
          <t>Revenue = contracted + merchant - basis cost, every case and year</t>
        </is>
      </c>
      <c r="G440" s="14">
        <f>IF(ABS(SUM(Cases!$D$30:$AL$30)-SUM(Cases!$D$22:$AL$22)-SUM(Cases!$D$23:$AL$23)+SUM(Cases!$D$24:$AL$24))+ABS(SUM(Cases!$D$74:$AL$74)-SUM(Cases!$D$66:$AL$66)-SUM(Cases!$D$67:$AL$67)+SUM(Cases!$D$68:$AL$68))+ABS(SUM(Cases!$D$118:$AL$118)-SUM(Cases!$D$110:$AL$110)-SUM(Cases!$D$111:$AL$111)+SUM(Cases!$D$112:$AL$112))&lt;1,"OK","ERROR")</f>
        <v/>
      </c>
    </row>
    <row r="441">
      <c r="C441" s="7" t="inlineStr">
        <is>
          <t>Bridge sums to the development value, cases U, C and M</t>
        </is>
      </c>
      <c r="G441" s="14">
        <f>IF(ABS(Cases!$C$52-Cases!$C$36)+ABS(Cases!$C$96-Cases!$C$80)+ABS(Cases!$C$140-Cases!$C$124)&lt;1,"OK","ERROR")</f>
        <v/>
      </c>
    </row>
    <row r="442">
      <c r="C442" s="7" t="inlineStr">
        <is>
          <t>Net present value at the IRR is zero, cases U, C and M</t>
        </is>
      </c>
      <c r="G442" s="14">
        <f>IF(ABS(Cases!$C$57)+ABS(Cases!$C$101)+ABS(Cases!$C$145)&lt;1,"OK","ERROR")</f>
        <v/>
      </c>
    </row>
    <row r="443">
      <c r="C443" s="7" t="inlineStr">
        <is>
          <t>Equity in 2027 = uses less debt (NTP price plus capital cost less reimbursement less debt)</t>
        </is>
      </c>
      <c r="G443" s="14">
        <f>IF(ABS(Debt!$C$21+Debt!$C$19-ntp_price-Cases!$C$17+reimb)+ABS(Debt!$C$39+Debt!$C$37-ntp_price-Cases!$C$61+reimb)+ABS(Debt!$C$57+Debt!$C$55-ntp_price-Cases!$C$105+reimb)&lt;1,"OK","ERROR")</f>
        <v/>
      </c>
    </row>
    <row r="444">
      <c r="C444" s="7" t="inlineStr">
        <is>
          <t>Stage value at NTP equals the NTP price</t>
        </is>
      </c>
      <c r="G444" s="14">
        <f>IF(ABS(Stages!$G$20-ntp_price)&lt;1,"OK","ERROR")</f>
        <v/>
      </c>
    </row>
    <row r="445">
      <c r="C445" s="7" t="inlineStr">
        <is>
          <t>Development budget by category equals the development spend</t>
        </is>
      </c>
      <c r="G445" s="14">
        <f>IF(ABS(Stages!$C$23-Stages!$C$22)&lt;1,"OK","ERROR")</f>
        <v/>
      </c>
    </row>
    <row r="446">
      <c r="C446" s="7" t="inlineStr">
        <is>
          <t>Foreign entity cost split adds up to 100 percent</t>
        </is>
      </c>
      <c r="G446" s="14">
        <f>IF(ABS(FEOC!$C$10-1)&lt;0.000001,"OK","ERROR")</f>
        <v/>
      </c>
    </row>
    <row r="447">
      <c r="C447" s="7" t="inlineStr">
        <is>
          <t>Expected return: the 2022 stage value brackets zero inside the fine grid</t>
        </is>
      </c>
      <c r="G447" s="14">
        <f>IF(AND(Stages!$C$121&gt;0,Stages!$C$122&lt;=0),"OK","ERROR")</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2026-10-09T23:16:26Z</dcterms:created>
  <dcterms:modified xmlns:dcterms="http://purl.org/dc/terms/" xmlns:xsi="http://www.w3.org/2001/XMLSchema-instance" xsi:type="dcterms:W3CDTF">2026-10-09T23:16:27Z</dcterms:modified>
</cp:coreProperties>
</file>