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1. Inputs" sheetId="2" state="visible" r:id="rId4"/>
    <sheet name="2. Unsmoothing" sheetId="3" state="visible" r:id="rId5"/>
    <sheet name="3. The four discounts" sheetId="4" state="visible" r:id="rId6"/>
    <sheet name="4. Thresholds" sheetId="5" state="visible" r:id="rId7"/>
    <sheet name="5. Alpha and lag" sheetId="6" state="visible" r:id="rId8"/>
    <sheet name="6. Bridge and margin" sheetId="7" state="visible" r:id="rId9"/>
    <sheet name="7. 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<sst xmlns="http://schemas.openxmlformats.org/spreadsheetml/2006/main" count="177" uniqueCount="166">
  <si>
    <t xml:space="preserve">The discount you are actually paying</t>
  </si>
  <si>
    <t xml:space="preserve">Companion workbook to The Real Estate Secondaries Investor</t>
  </si>
  <si>
    <t xml:space="preserve">A price quoted as a percentage of net asset value is a percentage of an appraisal. This workbook converts it into a discount to value.</t>
  </si>
  <si>
    <t xml:space="preserve">Chapters 5 to 9 of the book are this file. Change alpha, the discount rate or the unfunded commitment and every figure moves.</t>
  </si>
  <si>
    <t xml:space="preserve">The four discounts</t>
  </si>
  <si>
    <t xml:space="preserve">1. Against reported net asset value — what the memo says.</t>
  </si>
  <si>
    <t xml:space="preserve">2. Against spot value, once the appraisal series is unsmoothed.</t>
  </si>
  <si>
    <t xml:space="preserve">3. Against everything the buyer deploys, including the unfunded commitment at par.</t>
  </si>
  <si>
    <t xml:space="preserve">4. Less the present value of management fees to the end of the fund's life.</t>
  </si>
  <si>
    <t xml:space="preserve">The thresholds</t>
  </si>
  <si>
    <t xml:space="preserve">Sheet 4 computes what would have to be true for the discount to be worth nothing: the value of alpha, solved in the sheet, and the unfunded commitment at which the headline is only 10 per cent. Sheet 5 prices the offer across alpha and the lag; sheet 6 is the bridge from value to price and the margin table of Chapter 13.</t>
  </si>
  <si>
    <t xml:space="preserve">Conventions</t>
  </si>
  <si>
    <t xml:space="preserve">Blue text on a pale blue fill — an input, you may edit these.</t>
  </si>
  <si>
    <t xml:space="preserve">Yellow fill — the carrying assumption of the sheet, the one to argue about first.</t>
  </si>
  <si>
    <t xml:space="preserve">Black text — a formula, do not overtype these.</t>
  </si>
  <si>
    <t xml:space="preserve">Nothing is locked, protected or watermarked. No macros, no external links.</t>
  </si>
  <si>
    <t xml:space="preserve">Revised 23 September 2026. The alpha threshold on sheet 4 is now solved by the sheet (bisection, rows 8 to 49) instead of being typed in: 0.1317, not the 0.1315 the book prints, which came from a search in steps of 0.0005. New sheets 5 and 6 carry the alpha table, the lag table, the bridge and the margin table. The margin table in the book prints 32.20 and 30.36 on the 12 and 18 per cent lines; those are 12.5 and 17.5 per cent margins, and the right prices are 32.38 (84.11%) and 30.18 (78.38%). Sheet 7 holds sixty-two checks.</t>
  </si>
  <si>
    <t xml:space="preserve">Inputs</t>
  </si>
  <si>
    <t xml:space="preserve">Commitment (EUR m)</t>
  </si>
  <si>
    <t xml:space="preserve">Drawn capital (EUR m)</t>
  </si>
  <si>
    <t xml:space="preserve">Reported net asset value of the interest (EUR m)</t>
  </si>
  <si>
    <t xml:space="preserve">Price offered, as a share of reported NAV</t>
  </si>
  <si>
    <t xml:space="preserve">Share of the fund</t>
  </si>
  <si>
    <t xml:space="preserve">Remaining life to term (years)</t>
  </si>
  <si>
    <t xml:space="preserve">Management fee, on drawn capital</t>
  </si>
  <si>
    <t xml:space="preserve">Buyer's discount rate</t>
  </si>
  <si>
    <t xml:space="preserve">Smoothing parameter alpha</t>
  </si>
  <si>
    <t xml:space="preserve">Unfunded commitment (EUR m)</t>
  </si>
  <si>
    <t xml:space="preserve">Price (EUR m)</t>
  </si>
  <si>
    <t xml:space="preserve">The appraisal series, and what is underneath it</t>
  </si>
  <si>
    <t xml:space="preserve">true(t) = [ reported(t) - (1-alpha) x reported(t-1) ] / alpha</t>
  </si>
  <si>
    <t xml:space="preserve">Quarter</t>
  </si>
  <si>
    <t xml:space="preserve">Reported index</t>
  </si>
  <si>
    <t xml:space="preserve">Reported return</t>
  </si>
  <si>
    <t xml:space="preserve">True return</t>
  </si>
  <si>
    <t xml:space="preserve">Unsmoothed index</t>
  </si>
  <si>
    <t xml:space="preserve">t0</t>
  </si>
  <si>
    <t xml:space="preserve">t1</t>
  </si>
  <si>
    <t xml:space="preserve">t2</t>
  </si>
  <si>
    <t xml:space="preserve">t3</t>
  </si>
  <si>
    <t xml:space="preserve">t4</t>
  </si>
  <si>
    <t xml:space="preserve">t5</t>
  </si>
  <si>
    <t xml:space="preserve">t6</t>
  </si>
  <si>
    <t xml:space="preserve">t7</t>
  </si>
  <si>
    <t xml:space="preserve">Appraisal above spot</t>
  </si>
  <si>
    <t xml:space="preserve">From the headline to the deal</t>
  </si>
  <si>
    <t xml:space="preserve">Spot value of the interest (EUR m)</t>
  </si>
  <si>
    <t xml:space="preserve">Management fee per year (EUR m)</t>
  </si>
  <si>
    <t xml:space="preserve">Annuity factor at the buyer's rate</t>
  </si>
  <si>
    <t xml:space="preserve">Present value of fees to term (EUR m)</t>
  </si>
  <si>
    <t xml:space="preserve">Measured against</t>
  </si>
  <si>
    <t xml:space="preserve">Value / outlay</t>
  </si>
  <si>
    <t xml:space="preserve">Discount</t>
  </si>
  <si>
    <t xml:space="preserve">Reported net asset value</t>
  </si>
  <si>
    <t xml:space="preserve">Spot value, appraisal unsmoothed</t>
  </si>
  <si>
    <t xml:space="preserve">Spot value plus the unfunded commitment</t>
  </si>
  <si>
    <t xml:space="preserve">The same, less the fees to term</t>
  </si>
  <si>
    <t xml:space="preserve">What would have to be true for the discount to be worth nothing</t>
  </si>
  <si>
    <t xml:space="preserve">Alpha below which an 18% discount to the appraisal buys no discount to value</t>
  </si>
  <si>
    <t xml:space="preserve">Unfunded commitment at which the headline discount is only 10 per cent (EUR m)</t>
  </si>
  <si>
    <t xml:space="preserve">Headline discount scaled by the invested share, before any other correction (Chapter 8)</t>
  </si>
  <si>
    <t xml:space="preserve">Row 3 is solved on this sheet, by bisection on alpha (rows 8 to 49; the answer is the last mid alpha): it is the alpha at which the unsmoothed value equals the price. Change the price or the series and it moves. The first version held it as a typed 0.1315; the exact threshold is 0.1317.</t>
  </si>
  <si>
    <t xml:space="preserve">Step</t>
  </si>
  <si>
    <t xml:space="preserve">Low alpha</t>
  </si>
  <si>
    <t xml:space="preserve">High alpha</t>
  </si>
  <si>
    <t xml:space="preserve">Mid alpha</t>
  </si>
  <si>
    <t xml:space="preserve">Gap at mid, less the gap at which price = spot</t>
  </si>
  <si>
    <t xml:space="preserve">The same offer across the range of alpha, and the lag on top of it</t>
  </si>
  <si>
    <t xml:space="preserve">Chapters 6 and 7. The alphas and the lags are steps, not data: change them freely.</t>
  </si>
  <si>
    <t xml:space="preserve">Alpha</t>
  </si>
  <si>
    <t xml:space="preserve">Unsmoothed index at t7</t>
  </si>
  <si>
    <t xml:space="preserve">Spot value (EUR m)</t>
  </si>
  <si>
    <t xml:space="preserve">Real discount</t>
  </si>
  <si>
    <t xml:space="preserve">The lag, at the alpha of sheet 1: spot value carried forward at the last recovered return</t>
  </si>
  <si>
    <t xml:space="preserve">Lag (quarters)</t>
  </si>
  <si>
    <t xml:space="preserve">Change from no lag</t>
  </si>
  <si>
    <t xml:space="preserve">From no lag to four quarters, points of discount</t>
  </si>
  <si>
    <t xml:space="preserve">Against the points the smoothing correction is worth</t>
  </si>
  <si>
    <t xml:space="preserve">The bridge from value to price, and the margin table</t>
  </si>
  <si>
    <t xml:space="preserve">Chapter 13. The debt advantage comes from Pricing_from_the_Tape.xlsx, sheet 3, row 11: copy it here if you change the loan.</t>
  </si>
  <si>
    <t xml:space="preserve">Plus the in-place debt advantage, this interest (EUR m)</t>
  </si>
  <si>
    <t xml:space="preserve">Less management fees to term, present value (EUR m)</t>
  </si>
  <si>
    <t xml:space="preserve">Adjusted value of the interest (EUR m)</t>
  </si>
  <si>
    <t xml:space="preserve">Memorandum: unfunded commitment funded at par (EUR m)</t>
  </si>
  <si>
    <t xml:space="preserve">Margin on adjusted value at the offered price</t>
  </si>
  <si>
    <t xml:space="preserve">Fees to term less the debt advantage: the coincidence of Chapter 12 (EUR m)</t>
  </si>
  <si>
    <t xml:space="preserve">Margin on adjusted value</t>
  </si>
  <si>
    <t xml:space="preserve">As a % of reported NAV</t>
  </si>
  <si>
    <t xml:space="preserve">The first edition printed 32.20 (83.64%) on the 12% line and 30.36 (78.86%) on the 18% line: those are 12.5% and 17.5% margins.</t>
  </si>
  <si>
    <t xml:space="preserve">Memorandum, not in the book: the four discounts of sheet 3 with the debt advantage added to value</t>
  </si>
  <si>
    <t xml:space="preserve">Spot value plus the unfunded commitment plus the debt advantage (EUR m)</t>
  </si>
  <si>
    <t xml:space="preserve">Price, unfunded and fees to term (EUR m)</t>
  </si>
  <si>
    <t xml:space="preserve">Discount net of the three deductions and of the debt advantage</t>
  </si>
  <si>
    <t xml:space="preserve">Chapter 12 finds the debt advantage and Chapter 13 adds it to value; the four discounts of Chapter 5 leave it out. Put back, the bottom line is this figure, not 9.18%.</t>
  </si>
  <si>
    <t xml:space="preserve">Checks — every figure the book prints, and what holds for any inputs</t>
  </si>
  <si>
    <t xml:space="preserve">Column C is a live formula pointing into the model. Rows with a book figure compare with it; rows without one hold for any inputs.</t>
  </si>
  <si>
    <t xml:space="preserve">Check</t>
  </si>
  <si>
    <t xml:space="preserve">The book</t>
  </si>
  <si>
    <t xml:space="preserve">This file</t>
  </si>
  <si>
    <t xml:space="preserve">Status</t>
  </si>
  <si>
    <t xml:space="preserve">Note</t>
  </si>
  <si>
    <t xml:space="preserve">Ch. 6: appraisal above spot value</t>
  </si>
  <si>
    <t xml:space="preserve">Ch. 6: unsmoothed index at the reference date</t>
  </si>
  <si>
    <t xml:space="preserve">Ch. 5: price of the interest, EUR m</t>
  </si>
  <si>
    <t xml:space="preserve">Ch. 5: spot value of the interest, EUR m</t>
  </si>
  <si>
    <t xml:space="preserve">Ch. 9: present value of fees to term, EUR m</t>
  </si>
  <si>
    <t xml:space="preserve">Ch. 9: annuity factor at 12% over 3.5 years</t>
  </si>
  <si>
    <t xml:space="preserve">Ch. 5: discount to reported net asset value</t>
  </si>
  <si>
    <t xml:space="preserve">Ch. 5: discount to spot value</t>
  </si>
  <si>
    <t xml:space="preserve">Ch. 5: discount on all capital deployed</t>
  </si>
  <si>
    <t xml:space="preserve">Ch. 9: discount net of the fees to term</t>
  </si>
  <si>
    <t xml:space="preserve">printed 9.18%</t>
  </si>
  <si>
    <t xml:space="preserve">Ch. 5: points between the headline and the deal</t>
  </si>
  <si>
    <t xml:space="preserve">Ch. 5: those points as a share of the headline</t>
  </si>
  <si>
    <t xml:space="preserve">Ch. 9: fees to term as points of discount</t>
  </si>
  <si>
    <t xml:space="preserve">Ch. 8: unfunded commitment over reported NAV</t>
  </si>
  <si>
    <t xml:space="preserve">Ch. 8: share of the total already invested</t>
  </si>
  <si>
    <t xml:space="preserve">Ch. 8: 18% headline scaled by that share</t>
  </si>
  <si>
    <t xml:space="preserve">Ch. 8: unfunded commitment for a 10 per cent effective discount, EUR m</t>
  </si>
  <si>
    <t xml:space="preserve">80% of net asset value</t>
  </si>
  <si>
    <t xml:space="preserve">Ch. 6: alpha below which the discount buys nothing</t>
  </si>
  <si>
    <t xml:space="preserve">revised: the book prints 0.1315, found by a search in steps of 0.0005</t>
  </si>
  <si>
    <t xml:space="preserve">At that alpha, the unsmoothed value equals the price</t>
  </si>
  <si>
    <t xml:space="preserve">any inputs</t>
  </si>
  <si>
    <t xml:space="preserve">Sheet 5 at the alpha of sheet 1 gives back sheet 2</t>
  </si>
  <si>
    <t xml:space="preserve">the one-line chain and the quarter-by-quarter chain agree</t>
  </si>
  <si>
    <t xml:space="preserve">Ch. 6 table: appraisal above spot at alpha 0.25</t>
  </si>
  <si>
    <t xml:space="preserve">Ch. 6 table: real discount at alpha 0.25</t>
  </si>
  <si>
    <t xml:space="preserve">Ch. 6 table: appraisal above spot at alpha 0.30</t>
  </si>
  <si>
    <t xml:space="preserve">Ch. 6 table: real discount at alpha 0.30</t>
  </si>
  <si>
    <t xml:space="preserve">Ch. 6 table: appraisal above spot at alpha 0.40</t>
  </si>
  <si>
    <t xml:space="preserve">Ch. 6 table: real discount at alpha 0.40</t>
  </si>
  <si>
    <t xml:space="preserve">Ch. 6 table: appraisal above spot at alpha 0.50</t>
  </si>
  <si>
    <t xml:space="preserve">Ch. 6 table: real discount at alpha 0.50</t>
  </si>
  <si>
    <t xml:space="preserve">Ch. 6 table: appraisal above spot at alpha 0.70</t>
  </si>
  <si>
    <t xml:space="preserve">Ch. 6 table: real discount at alpha 0.70</t>
  </si>
  <si>
    <t xml:space="preserve">Ch. 6 table: appraisal above spot at alpha 1.00</t>
  </si>
  <si>
    <t xml:space="preserve">Ch. 6 table: real discount at alpha 1.00</t>
  </si>
  <si>
    <t xml:space="preserve">Ch. 6: unsmoothed index at t2</t>
  </si>
  <si>
    <t xml:space="preserve">Ch. 6: unsmoothed index at t3</t>
  </si>
  <si>
    <t xml:space="preserve">Ch. 6: unsmoothed index at t4</t>
  </si>
  <si>
    <t xml:space="preserve">Ch. 6: unsmoothed index at t5</t>
  </si>
  <si>
    <t xml:space="preserve">Ch. 6: unsmoothed index at t6</t>
  </si>
  <si>
    <t xml:space="preserve">Ch. 7: spot value with a lag of 1 quarter, EUR m</t>
  </si>
  <si>
    <t xml:space="preserve">Ch. 7: real discount with a lag of 1 quarter</t>
  </si>
  <si>
    <t xml:space="preserve">Ch. 7: spot value with a lag of 2 quarters, EUR m</t>
  </si>
  <si>
    <t xml:space="preserve">Ch. 7: real discount with a lag of 2 quarters</t>
  </si>
  <si>
    <t xml:space="preserve">Ch. 7: spot value with a lag of 3 quarters, EUR m</t>
  </si>
  <si>
    <t xml:space="preserve">Ch. 7: real discount with a lag of 3 quarters</t>
  </si>
  <si>
    <t xml:space="preserve">Ch. 7: spot value with a lag of 4 quarters, EUR m</t>
  </si>
  <si>
    <t xml:space="preserve">Ch. 7: real discount with a lag of 4 quarters</t>
  </si>
  <si>
    <t xml:space="preserve">Ch. 7: points across the whole range of lag</t>
  </si>
  <si>
    <t xml:space="preserve">Ch. 13: adjusted value of the interest, EUR m</t>
  </si>
  <si>
    <t xml:space="preserve">Ch. 13: margin on adjusted value at the offered price</t>
  </si>
  <si>
    <t xml:space="preserve">Ch. 12: fees to term less the debt advantage, EUR m</t>
  </si>
  <si>
    <t xml:space="preserve">Ch. 13 table: price at a 10% margin, EUR m</t>
  </si>
  <si>
    <t xml:space="preserve">Ch. 13 table: the same as a % of reported NAV</t>
  </si>
  <si>
    <t xml:space="preserve">Ch. 13 table: price at a 12% margin, EUR m</t>
  </si>
  <si>
    <t xml:space="preserve">revised: the book prints 32.20 and 83.64%</t>
  </si>
  <si>
    <t xml:space="preserve">Ch. 13 table: price at a 15% margin, EUR m</t>
  </si>
  <si>
    <t xml:space="preserve">Ch. 13 table: price at a 18% margin, EUR m</t>
  </si>
  <si>
    <t xml:space="preserve">revised: the book prints 30.36 and 78.86%</t>
  </si>
  <si>
    <t xml:space="preserve">Ch. 13 table: price at a 20% margin, EUR m</t>
  </si>
  <si>
    <t xml:space="preserve">Ch. 13 table: price at a 25% margin, EUR m</t>
  </si>
  <si>
    <t xml:space="preserve">The bridge adds up: spot plus debt advantage less fees</t>
  </si>
  <si>
    <t xml:space="preserve">All checks</t>
  </si>
</sst>
</file>

<file path=xl/styles.xml><?xml version="1.0" encoding="utf-8"?>
<styleSheet xmlns="http://schemas.openxmlformats.org/spreadsheetml/2006/main">
  <numFmts count="14">
    <numFmt numFmtId="164" formatCode="General"/>
    <numFmt numFmtId="165" formatCode="#,##0.00"/>
    <numFmt numFmtId="166" formatCode="0.00%"/>
    <numFmt numFmtId="167" formatCode="0.0"/>
    <numFmt numFmtId="168" formatCode="0.0000%"/>
    <numFmt numFmtId="169" formatCode="0.00"/>
    <numFmt numFmtId="170" formatCode="0.0000"/>
    <numFmt numFmtId="171" formatCode="0.000000"/>
    <numFmt numFmtId="172" formatCode="0"/>
    <numFmt numFmtId="173" formatCode="#,##0.000"/>
    <numFmt numFmtId="174" formatCode="#,##0.0"/>
    <numFmt numFmtId="175" formatCode="0.000"/>
    <numFmt numFmtId="176" formatCode="0%"/>
    <numFmt numFmtId="177" formatCode="0.0%"/>
  </numFmts>
  <fonts count="17">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libri"/>
      <family val="0"/>
      <charset val="1"/>
    </font>
    <font>
      <b val="true"/>
      <sz val="13"/>
      <color rgb="FF1F3864"/>
      <name val="Cambria"/>
      <family val="0"/>
      <charset val="1"/>
    </font>
    <font>
      <sz val="11"/>
      <color rgb="FF1F4E79"/>
      <name val="Cambria"/>
      <family val="0"/>
      <charset val="1"/>
    </font>
    <font>
      <b val="true"/>
      <sz val="11"/>
      <color rgb="FF1F4E79"/>
      <name val="Cambria"/>
      <family val="0"/>
      <charset val="1"/>
    </font>
    <font>
      <b val="true"/>
      <sz val="11"/>
      <name val="Cambria"/>
      <family val="0"/>
      <charset val="1"/>
    </font>
    <font>
      <b val="true"/>
      <sz val="11"/>
      <name val="Calibri"/>
      <family val="0"/>
      <charset val="1"/>
    </font>
    <font>
      <sz val="10"/>
      <color rgb="FF555555"/>
      <name val="Calibri"/>
      <family val="0"/>
      <charset val="1"/>
    </font>
    <font>
      <b val="true"/>
      <sz val="11"/>
      <color rgb="FFFFFFFF"/>
      <name val="Calibri"/>
      <family val="0"/>
      <charset val="1"/>
    </font>
    <font>
      <b val="true"/>
      <sz val="13"/>
      <color rgb="FF1F3864"/>
      <name val="Calibri"/>
      <family val="0"/>
      <charset val="1"/>
    </font>
    <font>
      <sz val="11"/>
      <color rgb="FF1F4E79"/>
      <name val="Calibri"/>
      <family val="0"/>
      <charset val="1"/>
    </font>
  </fonts>
  <fills count="5">
    <fill>
      <patternFill patternType="none"/>
    </fill>
    <fill>
      <patternFill patternType="gray125"/>
    </fill>
    <fill>
      <patternFill patternType="solid">
        <fgColor rgb="FFDCE9F7"/>
        <bgColor rgb="FFCCFFFF"/>
      </patternFill>
    </fill>
    <fill>
      <patternFill patternType="solid">
        <fgColor rgb="FFFFF2CC"/>
        <bgColor rgb="FFFFFFFF"/>
      </patternFill>
    </fill>
    <fill>
      <patternFill patternType="solid">
        <fgColor rgb="FF1F3864"/>
        <bgColor rgb="FF1F4E79"/>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6" fontId="9" fillId="2" borderId="0" xfId="0" applyFont="true" applyBorder="false" applyAlignment="false" applyProtection="false">
      <alignment horizontal="general" vertical="bottom" textRotation="0" wrapText="false" indent="0" shrinkToFit="false"/>
      <protection locked="true" hidden="false"/>
    </xf>
    <xf numFmtId="167" fontId="9" fillId="2" borderId="0" xfId="0" applyFont="true" applyBorder="false" applyAlignment="false" applyProtection="false">
      <alignment horizontal="general" vertical="bottom" textRotation="0" wrapText="false" indent="0" shrinkToFit="false"/>
      <protection locked="true" hidden="false"/>
    </xf>
    <xf numFmtId="168" fontId="9" fillId="2" borderId="0" xfId="0" applyFont="true" applyBorder="false" applyAlignment="false" applyProtection="false">
      <alignment horizontal="general" vertical="bottom" textRotation="0" wrapText="false" indent="0" shrinkToFit="false"/>
      <protection locked="true" hidden="false"/>
    </xf>
    <xf numFmtId="169" fontId="10" fillId="3"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true" indent="0" shrinkToFit="false"/>
      <protection locked="true" hidden="false"/>
    </xf>
    <xf numFmtId="169" fontId="9" fillId="2"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4" fillId="4" borderId="0" xfId="0" applyFont="true" applyBorder="false" applyAlignment="true" applyProtection="false">
      <alignment horizontal="general" vertical="center" textRotation="0" wrapText="tru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9" fontId="16" fillId="2"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72" fontId="16" fillId="2"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3" fontId="16" fillId="2"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16" fillId="2"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25.5" hidden="false" customHeight="true" outlineLevel="0" collapsed="false">
      <c r="A4" s="3" t="s">
        <v>2</v>
      </c>
    </row>
    <row r="5" customFormat="false" ht="25.5" hidden="false" customHeight="true" outlineLevel="0" collapsed="false">
      <c r="A5" s="3" t="s">
        <v>3</v>
      </c>
    </row>
    <row r="7" customFormat="false" ht="15" hidden="false" customHeight="false" outlineLevel="0" collapsed="false">
      <c r="A7" s="4" t="s">
        <v>4</v>
      </c>
    </row>
    <row r="8" customFormat="false" ht="15" hidden="false" customHeight="true" outlineLevel="0" collapsed="false">
      <c r="A8" s="3" t="s">
        <v>5</v>
      </c>
    </row>
    <row r="9" customFormat="false" ht="15" hidden="false" customHeight="true" outlineLevel="0" collapsed="false">
      <c r="A9" s="3" t="s">
        <v>6</v>
      </c>
    </row>
    <row r="10" customFormat="false" ht="15" hidden="false" customHeight="true" outlineLevel="0" collapsed="false">
      <c r="A10" s="3" t="s">
        <v>7</v>
      </c>
    </row>
    <row r="11" customFormat="false" ht="15" hidden="false" customHeight="true" outlineLevel="0" collapsed="false">
      <c r="A11" s="3" t="s">
        <v>8</v>
      </c>
    </row>
    <row r="13" customFormat="false" ht="15" hidden="false" customHeight="false" outlineLevel="0" collapsed="false">
      <c r="A13" s="4" t="s">
        <v>9</v>
      </c>
    </row>
    <row r="14" customFormat="false" ht="25.5" hidden="false" customHeight="true" outlineLevel="0" collapsed="false">
      <c r="A14" s="3" t="s">
        <v>10</v>
      </c>
    </row>
    <row r="16" customFormat="false" ht="15" hidden="false" customHeight="false" outlineLevel="0" collapsed="false">
      <c r="A16" s="4" t="s">
        <v>11</v>
      </c>
    </row>
    <row r="17" customFormat="false" ht="15" hidden="false" customHeight="true" outlineLevel="0" collapsed="false">
      <c r="A17" s="3" t="s">
        <v>12</v>
      </c>
    </row>
    <row r="18" customFormat="false" ht="15" hidden="false" customHeight="true" outlineLevel="0" collapsed="false">
      <c r="A18" s="3" t="s">
        <v>13</v>
      </c>
    </row>
    <row r="19" customFormat="false" ht="15" hidden="false" customHeight="true" outlineLevel="0" collapsed="false">
      <c r="A19" s="3" t="s">
        <v>14</v>
      </c>
    </row>
    <row r="20" customFormat="false" ht="15" hidden="false" customHeight="true" outlineLevel="0" collapsed="false">
      <c r="A20" s="3" t="s">
        <v>15</v>
      </c>
    </row>
    <row r="22" customFormat="false" ht="90" hidden="false" customHeight="true" outlineLevel="0" collapsed="false">
      <c r="A22" s="5"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6"/>
  </cols>
  <sheetData>
    <row r="1" customFormat="false" ht="16.15" hidden="false" customHeight="false" outlineLevel="0" collapsed="false">
      <c r="A1" s="6" t="s">
        <v>17</v>
      </c>
    </row>
    <row r="3" customFormat="false" ht="15" hidden="false" customHeight="false" outlineLevel="0" collapsed="false">
      <c r="A3" s="0" t="s">
        <v>18</v>
      </c>
      <c r="B3" s="7" t="n">
        <v>50</v>
      </c>
    </row>
    <row r="4" customFormat="false" ht="15" hidden="false" customHeight="false" outlineLevel="0" collapsed="false">
      <c r="A4" s="0" t="s">
        <v>19</v>
      </c>
      <c r="B4" s="7" t="n">
        <v>46</v>
      </c>
    </row>
    <row r="5" customFormat="false" ht="15" hidden="false" customHeight="false" outlineLevel="0" collapsed="false">
      <c r="A5" s="0" t="s">
        <v>20</v>
      </c>
      <c r="B5" s="7" t="n">
        <v>38.5</v>
      </c>
    </row>
    <row r="6" customFormat="false" ht="15" hidden="false" customHeight="false" outlineLevel="0" collapsed="false">
      <c r="A6" s="0" t="s">
        <v>21</v>
      </c>
      <c r="B6" s="8" t="n">
        <v>0.82</v>
      </c>
    </row>
    <row r="7" customFormat="false" ht="15" hidden="false" customHeight="false" outlineLevel="0" collapsed="false">
      <c r="A7" s="0" t="s">
        <v>22</v>
      </c>
      <c r="B7" s="8" t="n">
        <v>0.22</v>
      </c>
    </row>
    <row r="8" customFormat="false" ht="15" hidden="false" customHeight="false" outlineLevel="0" collapsed="false">
      <c r="A8" s="0" t="s">
        <v>23</v>
      </c>
      <c r="B8" s="9" t="n">
        <v>3.5</v>
      </c>
    </row>
    <row r="9" customFormat="false" ht="15" hidden="false" customHeight="false" outlineLevel="0" collapsed="false">
      <c r="A9" s="0" t="s">
        <v>24</v>
      </c>
      <c r="B9" s="10" t="n">
        <v>0.0125</v>
      </c>
    </row>
    <row r="10" customFormat="false" ht="15" hidden="false" customHeight="false" outlineLevel="0" collapsed="false">
      <c r="A10" s="0" t="s">
        <v>25</v>
      </c>
      <c r="B10" s="8" t="n">
        <v>0.12</v>
      </c>
    </row>
    <row r="11" customFormat="false" ht="15" hidden="false" customHeight="false" outlineLevel="0" collapsed="false">
      <c r="A11" s="0" t="s">
        <v>26</v>
      </c>
      <c r="B11" s="11" t="n">
        <v>0.4</v>
      </c>
    </row>
    <row r="12" customFormat="false" ht="15" hidden="false" customHeight="false" outlineLevel="0" collapsed="false">
      <c r="A12" s="12" t="s">
        <v>27</v>
      </c>
      <c r="B12" s="13" t="n">
        <f aca="false">B3-B4</f>
        <v>4</v>
      </c>
    </row>
    <row r="13" customFormat="false" ht="15" hidden="false" customHeight="false" outlineLevel="0" collapsed="false">
      <c r="A13" s="12" t="s">
        <v>28</v>
      </c>
      <c r="B13" s="13" t="n">
        <f aca="false">B5*B6</f>
        <v>31.57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6" min="2" style="0" width="16"/>
  </cols>
  <sheetData>
    <row r="1" customFormat="false" ht="16.15" hidden="false" customHeight="false" outlineLevel="0" collapsed="false">
      <c r="A1" s="6" t="s">
        <v>29</v>
      </c>
    </row>
    <row r="2" customFormat="false" ht="15" hidden="false" customHeight="false" outlineLevel="0" collapsed="false">
      <c r="A2" s="2" t="s">
        <v>30</v>
      </c>
    </row>
    <row r="4" customFormat="false" ht="28.35" hidden="false" customHeight="false" outlineLevel="0" collapsed="false">
      <c r="A4" s="14" t="s">
        <v>31</v>
      </c>
      <c r="B4" s="14" t="s">
        <v>32</v>
      </c>
      <c r="C4" s="14" t="s">
        <v>33</v>
      </c>
      <c r="D4" s="14" t="s">
        <v>34</v>
      </c>
      <c r="E4" s="14" t="s">
        <v>35</v>
      </c>
    </row>
    <row r="5" customFormat="false" ht="15" hidden="false" customHeight="false" outlineLevel="0" collapsed="false">
      <c r="A5" s="0" t="s">
        <v>36</v>
      </c>
      <c r="B5" s="15" t="n">
        <v>100</v>
      </c>
      <c r="E5" s="16" t="n">
        <f aca="false">B5</f>
        <v>100</v>
      </c>
    </row>
    <row r="6" customFormat="false" ht="15" hidden="false" customHeight="false" outlineLevel="0" collapsed="false">
      <c r="A6" s="0" t="s">
        <v>37</v>
      </c>
      <c r="B6" s="15" t="n">
        <v>101.5</v>
      </c>
      <c r="C6" s="17" t="n">
        <f aca="false">B6/B5-1</f>
        <v>0.0149999999999999</v>
      </c>
      <c r="D6" s="17" t="n">
        <f aca="false">C6</f>
        <v>0.0149999999999999</v>
      </c>
      <c r="E6" s="16" t="n">
        <f aca="false">E5*(1+D6)</f>
        <v>101.5</v>
      </c>
    </row>
    <row r="7" customFormat="false" ht="15" hidden="false" customHeight="false" outlineLevel="0" collapsed="false">
      <c r="A7" s="0" t="s">
        <v>38</v>
      </c>
      <c r="B7" s="15" t="n">
        <v>102</v>
      </c>
      <c r="C7" s="17" t="n">
        <f aca="false">B7/B6-1</f>
        <v>0.00492610837438434</v>
      </c>
      <c r="D7" s="17" t="n">
        <f aca="false">(C7-(1-'1. Inputs'!$B$11)*C6)/'1. Inputs'!$B$11</f>
        <v>-0.010184729064039</v>
      </c>
      <c r="E7" s="16" t="n">
        <f aca="false">E6*(1+D7)</f>
        <v>100.46625</v>
      </c>
    </row>
    <row r="8" customFormat="false" ht="15" hidden="false" customHeight="false" outlineLevel="0" collapsed="false">
      <c r="A8" s="0" t="s">
        <v>39</v>
      </c>
      <c r="B8" s="15" t="n">
        <v>100.8</v>
      </c>
      <c r="C8" s="17" t="n">
        <f aca="false">B8/B7-1</f>
        <v>-0.011764705882353</v>
      </c>
      <c r="D8" s="17" t="n">
        <f aca="false">(C8-(1-'1. Inputs'!$B$11)*C7)/'1. Inputs'!$B$11</f>
        <v>-0.036800927267459</v>
      </c>
      <c r="E8" s="16" t="n">
        <f aca="false">E7*(1+D8)</f>
        <v>96.7689988409157</v>
      </c>
    </row>
    <row r="9" customFormat="false" ht="15" hidden="false" customHeight="false" outlineLevel="0" collapsed="false">
      <c r="A9" s="0" t="s">
        <v>40</v>
      </c>
      <c r="B9" s="15" t="n">
        <v>98.5</v>
      </c>
      <c r="C9" s="17" t="n">
        <f aca="false">B9/B8-1</f>
        <v>-0.0228174603174602</v>
      </c>
      <c r="D9" s="17" t="n">
        <f aca="false">(C9-(1-'1. Inputs'!$B$11)*C8)/'1. Inputs'!$B$11</f>
        <v>-0.0393965919701211</v>
      </c>
      <c r="E9" s="16" t="n">
        <f aca="false">E8*(1+D9)</f>
        <v>92.956630078223</v>
      </c>
    </row>
    <row r="10" customFormat="false" ht="15" hidden="false" customHeight="false" outlineLevel="0" collapsed="false">
      <c r="A10" s="0" t="s">
        <v>41</v>
      </c>
      <c r="B10" s="15" t="n">
        <v>96</v>
      </c>
      <c r="C10" s="17" t="n">
        <f aca="false">B10/B9-1</f>
        <v>-0.0253807106598984</v>
      </c>
      <c r="D10" s="17" t="n">
        <f aca="false">(C10-(1-'1. Inputs'!$B$11)*C9)/'1. Inputs'!$B$11</f>
        <v>-0.0292255861735558</v>
      </c>
      <c r="E10" s="16" t="n">
        <f aca="false">E9*(1+D10)</f>
        <v>90.2399180754686</v>
      </c>
    </row>
    <row r="11" customFormat="false" ht="15" hidden="false" customHeight="false" outlineLevel="0" collapsed="false">
      <c r="A11" s="0" t="s">
        <v>42</v>
      </c>
      <c r="B11" s="15" t="n">
        <v>94.2</v>
      </c>
      <c r="C11" s="17" t="n">
        <f aca="false">B11/B10-1</f>
        <v>-0.0187499999999999</v>
      </c>
      <c r="D11" s="17" t="n">
        <f aca="false">(C11-(1-'1. Inputs'!$B$11)*C10)/'1. Inputs'!$B$11</f>
        <v>-0.00880393401015217</v>
      </c>
      <c r="E11" s="16" t="n">
        <f aca="false">E10*(1+D11)</f>
        <v>89.4454517916506</v>
      </c>
    </row>
    <row r="12" customFormat="false" ht="15" hidden="false" customHeight="false" outlineLevel="0" collapsed="false">
      <c r="A12" s="0" t="s">
        <v>43</v>
      </c>
      <c r="B12" s="15" t="n">
        <v>93</v>
      </c>
      <c r="C12" s="17" t="n">
        <f aca="false">B12/B11-1</f>
        <v>-0.0127388535031847</v>
      </c>
      <c r="D12" s="17" t="n">
        <f aca="false">(C12-(1-'1. Inputs'!$B$11)*C11)/'1. Inputs'!$B$11</f>
        <v>-0.00372213375796188</v>
      </c>
      <c r="E12" s="16" t="n">
        <f aca="false">E11*(1+D12)</f>
        <v>89.1125238560407</v>
      </c>
    </row>
    <row r="14" customFormat="false" ht="15" hidden="false" customHeight="false" outlineLevel="0" collapsed="false">
      <c r="A14" s="12" t="s">
        <v>44</v>
      </c>
      <c r="B14" s="17" t="n">
        <f aca="false">B12/E12-1</f>
        <v>0.0436243524001116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3" min="2" style="0" width="16"/>
  </cols>
  <sheetData>
    <row r="1" customFormat="false" ht="16.15" hidden="false" customHeight="false" outlineLevel="0" collapsed="false">
      <c r="A1" s="6" t="s">
        <v>45</v>
      </c>
    </row>
    <row r="3" customFormat="false" ht="15" hidden="false" customHeight="false" outlineLevel="0" collapsed="false">
      <c r="A3" s="0" t="s">
        <v>46</v>
      </c>
      <c r="B3" s="13" t="n">
        <f aca="false">'1. Inputs'!B5/(1+'2. Unsmoothing'!B14)</f>
        <v>36.8906684780384</v>
      </c>
    </row>
    <row r="4" customFormat="false" ht="15" hidden="false" customHeight="false" outlineLevel="0" collapsed="false">
      <c r="A4" s="0" t="s">
        <v>47</v>
      </c>
      <c r="B4" s="13" t="n">
        <f aca="false">'1. Inputs'!B9*'1. Inputs'!B4</f>
        <v>0.575</v>
      </c>
    </row>
    <row r="5" customFormat="false" ht="15" hidden="false" customHeight="false" outlineLevel="0" collapsed="false">
      <c r="A5" s="0" t="s">
        <v>48</v>
      </c>
      <c r="B5" s="16" t="n">
        <f aca="false">(1-(1+'1. Inputs'!B10)^-'1. Inputs'!B8)/'1. Inputs'!B10</f>
        <v>2.72859070285056</v>
      </c>
    </row>
    <row r="6" customFormat="false" ht="15" hidden="false" customHeight="false" outlineLevel="0" collapsed="false">
      <c r="A6" s="0" t="s">
        <v>49</v>
      </c>
      <c r="B6" s="13" t="n">
        <f aca="false">B4*B5</f>
        <v>1.56893965413907</v>
      </c>
    </row>
    <row r="8" customFormat="false" ht="15" hidden="false" customHeight="false" outlineLevel="0" collapsed="false">
      <c r="A8" s="14" t="s">
        <v>50</v>
      </c>
      <c r="B8" s="14" t="s">
        <v>51</v>
      </c>
      <c r="C8" s="14" t="s">
        <v>52</v>
      </c>
    </row>
    <row r="9" customFormat="false" ht="15" hidden="false" customHeight="false" outlineLevel="0" collapsed="false">
      <c r="A9" s="0" t="s">
        <v>53</v>
      </c>
      <c r="B9" s="13" t="n">
        <f aca="false">'1. Inputs'!B5</f>
        <v>38.5</v>
      </c>
      <c r="C9" s="17" t="n">
        <f aca="false">1-'1. Inputs'!B13/B9</f>
        <v>0.18</v>
      </c>
    </row>
    <row r="10" customFormat="false" ht="15" hidden="false" customHeight="false" outlineLevel="0" collapsed="false">
      <c r="A10" s="0" t="s">
        <v>54</v>
      </c>
      <c r="B10" s="13" t="n">
        <f aca="false">B3</f>
        <v>36.8906684780384</v>
      </c>
      <c r="C10" s="17" t="n">
        <f aca="false">1-'1. Inputs'!B13/B10</f>
        <v>0.144228031031909</v>
      </c>
    </row>
    <row r="11" customFormat="false" ht="15" hidden="false" customHeight="false" outlineLevel="0" collapsed="false">
      <c r="A11" s="0" t="s">
        <v>55</v>
      </c>
      <c r="B11" s="13" t="n">
        <f aca="false">B3+'1. Inputs'!B12</f>
        <v>40.8906684780384</v>
      </c>
      <c r="C11" s="17" t="n">
        <f aca="false">1-('1. Inputs'!B13+'1. Inputs'!B12)/B11</f>
        <v>0.130119381171184</v>
      </c>
    </row>
    <row r="12" customFormat="false" ht="15" hidden="false" customHeight="false" outlineLevel="0" collapsed="false">
      <c r="A12" s="12" t="s">
        <v>56</v>
      </c>
      <c r="C12" s="18" t="n">
        <f aca="false">C11-B6/B11</f>
        <v>0.0917502443354352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8"/>
    <col collapsed="false" customWidth="true" hidden="false" outlineLevel="0" max="4" min="2" style="0" width="14"/>
    <col collapsed="false" customWidth="true" hidden="false" outlineLevel="0" max="5" min="5" style="0" width="22"/>
    <col collapsed="false" customWidth="true" hidden="false" outlineLevel="0" max="6" min="6" style="0" width="12"/>
  </cols>
  <sheetData>
    <row r="1" customFormat="false" ht="16.15" hidden="false" customHeight="false" outlineLevel="0" collapsed="false">
      <c r="A1" s="6" t="s">
        <v>57</v>
      </c>
    </row>
    <row r="3" customFormat="false" ht="15" hidden="false" customHeight="false" outlineLevel="0" collapsed="false">
      <c r="A3" s="0" t="s">
        <v>58</v>
      </c>
      <c r="B3" s="19" t="n">
        <f aca="false">D49</f>
        <v>0.131714165171684</v>
      </c>
    </row>
    <row r="4" customFormat="false" ht="15" hidden="false" customHeight="false" outlineLevel="0" collapsed="false">
      <c r="A4" s="0" t="s">
        <v>59</v>
      </c>
      <c r="B4" s="13" t="n">
        <f aca="false">'1. Inputs'!B5*((1-'1. Inputs'!B6)-0.1)/0.1</f>
        <v>30.8</v>
      </c>
    </row>
    <row r="5" customFormat="false" ht="15" hidden="false" customHeight="false" outlineLevel="0" collapsed="false">
      <c r="A5" s="20" t="s">
        <v>60</v>
      </c>
      <c r="B5" s="21" t="n">
        <f aca="false">(1-'1. Inputs'!B6)*'1. Inputs'!B5/('1. Inputs'!B5+'1. Inputs'!B12)</f>
        <v>0.163058823529412</v>
      </c>
    </row>
    <row r="6" customFormat="false" ht="35.05" hidden="false" customHeight="false" outlineLevel="0" collapsed="false">
      <c r="A6" s="22" t="s">
        <v>61</v>
      </c>
    </row>
    <row r="8" customFormat="false" ht="15" hidden="false" customHeight="false" outlineLevel="0" collapsed="false">
      <c r="A8" s="23" t="s">
        <v>62</v>
      </c>
      <c r="B8" s="23" t="s">
        <v>63</v>
      </c>
      <c r="C8" s="23" t="s">
        <v>64</v>
      </c>
      <c r="D8" s="23" t="s">
        <v>65</v>
      </c>
      <c r="E8" s="24" t="s">
        <v>66</v>
      </c>
    </row>
    <row r="9" customFormat="false" ht="15" hidden="false" customHeight="false" outlineLevel="0" collapsed="false">
      <c r="A9" s="0" t="n">
        <v>1</v>
      </c>
      <c r="B9" s="25" t="n">
        <v>0.05</v>
      </c>
      <c r="C9" s="25" t="n">
        <v>1</v>
      </c>
      <c r="D9" s="25" t="n">
        <f aca="false">(B9+C9)/2</f>
        <v>0.525</v>
      </c>
      <c r="E9" s="25" t="n">
        <f aca="false">IFERROR('2. Unsmoothing'!$B$12/('2. Unsmoothing'!$B$5*(1+'2. Unsmoothing'!$C$6)*EXP(SUMPRODUCT(LN(1+('2. Unsmoothing'!$C$7:$C$12-(1-D9)*'2. Unsmoothing'!$C$6:$C$11)/D9))))-1,9)-(1/'1. Inputs'!$B$6-1)</f>
        <v>-0.193592090275189</v>
      </c>
    </row>
    <row r="10" customFormat="false" ht="15" hidden="false" customHeight="false" outlineLevel="0" collapsed="false">
      <c r="A10" s="0" t="n">
        <v>2</v>
      </c>
      <c r="B10" s="25" t="n">
        <f aca="false">IF(E9&gt;0,D9,B9)</f>
        <v>0.05</v>
      </c>
      <c r="C10" s="25" t="n">
        <f aca="false">IF(E9&gt;0,C9,D9)</f>
        <v>0.525</v>
      </c>
      <c r="D10" s="25" t="n">
        <f aca="false">(B10+C10)/2</f>
        <v>0.2875</v>
      </c>
      <c r="E10" s="25" t="n">
        <f aca="false">IFERROR('2. Unsmoothing'!$B$12/('2. Unsmoothing'!$B$5*(1+'2. Unsmoothing'!$C$6)*EXP(SUMPRODUCT(LN(1+('2. Unsmoothing'!$C$7:$C$12-(1-D10)*'2. Unsmoothing'!$C$6:$C$11)/D10))))-1,9)-(1/'1. Inputs'!$B$6-1)</f>
        <v>-0.145607663139011</v>
      </c>
    </row>
    <row r="11" customFormat="false" ht="15" hidden="false" customHeight="false" outlineLevel="0" collapsed="false">
      <c r="A11" s="0" t="n">
        <v>3</v>
      </c>
      <c r="B11" s="25" t="n">
        <f aca="false">IF(E10&gt;0,D10,B10)</f>
        <v>0.05</v>
      </c>
      <c r="C11" s="25" t="n">
        <f aca="false">IF(E10&gt;0,C10,D10)</f>
        <v>0.2875</v>
      </c>
      <c r="D11" s="25" t="n">
        <f aca="false">(B11+C11)/2</f>
        <v>0.16875</v>
      </c>
      <c r="E11" s="25" t="n">
        <f aca="false">IFERROR('2. Unsmoothing'!$B$12/('2. Unsmoothing'!$B$5*(1+'2. Unsmoothing'!$C$6)*EXP(SUMPRODUCT(LN(1+('2. Unsmoothing'!$C$7:$C$12-(1-D11)*'2. Unsmoothing'!$C$6:$C$11)/D11))))-1,9)-(1/'1. Inputs'!$B$6-1)</f>
        <v>-0.0628071929697629</v>
      </c>
    </row>
    <row r="12" customFormat="false" ht="15" hidden="false" customHeight="false" outlineLevel="0" collapsed="false">
      <c r="A12" s="0" t="n">
        <v>4</v>
      </c>
      <c r="B12" s="25" t="n">
        <f aca="false">IF(E11&gt;0,D11,B11)</f>
        <v>0.05</v>
      </c>
      <c r="C12" s="25" t="n">
        <f aca="false">IF(E11&gt;0,C11,D11)</f>
        <v>0.16875</v>
      </c>
      <c r="D12" s="25" t="n">
        <f aca="false">(B12+C12)/2</f>
        <v>0.109375</v>
      </c>
      <c r="E12" s="25" t="n">
        <f aca="false">IFERROR('2. Unsmoothing'!$B$12/('2. Unsmoothing'!$B$5*(1+'2. Unsmoothing'!$C$6)*EXP(SUMPRODUCT(LN(1+('2. Unsmoothing'!$C$7:$C$12-(1-D12)*'2. Unsmoothing'!$C$6:$C$11)/D12))))-1,9)-(1/'1. Inputs'!$B$6-1)</f>
        <v>0.0637751686684034</v>
      </c>
    </row>
    <row r="13" customFormat="false" ht="15" hidden="false" customHeight="false" outlineLevel="0" collapsed="false">
      <c r="A13" s="0" t="n">
        <v>5</v>
      </c>
      <c r="B13" s="25" t="n">
        <f aca="false">IF(E12&gt;0,D12,B12)</f>
        <v>0.109375</v>
      </c>
      <c r="C13" s="25" t="n">
        <f aca="false">IF(E12&gt;0,C12,D12)</f>
        <v>0.16875</v>
      </c>
      <c r="D13" s="25" t="n">
        <f aca="false">(B13+C13)/2</f>
        <v>0.1390625</v>
      </c>
      <c r="E13" s="25" t="n">
        <f aca="false">IFERROR('2. Unsmoothing'!$B$12/('2. Unsmoothing'!$B$5*(1+'2. Unsmoothing'!$C$6)*EXP(SUMPRODUCT(LN(1+('2. Unsmoothing'!$C$7:$C$12-(1-D13)*'2. Unsmoothing'!$C$6:$C$11)/D13))))-1,9)-(1/'1. Inputs'!$B$6-1)</f>
        <v>-0.0156396821898879</v>
      </c>
    </row>
    <row r="14" customFormat="false" ht="15" hidden="false" customHeight="false" outlineLevel="0" collapsed="false">
      <c r="A14" s="0" t="n">
        <v>6</v>
      </c>
      <c r="B14" s="25" t="n">
        <f aca="false">IF(E13&gt;0,D13,B13)</f>
        <v>0.109375</v>
      </c>
      <c r="C14" s="25" t="n">
        <f aca="false">IF(E13&gt;0,C13,D13)</f>
        <v>0.1390625</v>
      </c>
      <c r="D14" s="25" t="n">
        <f aca="false">(B14+C14)/2</f>
        <v>0.12421875</v>
      </c>
      <c r="E14" s="25" t="n">
        <f aca="false">IFERROR('2. Unsmoothing'!$B$12/('2. Unsmoothing'!$B$5*(1+'2. Unsmoothing'!$C$6)*EXP(SUMPRODUCT(LN(1+('2. Unsmoothing'!$C$7:$C$12-(1-D14)*'2. Unsmoothing'!$C$6:$C$11)/D14))))-1,9)-(1/'1. Inputs'!$B$6-1)</f>
        <v>0.0182804787909836</v>
      </c>
    </row>
    <row r="15" customFormat="false" ht="15" hidden="false" customHeight="false" outlineLevel="0" collapsed="false">
      <c r="A15" s="0" t="n">
        <v>7</v>
      </c>
      <c r="B15" s="25" t="n">
        <f aca="false">IF(E14&gt;0,D14,B14)</f>
        <v>0.12421875</v>
      </c>
      <c r="C15" s="25" t="n">
        <f aca="false">IF(E14&gt;0,C14,D14)</f>
        <v>0.1390625</v>
      </c>
      <c r="D15" s="25" t="n">
        <f aca="false">(B15+C15)/2</f>
        <v>0.131640625</v>
      </c>
      <c r="E15" s="25" t="n">
        <f aca="false">IFERROR('2. Unsmoothing'!$B$12/('2. Unsmoothing'!$B$5*(1+'2. Unsmoothing'!$C$6)*EXP(SUMPRODUCT(LN(1+('2. Unsmoothing'!$C$7:$C$12-(1-D15)*'2. Unsmoothing'!$C$6:$C$11)/D15))))-1,9)-(1/'1. Inputs'!$B$6-1)</f>
        <v>0.000167163903632472</v>
      </c>
    </row>
    <row r="16" customFormat="false" ht="15" hidden="false" customHeight="false" outlineLevel="0" collapsed="false">
      <c r="A16" s="0" t="n">
        <v>8</v>
      </c>
      <c r="B16" s="25" t="n">
        <f aca="false">IF(E15&gt;0,D15,B15)</f>
        <v>0.131640625</v>
      </c>
      <c r="C16" s="25" t="n">
        <f aca="false">IF(E15&gt;0,C15,D15)</f>
        <v>0.1390625</v>
      </c>
      <c r="D16" s="25" t="n">
        <f aca="false">(B16+C16)/2</f>
        <v>0.1353515625</v>
      </c>
      <c r="E16" s="25" t="n">
        <f aca="false">IFERROR('2. Unsmoothing'!$B$12/('2. Unsmoothing'!$B$5*(1+'2. Unsmoothing'!$C$6)*EXP(SUMPRODUCT(LN(1+('2. Unsmoothing'!$C$7:$C$12-(1-D16)*'2. Unsmoothing'!$C$6:$C$11)/D16))))-1,9)-(1/'1. Inputs'!$B$6-1)</f>
        <v>-0.00799624459291048</v>
      </c>
    </row>
    <row r="17" customFormat="false" ht="15" hidden="false" customHeight="false" outlineLevel="0" collapsed="false">
      <c r="A17" s="0" t="n">
        <v>9</v>
      </c>
      <c r="B17" s="25" t="n">
        <f aca="false">IF(E16&gt;0,D16,B16)</f>
        <v>0.131640625</v>
      </c>
      <c r="C17" s="25" t="n">
        <f aca="false">IF(E16&gt;0,C16,D16)</f>
        <v>0.1353515625</v>
      </c>
      <c r="D17" s="25" t="n">
        <f aca="false">(B17+C17)/2</f>
        <v>0.13349609375</v>
      </c>
      <c r="E17" s="25" t="n">
        <f aca="false">IFERROR('2. Unsmoothing'!$B$12/('2. Unsmoothing'!$B$5*(1+'2. Unsmoothing'!$C$6)*EXP(SUMPRODUCT(LN(1+('2. Unsmoothing'!$C$7:$C$12-(1-D17)*'2. Unsmoothing'!$C$6:$C$11)/D17))))-1,9)-(1/'1. Inputs'!$B$6-1)</f>
        <v>-0.00398278352066583</v>
      </c>
    </row>
    <row r="18" customFormat="false" ht="15" hidden="false" customHeight="false" outlineLevel="0" collapsed="false">
      <c r="A18" s="0" t="n">
        <v>10</v>
      </c>
      <c r="B18" s="25" t="n">
        <f aca="false">IF(E17&gt;0,D17,B17)</f>
        <v>0.131640625</v>
      </c>
      <c r="C18" s="25" t="n">
        <f aca="false">IF(E17&gt;0,C17,D17)</f>
        <v>0.13349609375</v>
      </c>
      <c r="D18" s="25" t="n">
        <f aca="false">(B18+C18)/2</f>
        <v>0.132568359375</v>
      </c>
      <c r="E18" s="25" t="n">
        <f aca="false">IFERROR('2. Unsmoothing'!$B$12/('2. Unsmoothing'!$B$5*(1+'2. Unsmoothing'!$C$6)*EXP(SUMPRODUCT(LN(1+('2. Unsmoothing'!$C$7:$C$12-(1-D18)*'2. Unsmoothing'!$C$6:$C$11)/D18))))-1,9)-(1/'1. Inputs'!$B$6-1)</f>
        <v>-0.0019253002156463</v>
      </c>
    </row>
    <row r="19" customFormat="false" ht="15" hidden="false" customHeight="false" outlineLevel="0" collapsed="false">
      <c r="A19" s="0" t="n">
        <v>11</v>
      </c>
      <c r="B19" s="25" t="n">
        <f aca="false">IF(E18&gt;0,D18,B18)</f>
        <v>0.131640625</v>
      </c>
      <c r="C19" s="25" t="n">
        <f aca="false">IF(E18&gt;0,C18,D18)</f>
        <v>0.132568359375</v>
      </c>
      <c r="D19" s="25" t="n">
        <f aca="false">(B19+C19)/2</f>
        <v>0.1321044921875</v>
      </c>
      <c r="E19" s="25" t="n">
        <f aca="false">IFERROR('2. Unsmoothing'!$B$12/('2. Unsmoothing'!$B$5*(1+'2. Unsmoothing'!$C$6)*EXP(SUMPRODUCT(LN(1+('2. Unsmoothing'!$C$7:$C$12-(1-D19)*'2. Unsmoothing'!$C$6:$C$11)/D19))))-1,9)-(1/'1. Inputs'!$B$6-1)</f>
        <v>-0.000883496037756615</v>
      </c>
    </row>
    <row r="20" customFormat="false" ht="15" hidden="false" customHeight="false" outlineLevel="0" collapsed="false">
      <c r="A20" s="0" t="n">
        <v>12</v>
      </c>
      <c r="B20" s="25" t="n">
        <f aca="false">IF(E19&gt;0,D19,B19)</f>
        <v>0.131640625</v>
      </c>
      <c r="C20" s="25" t="n">
        <f aca="false">IF(E19&gt;0,C19,D19)</f>
        <v>0.1321044921875</v>
      </c>
      <c r="D20" s="25" t="n">
        <f aca="false">(B20+C20)/2</f>
        <v>0.13187255859375</v>
      </c>
      <c r="E20" s="25" t="n">
        <f aca="false">IFERROR('2. Unsmoothing'!$B$12/('2. Unsmoothing'!$B$5*(1+'2. Unsmoothing'!$C$6)*EXP(SUMPRODUCT(LN(1+('2. Unsmoothing'!$C$7:$C$12-(1-D20)*'2. Unsmoothing'!$C$6:$C$11)/D20))))-1,9)-(1/'1. Inputs'!$B$6-1)</f>
        <v>-0.000359280049243571</v>
      </c>
    </row>
    <row r="21" customFormat="false" ht="15" hidden="false" customHeight="false" outlineLevel="0" collapsed="false">
      <c r="A21" s="0" t="n">
        <v>13</v>
      </c>
      <c r="B21" s="25" t="n">
        <f aca="false">IF(E20&gt;0,D20,B20)</f>
        <v>0.131640625</v>
      </c>
      <c r="C21" s="25" t="n">
        <f aca="false">IF(E20&gt;0,C20,D20)</f>
        <v>0.13187255859375</v>
      </c>
      <c r="D21" s="25" t="n">
        <f aca="false">(B21+C21)/2</f>
        <v>0.131756591796875</v>
      </c>
      <c r="E21" s="25" t="n">
        <f aca="false">IFERROR('2. Unsmoothing'!$B$12/('2. Unsmoothing'!$B$5*(1+'2. Unsmoothing'!$C$6)*EXP(SUMPRODUCT(LN(1+('2. Unsmoothing'!$C$7:$C$12-(1-D21)*'2. Unsmoothing'!$C$6:$C$11)/D21))))-1,9)-(1/'1. Inputs'!$B$6-1)</f>
        <v>-9.63374512781279E-005</v>
      </c>
    </row>
    <row r="22" customFormat="false" ht="15" hidden="false" customHeight="false" outlineLevel="0" collapsed="false">
      <c r="A22" s="0" t="n">
        <v>14</v>
      </c>
      <c r="B22" s="25" t="n">
        <f aca="false">IF(E21&gt;0,D21,B21)</f>
        <v>0.131640625</v>
      </c>
      <c r="C22" s="25" t="n">
        <f aca="false">IF(E21&gt;0,C21,D21)</f>
        <v>0.131756591796875</v>
      </c>
      <c r="D22" s="25" t="n">
        <f aca="false">(B22+C22)/2</f>
        <v>0.131698608398438</v>
      </c>
      <c r="E22" s="25" t="n">
        <f aca="false">IFERROR('2. Unsmoothing'!$B$12/('2. Unsmoothing'!$B$5*(1+'2. Unsmoothing'!$C$6)*EXP(SUMPRODUCT(LN(1+('2. Unsmoothing'!$C$7:$C$12-(1-D22)*'2. Unsmoothing'!$C$6:$C$11)/D22))))-1,9)-(1/'1. Inputs'!$B$6-1)</f>
        <v>3.53432707864698E-005</v>
      </c>
    </row>
    <row r="23" customFormat="false" ht="15" hidden="false" customHeight="false" outlineLevel="0" collapsed="false">
      <c r="A23" s="0" t="n">
        <v>15</v>
      </c>
      <c r="B23" s="25" t="n">
        <f aca="false">IF(E22&gt;0,D22,B22)</f>
        <v>0.131698608398438</v>
      </c>
      <c r="C23" s="25" t="n">
        <f aca="false">IF(E22&gt;0,C22,D22)</f>
        <v>0.131756591796875</v>
      </c>
      <c r="D23" s="25" t="n">
        <f aca="false">(B23+C23)/2</f>
        <v>0.131727600097656</v>
      </c>
      <c r="E23" s="25" t="n">
        <f aca="false">IFERROR('2. Unsmoothing'!$B$12/('2. Unsmoothing'!$B$5*(1+'2. Unsmoothing'!$C$6)*EXP(SUMPRODUCT(LN(1+('2. Unsmoothing'!$C$7:$C$12-(1-D23)*'2. Unsmoothing'!$C$6:$C$11)/D23))))-1,9)-(1/'1. Inputs'!$B$6-1)</f>
        <v>-3.05145652290673E-005</v>
      </c>
    </row>
    <row r="24" customFormat="false" ht="15" hidden="false" customHeight="false" outlineLevel="0" collapsed="false">
      <c r="A24" s="0" t="n">
        <v>16</v>
      </c>
      <c r="B24" s="25" t="n">
        <f aca="false">IF(E23&gt;0,D23,B23)</f>
        <v>0.131698608398438</v>
      </c>
      <c r="C24" s="25" t="n">
        <f aca="false">IF(E23&gt;0,C23,D23)</f>
        <v>0.131727600097656</v>
      </c>
      <c r="D24" s="25" t="n">
        <f aca="false">(B24+C24)/2</f>
        <v>0.131713104248047</v>
      </c>
      <c r="E24" s="25" t="n">
        <f aca="false">IFERROR('2. Unsmoothing'!$B$12/('2. Unsmoothing'!$B$5*(1+'2. Unsmoothing'!$C$6)*EXP(SUMPRODUCT(LN(1+('2. Unsmoothing'!$C$7:$C$12-(1-D24)*'2. Unsmoothing'!$C$6:$C$11)/D24))))-1,9)-(1/'1. Inputs'!$B$6-1)</f>
        <v>2.40998230061074E-006</v>
      </c>
    </row>
    <row r="25" customFormat="false" ht="15" hidden="false" customHeight="false" outlineLevel="0" collapsed="false">
      <c r="A25" s="0" t="n">
        <v>17</v>
      </c>
      <c r="B25" s="25" t="n">
        <f aca="false">IF(E24&gt;0,D24,B24)</f>
        <v>0.131713104248047</v>
      </c>
      <c r="C25" s="25" t="n">
        <f aca="false">IF(E24&gt;0,C24,D24)</f>
        <v>0.131727600097656</v>
      </c>
      <c r="D25" s="25" t="n">
        <f aca="false">(B25+C25)/2</f>
        <v>0.131720352172852</v>
      </c>
      <c r="E25" s="25" t="n">
        <f aca="false">IFERROR('2. Unsmoothing'!$B$12/('2. Unsmoothing'!$B$5*(1+'2. Unsmoothing'!$C$6)*EXP(SUMPRODUCT(LN(1+('2. Unsmoothing'!$C$7:$C$12-(1-D25)*'2. Unsmoothing'!$C$6:$C$11)/D25))))-1,9)-(1/'1. Inputs'!$B$6-1)</f>
        <v>-1.40533838670631E-005</v>
      </c>
    </row>
    <row r="26" customFormat="false" ht="15" hidden="false" customHeight="false" outlineLevel="0" collapsed="false">
      <c r="A26" s="0" t="n">
        <v>18</v>
      </c>
      <c r="B26" s="25" t="n">
        <f aca="false">IF(E25&gt;0,D25,B25)</f>
        <v>0.131713104248047</v>
      </c>
      <c r="C26" s="25" t="n">
        <f aca="false">IF(E25&gt;0,C25,D25)</f>
        <v>0.131720352172852</v>
      </c>
      <c r="D26" s="25" t="n">
        <f aca="false">(B26+C26)/2</f>
        <v>0.131716728210449</v>
      </c>
      <c r="E26" s="25" t="n">
        <f aca="false">IFERROR('2. Unsmoothing'!$B$12/('2. Unsmoothing'!$B$5*(1+'2. Unsmoothing'!$C$6)*EXP(SUMPRODUCT(LN(1+('2. Unsmoothing'!$C$7:$C$12-(1-D26)*'2. Unsmoothing'!$C$6:$C$11)/D26))))-1,9)-(1/'1. Inputs'!$B$6-1)</f>
        <v>-5.82197391074679E-006</v>
      </c>
    </row>
    <row r="27" customFormat="false" ht="15" hidden="false" customHeight="false" outlineLevel="0" collapsed="false">
      <c r="A27" s="0" t="n">
        <v>19</v>
      </c>
      <c r="B27" s="25" t="n">
        <f aca="false">IF(E26&gt;0,D26,B26)</f>
        <v>0.131713104248047</v>
      </c>
      <c r="C27" s="25" t="n">
        <f aca="false">IF(E26&gt;0,C26,D26)</f>
        <v>0.131716728210449</v>
      </c>
      <c r="D27" s="25" t="n">
        <f aca="false">(B27+C27)/2</f>
        <v>0.131714916229248</v>
      </c>
      <c r="E27" s="25" t="n">
        <f aca="false">IFERROR('2. Unsmoothing'!$B$12/('2. Unsmoothing'!$B$5*(1+'2. Unsmoothing'!$C$6)*EXP(SUMPRODUCT(LN(1+('2. Unsmoothing'!$C$7:$C$12-(1-D27)*'2. Unsmoothing'!$C$6:$C$11)/D27))))-1,9)-(1/'1. Inputs'!$B$6-1)</f>
        <v>-1.70606409022334E-006</v>
      </c>
    </row>
    <row r="28" customFormat="false" ht="15" hidden="false" customHeight="false" outlineLevel="0" collapsed="false">
      <c r="A28" s="0" t="n">
        <v>20</v>
      </c>
      <c r="B28" s="25" t="n">
        <f aca="false">IF(E27&gt;0,D27,B27)</f>
        <v>0.131713104248047</v>
      </c>
      <c r="C28" s="25" t="n">
        <f aca="false">IF(E27&gt;0,C27,D27)</f>
        <v>0.131714916229248</v>
      </c>
      <c r="D28" s="25" t="n">
        <f aca="false">(B28+C28)/2</f>
        <v>0.131714010238647</v>
      </c>
      <c r="E28" s="25" t="n">
        <f aca="false">IFERROR('2. Unsmoothing'!$B$12/('2. Unsmoothing'!$B$5*(1+'2. Unsmoothing'!$C$6)*EXP(SUMPRODUCT(LN(1+('2. Unsmoothing'!$C$7:$C$12-(1-D28)*'2. Unsmoothing'!$C$6:$C$11)/D28))))-1,9)-(1/'1. Inputs'!$B$6-1)</f>
        <v>3.51942033738339E-007</v>
      </c>
    </row>
    <row r="29" customFormat="false" ht="15" hidden="false" customHeight="false" outlineLevel="0" collapsed="false">
      <c r="A29" s="0" t="n">
        <v>21</v>
      </c>
      <c r="B29" s="25" t="n">
        <f aca="false">IF(E28&gt;0,D28,B28)</f>
        <v>0.131714010238647</v>
      </c>
      <c r="C29" s="25" t="n">
        <f aca="false">IF(E28&gt;0,C28,D28)</f>
        <v>0.131714916229248</v>
      </c>
      <c r="D29" s="25" t="n">
        <f aca="false">(B29+C29)/2</f>
        <v>0.131714463233948</v>
      </c>
      <c r="E29" s="25" t="n">
        <f aca="false">IFERROR('2. Unsmoothing'!$B$12/('2. Unsmoothing'!$B$5*(1+'2. Unsmoothing'!$C$6)*EXP(SUMPRODUCT(LN(1+('2. Unsmoothing'!$C$7:$C$12-(1-D29)*'2. Unsmoothing'!$C$6:$C$11)/D29))))-1,9)-(1/'1. Inputs'!$B$6-1)</f>
        <v>-6.77065296050827E-007</v>
      </c>
    </row>
    <row r="30" customFormat="false" ht="15" hidden="false" customHeight="false" outlineLevel="0" collapsed="false">
      <c r="A30" s="0" t="n">
        <v>22</v>
      </c>
      <c r="B30" s="25" t="n">
        <f aca="false">IF(E29&gt;0,D29,B29)</f>
        <v>0.131714010238647</v>
      </c>
      <c r="C30" s="25" t="n">
        <f aca="false">IF(E29&gt;0,C29,D29)</f>
        <v>0.131714463233948</v>
      </c>
      <c r="D30" s="25" t="n">
        <f aca="false">(B30+C30)/2</f>
        <v>0.131714236736298</v>
      </c>
      <c r="E30" s="25" t="n">
        <f aca="false">IFERROR('2. Unsmoothing'!$B$12/('2. Unsmoothing'!$B$5*(1+'2. Unsmoothing'!$C$6)*EXP(SUMPRODUCT(LN(1+('2. Unsmoothing'!$C$7:$C$12-(1-D30)*'2. Unsmoothing'!$C$6:$C$11)/D30))))-1,9)-(1/'1. Inputs'!$B$6-1)</f>
        <v>-1.62562697969548E-007</v>
      </c>
    </row>
    <row r="31" customFormat="false" ht="15" hidden="false" customHeight="false" outlineLevel="0" collapsed="false">
      <c r="A31" s="0" t="n">
        <v>23</v>
      </c>
      <c r="B31" s="25" t="n">
        <f aca="false">IF(E30&gt;0,D30,B30)</f>
        <v>0.131714010238647</v>
      </c>
      <c r="C31" s="25" t="n">
        <f aca="false">IF(E30&gt;0,C30,D30)</f>
        <v>0.131714236736298</v>
      </c>
      <c r="D31" s="25" t="n">
        <f aca="false">(B31+C31)/2</f>
        <v>0.131714123487473</v>
      </c>
      <c r="E31" s="25" t="n">
        <f aca="false">IFERROR('2. Unsmoothing'!$B$12/('2. Unsmoothing'!$B$5*(1+'2. Unsmoothing'!$C$6)*EXP(SUMPRODUCT(LN(1+('2. Unsmoothing'!$C$7:$C$12-(1-D31)*'2. Unsmoothing'!$C$6:$C$11)/D31))))-1,9)-(1/'1. Inputs'!$B$6-1)</f>
        <v>9.46894009867805E-008</v>
      </c>
    </row>
    <row r="32" customFormat="false" ht="15" hidden="false" customHeight="false" outlineLevel="0" collapsed="false">
      <c r="A32" s="0" t="n">
        <v>24</v>
      </c>
      <c r="B32" s="25" t="n">
        <f aca="false">IF(E31&gt;0,D31,B31)</f>
        <v>0.131714123487473</v>
      </c>
      <c r="C32" s="25" t="n">
        <f aca="false">IF(E31&gt;0,C31,D31)</f>
        <v>0.131714236736298</v>
      </c>
      <c r="D32" s="25" t="n">
        <f aca="false">(B32+C32)/2</f>
        <v>0.131714180111885</v>
      </c>
      <c r="E32" s="25" t="n">
        <f aca="false">IFERROR('2. Unsmoothing'!$B$12/('2. Unsmoothing'!$B$5*(1+'2. Unsmoothing'!$C$6)*EXP(SUMPRODUCT(LN(1+('2. Unsmoothing'!$C$7:$C$12-(1-D32)*'2. Unsmoothing'!$C$6:$C$11)/D32))))-1,9)-(1/'1. Inputs'!$B$6-1)</f>
        <v>-3.39367154378323E-008</v>
      </c>
    </row>
    <row r="33" customFormat="false" ht="15" hidden="false" customHeight="false" outlineLevel="0" collapsed="false">
      <c r="A33" s="0" t="n">
        <v>25</v>
      </c>
      <c r="B33" s="25" t="n">
        <f aca="false">IF(E32&gt;0,D32,B32)</f>
        <v>0.131714123487473</v>
      </c>
      <c r="C33" s="25" t="n">
        <f aca="false">IF(E32&gt;0,C32,D32)</f>
        <v>0.131714180111885</v>
      </c>
      <c r="D33" s="25" t="n">
        <f aca="false">(B33+C33)/2</f>
        <v>0.131714151799679</v>
      </c>
      <c r="E33" s="25" t="n">
        <f aca="false">IFERROR('2. Unsmoothing'!$B$12/('2. Unsmoothing'!$B$5*(1+'2. Unsmoothing'!$C$6)*EXP(SUMPRODUCT(LN(1+('2. Unsmoothing'!$C$7:$C$12-(1-D33)*'2. Unsmoothing'!$C$6:$C$11)/D33))))-1,9)-(1/'1. Inputs'!$B$6-1)</f>
        <v>3.03763263431733E-008</v>
      </c>
    </row>
    <row r="34" customFormat="false" ht="15" hidden="false" customHeight="false" outlineLevel="0" collapsed="false">
      <c r="A34" s="0" t="n">
        <v>26</v>
      </c>
      <c r="B34" s="25" t="n">
        <f aca="false">IF(E33&gt;0,D33,B33)</f>
        <v>0.131714151799679</v>
      </c>
      <c r="C34" s="25" t="n">
        <f aca="false">IF(E33&gt;0,C33,D33)</f>
        <v>0.131714180111885</v>
      </c>
      <c r="D34" s="25" t="n">
        <f aca="false">(B34+C34)/2</f>
        <v>0.131714165955782</v>
      </c>
      <c r="E34" s="25" t="n">
        <f aca="false">IFERROR('2. Unsmoothing'!$B$12/('2. Unsmoothing'!$B$5*(1+'2. Unsmoothing'!$C$6)*EXP(SUMPRODUCT(LN(1+('2. Unsmoothing'!$C$7:$C$12-(1-D34)*'2. Unsmoothing'!$C$6:$C$11)/D34))))-1,9)-(1/'1. Inputs'!$B$6-1)</f>
        <v>-1.78019887719927E-009</v>
      </c>
    </row>
    <row r="35" customFormat="false" ht="15" hidden="false" customHeight="false" outlineLevel="0" collapsed="false">
      <c r="A35" s="0" t="n">
        <v>27</v>
      </c>
      <c r="B35" s="25" t="n">
        <f aca="false">IF(E34&gt;0,D34,B34)</f>
        <v>0.131714151799679</v>
      </c>
      <c r="C35" s="25" t="n">
        <f aca="false">IF(E34&gt;0,C34,D34)</f>
        <v>0.131714165955782</v>
      </c>
      <c r="D35" s="25" t="n">
        <f aca="false">(B35+C35)/2</f>
        <v>0.13171415887773</v>
      </c>
      <c r="E35" s="25" t="n">
        <f aca="false">IFERROR('2. Unsmoothing'!$B$12/('2. Unsmoothing'!$B$5*(1+'2. Unsmoothing'!$C$6)*EXP(SUMPRODUCT(LN(1+('2. Unsmoothing'!$C$7:$C$12-(1-D35)*'2. Unsmoothing'!$C$6:$C$11)/D35))))-1,9)-(1/'1. Inputs'!$B$6-1)</f>
        <v>1.42980627337863E-008</v>
      </c>
    </row>
    <row r="36" customFormat="false" ht="15" hidden="false" customHeight="false" outlineLevel="0" collapsed="false">
      <c r="A36" s="0" t="n">
        <v>28</v>
      </c>
      <c r="B36" s="25" t="n">
        <f aca="false">IF(E35&gt;0,D35,B35)</f>
        <v>0.13171415887773</v>
      </c>
      <c r="C36" s="25" t="n">
        <f aca="false">IF(E35&gt;0,C35,D35)</f>
        <v>0.131714165955782</v>
      </c>
      <c r="D36" s="25" t="n">
        <f aca="false">(B36+C36)/2</f>
        <v>0.131714162416756</v>
      </c>
      <c r="E36" s="25" t="n">
        <f aca="false">IFERROR('2. Unsmoothing'!$B$12/('2. Unsmoothing'!$B$5*(1+'2. Unsmoothing'!$C$6)*EXP(SUMPRODUCT(LN(1+('2. Unsmoothing'!$C$7:$C$12-(1-D36)*'2. Unsmoothing'!$C$6:$C$11)/D36))))-1,9)-(1/'1. Inputs'!$B$6-1)</f>
        <v>6.25893181727122E-009</v>
      </c>
    </row>
    <row r="37" customFormat="false" ht="15" hidden="false" customHeight="false" outlineLevel="0" collapsed="false">
      <c r="A37" s="0" t="n">
        <v>29</v>
      </c>
      <c r="B37" s="25" t="n">
        <f aca="false">IF(E36&gt;0,D36,B36)</f>
        <v>0.131714162416756</v>
      </c>
      <c r="C37" s="25" t="n">
        <f aca="false">IF(E36&gt;0,C36,D36)</f>
        <v>0.131714165955782</v>
      </c>
      <c r="D37" s="25" t="n">
        <f aca="false">(B37+C37)/2</f>
        <v>0.131714164186269</v>
      </c>
      <c r="E37" s="25" t="n">
        <f aca="false">IFERROR('2. Unsmoothing'!$B$12/('2. Unsmoothing'!$B$5*(1+'2. Unsmoothing'!$C$6)*EXP(SUMPRODUCT(LN(1+('2. Unsmoothing'!$C$7:$C$12-(1-D37)*'2. Unsmoothing'!$C$6:$C$11)/D37))))-1,9)-(1/'1. Inputs'!$B$6-1)</f>
        <v>2.23936647003598E-009</v>
      </c>
    </row>
    <row r="38" customFormat="false" ht="15" hidden="false" customHeight="false" outlineLevel="0" collapsed="false">
      <c r="A38" s="0" t="n">
        <v>30</v>
      </c>
      <c r="B38" s="25" t="n">
        <f aca="false">IF(E37&gt;0,D37,B37)</f>
        <v>0.131714164186269</v>
      </c>
      <c r="C38" s="25" t="n">
        <f aca="false">IF(E37&gt;0,C37,D37)</f>
        <v>0.131714165955782</v>
      </c>
      <c r="D38" s="25" t="n">
        <f aca="false">(B38+C38)/2</f>
        <v>0.131714165071026</v>
      </c>
      <c r="E38" s="25" t="n">
        <f aca="false">IFERROR('2. Unsmoothing'!$B$12/('2. Unsmoothing'!$B$5*(1+'2. Unsmoothing'!$C$6)*EXP(SUMPRODUCT(LN(1+('2. Unsmoothing'!$C$7:$C$12-(1-D38)*'2. Unsmoothing'!$C$6:$C$11)/D38))))-1,9)-(1/'1. Inputs'!$B$6-1)</f>
        <v>2.29583685396051E-010</v>
      </c>
    </row>
    <row r="39" customFormat="false" ht="15" hidden="false" customHeight="false" outlineLevel="0" collapsed="false">
      <c r="A39" s="0" t="n">
        <v>31</v>
      </c>
      <c r="B39" s="25" t="n">
        <f aca="false">IF(E38&gt;0,D38,B38)</f>
        <v>0.131714165071026</v>
      </c>
      <c r="C39" s="25" t="n">
        <f aca="false">IF(E38&gt;0,C38,D38)</f>
        <v>0.131714165955782</v>
      </c>
      <c r="D39" s="25" t="n">
        <f aca="false">(B39+C39)/2</f>
        <v>0.131714165513404</v>
      </c>
      <c r="E39" s="25" t="n">
        <f aca="false">IFERROR('2. Unsmoothing'!$B$12/('2. Unsmoothing'!$B$5*(1+'2. Unsmoothing'!$C$6)*EXP(SUMPRODUCT(LN(1+('2. Unsmoothing'!$C$7:$C$12-(1-D39)*'2. Unsmoothing'!$C$6:$C$11)/D39))))-1,9)-(1/'1. Inputs'!$B$6-1)</f>
        <v>-7.75307373857004E-010</v>
      </c>
    </row>
    <row r="40" customFormat="false" ht="15" hidden="false" customHeight="false" outlineLevel="0" collapsed="false">
      <c r="A40" s="0" t="n">
        <v>32</v>
      </c>
      <c r="B40" s="25" t="n">
        <f aca="false">IF(E39&gt;0,D39,B39)</f>
        <v>0.131714165071026</v>
      </c>
      <c r="C40" s="25" t="n">
        <f aca="false">IF(E39&gt;0,C39,D39)</f>
        <v>0.131714165513404</v>
      </c>
      <c r="D40" s="25" t="n">
        <f aca="false">(B40+C40)/2</f>
        <v>0.131714165292215</v>
      </c>
      <c r="E40" s="25" t="n">
        <f aca="false">IFERROR('2. Unsmoothing'!$B$12/('2. Unsmoothing'!$B$5*(1+'2. Unsmoothing'!$C$6)*EXP(SUMPRODUCT(LN(1+('2. Unsmoothing'!$C$7:$C$12-(1-D40)*'2. Unsmoothing'!$C$6:$C$11)/D40))))-1,9)-(1/'1. Inputs'!$B$6-1)</f>
        <v>-2.72861733208174E-010</v>
      </c>
    </row>
    <row r="41" customFormat="false" ht="15" hidden="false" customHeight="false" outlineLevel="0" collapsed="false">
      <c r="A41" s="0" t="n">
        <v>33</v>
      </c>
      <c r="B41" s="25" t="n">
        <f aca="false">IF(E40&gt;0,D40,B40)</f>
        <v>0.131714165071026</v>
      </c>
      <c r="C41" s="25" t="n">
        <f aca="false">IF(E40&gt;0,C40,D40)</f>
        <v>0.131714165292215</v>
      </c>
      <c r="D41" s="25" t="n">
        <f aca="false">(B41+C41)/2</f>
        <v>0.13171416518162</v>
      </c>
      <c r="E41" s="25" t="n">
        <f aca="false">IFERROR('2. Unsmoothing'!$B$12/('2. Unsmoothing'!$B$5*(1+'2. Unsmoothing'!$C$6)*EXP(SUMPRODUCT(LN(1+('2. Unsmoothing'!$C$7:$C$12-(1-D41)*'2. Unsmoothing'!$C$6:$C$11)/D41))))-1,9)-(1/'1. Inputs'!$B$6-1)</f>
        <v>-2.16386908391542E-011</v>
      </c>
    </row>
    <row r="42" customFormat="false" ht="15" hidden="false" customHeight="false" outlineLevel="0" collapsed="false">
      <c r="A42" s="0" t="n">
        <v>34</v>
      </c>
      <c r="B42" s="25" t="n">
        <f aca="false">IF(E41&gt;0,D41,B41)</f>
        <v>0.131714165071026</v>
      </c>
      <c r="C42" s="25" t="n">
        <f aca="false">IF(E41&gt;0,C41,D41)</f>
        <v>0.13171416518162</v>
      </c>
      <c r="D42" s="25" t="n">
        <f aca="false">(B42+C42)/2</f>
        <v>0.131714165126323</v>
      </c>
      <c r="E42" s="25" t="n">
        <f aca="false">IFERROR('2. Unsmoothing'!$B$12/('2. Unsmoothing'!$B$5*(1+'2. Unsmoothing'!$C$6)*EXP(SUMPRODUCT(LN(1+('2. Unsmoothing'!$C$7:$C$12-(1-D42)*'2. Unsmoothing'!$C$6:$C$11)/D42))))-1,9)-(1/'1. Inputs'!$B$6-1)</f>
        <v>1.03972164211541E-010</v>
      </c>
    </row>
    <row r="43" customFormat="false" ht="15" hidden="false" customHeight="false" outlineLevel="0" collapsed="false">
      <c r="A43" s="0" t="n">
        <v>35</v>
      </c>
      <c r="B43" s="25" t="n">
        <f aca="false">IF(E42&gt;0,D42,B42)</f>
        <v>0.131714165126323</v>
      </c>
      <c r="C43" s="25" t="n">
        <f aca="false">IF(E42&gt;0,C42,D42)</f>
        <v>0.13171416518162</v>
      </c>
      <c r="D43" s="25" t="n">
        <f aca="false">(B43+C43)/2</f>
        <v>0.131714165153971</v>
      </c>
      <c r="E43" s="25" t="n">
        <f aca="false">IFERROR('2. Unsmoothing'!$B$12/('2. Unsmoothing'!$B$5*(1+'2. Unsmoothing'!$C$6)*EXP(SUMPRODUCT(LN(1+('2. Unsmoothing'!$C$7:$C$12-(1-D43)*'2. Unsmoothing'!$C$6:$C$11)/D43))))-1,9)-(1/'1. Inputs'!$B$6-1)</f>
        <v>4.1166625663891E-011</v>
      </c>
    </row>
    <row r="44" customFormat="false" ht="15" hidden="false" customHeight="false" outlineLevel="0" collapsed="false">
      <c r="A44" s="0" t="n">
        <v>36</v>
      </c>
      <c r="B44" s="25" t="n">
        <f aca="false">IF(E43&gt;0,D43,B43)</f>
        <v>0.131714165153971</v>
      </c>
      <c r="C44" s="25" t="n">
        <f aca="false">IF(E43&gt;0,C43,D43)</f>
        <v>0.13171416518162</v>
      </c>
      <c r="D44" s="25" t="n">
        <f aca="false">(B44+C44)/2</f>
        <v>0.131714165167796</v>
      </c>
      <c r="E44" s="25" t="n">
        <f aca="false">IFERROR('2. Unsmoothing'!$B$12/('2. Unsmoothing'!$B$5*(1+'2. Unsmoothing'!$C$6)*EXP(SUMPRODUCT(LN(1+('2. Unsmoothing'!$C$7:$C$12-(1-D44)*'2. Unsmoothing'!$C$6:$C$11)/D44))))-1,9)-(1/'1. Inputs'!$B$6-1)</f>
        <v>9.76374536776348E-012</v>
      </c>
    </row>
    <row r="45" customFormat="false" ht="15" hidden="false" customHeight="false" outlineLevel="0" collapsed="false">
      <c r="A45" s="0" t="n">
        <v>37</v>
      </c>
      <c r="B45" s="25" t="n">
        <f aca="false">IF(E44&gt;0,D44,B44)</f>
        <v>0.131714165167796</v>
      </c>
      <c r="C45" s="25" t="n">
        <f aca="false">IF(E44&gt;0,C44,D44)</f>
        <v>0.13171416518162</v>
      </c>
      <c r="D45" s="25" t="n">
        <f aca="false">(B45+C45)/2</f>
        <v>0.131714165174708</v>
      </c>
      <c r="E45" s="25" t="n">
        <f aca="false">IFERROR('2. Unsmoothing'!$B$12/('2. Unsmoothing'!$B$5*(1+'2. Unsmoothing'!$C$6)*EXP(SUMPRODUCT(LN(1+('2. Unsmoothing'!$C$7:$C$12-(1-D45)*'2. Unsmoothing'!$C$6:$C$11)/D45))))-1,9)-(1/'1. Inputs'!$B$6-1)</f>
        <v>-5.93747273569534E-012</v>
      </c>
    </row>
    <row r="46" customFormat="false" ht="15" hidden="false" customHeight="false" outlineLevel="0" collapsed="false">
      <c r="A46" s="0" t="n">
        <v>38</v>
      </c>
      <c r="B46" s="25" t="n">
        <f aca="false">IF(E45&gt;0,D45,B45)</f>
        <v>0.131714165167796</v>
      </c>
      <c r="C46" s="25" t="n">
        <f aca="false">IF(E45&gt;0,C45,D45)</f>
        <v>0.131714165174708</v>
      </c>
      <c r="D46" s="25" t="n">
        <f aca="false">(B46+C46)/2</f>
        <v>0.131714165171252</v>
      </c>
      <c r="E46" s="25" t="n">
        <f aca="false">IFERROR('2. Unsmoothing'!$B$12/('2. Unsmoothing'!$B$5*(1+'2. Unsmoothing'!$C$6)*EXP(SUMPRODUCT(LN(1+('2. Unsmoothing'!$C$7:$C$12-(1-D46)*'2. Unsmoothing'!$C$6:$C$11)/D46))))-1,9)-(1/'1. Inputs'!$B$6-1)</f>
        <v>1.91313631603407E-012</v>
      </c>
    </row>
    <row r="47" customFormat="false" ht="15" hidden="false" customHeight="false" outlineLevel="0" collapsed="false">
      <c r="A47" s="0" t="n">
        <v>39</v>
      </c>
      <c r="B47" s="25" t="n">
        <f aca="false">IF(E46&gt;0,D46,B46)</f>
        <v>0.131714165171252</v>
      </c>
      <c r="C47" s="25" t="n">
        <f aca="false">IF(E46&gt;0,C46,D46)</f>
        <v>0.131714165174708</v>
      </c>
      <c r="D47" s="25" t="n">
        <f aca="false">(B47+C47)/2</f>
        <v>0.13171416517298</v>
      </c>
      <c r="E47" s="25" t="n">
        <f aca="false">IFERROR('2. Unsmoothing'!$B$12/('2. Unsmoothing'!$B$5*(1+'2. Unsmoothing'!$C$6)*EXP(SUMPRODUCT(LN(1+('2. Unsmoothing'!$C$7:$C$12-(1-D47)*'2. Unsmoothing'!$C$6:$C$11)/D47))))-1,9)-(1/'1. Inputs'!$B$6-1)</f>
        <v>-2.01239025443556E-012</v>
      </c>
    </row>
    <row r="48" customFormat="false" ht="15" hidden="false" customHeight="false" outlineLevel="0" collapsed="false">
      <c r="A48" s="0" t="n">
        <v>40</v>
      </c>
      <c r="B48" s="25" t="n">
        <f aca="false">IF(E47&gt;0,D47,B47)</f>
        <v>0.131714165171252</v>
      </c>
      <c r="C48" s="25" t="n">
        <f aca="false">IF(E47&gt;0,C47,D47)</f>
        <v>0.13171416517298</v>
      </c>
      <c r="D48" s="25" t="n">
        <f aca="false">(B48+C48)/2</f>
        <v>0.131714165172116</v>
      </c>
      <c r="E48" s="25" t="n">
        <f aca="false">IFERROR('2. Unsmoothing'!$B$12/('2. Unsmoothing'!$B$5*(1+'2. Unsmoothing'!$C$6)*EXP(SUMPRODUCT(LN(1+('2. Unsmoothing'!$C$7:$C$12-(1-D48)*'2. Unsmoothing'!$C$6:$C$11)/D48))))-1,9)-(1/'1. Inputs'!$B$6-1)</f>
        <v>-4.9515946898282E-014</v>
      </c>
    </row>
    <row r="49" customFormat="false" ht="15" hidden="false" customHeight="false" outlineLevel="0" collapsed="false">
      <c r="A49" s="0" t="n">
        <v>41</v>
      </c>
      <c r="B49" s="25" t="n">
        <f aca="false">IF(E48&gt;0,D48,B48)</f>
        <v>0.131714165171252</v>
      </c>
      <c r="C49" s="25" t="n">
        <f aca="false">IF(E48&gt;0,C48,D48)</f>
        <v>0.131714165172116</v>
      </c>
      <c r="D49" s="25" t="n">
        <f aca="false">(B49+C49)/2</f>
        <v>0.131714165171684</v>
      </c>
      <c r="E49" s="25" t="n">
        <f aca="false">IFERROR('2. Unsmoothing'!$B$12/('2. Unsmoothing'!$B$5*(1+'2. Unsmoothing'!$C$6)*EXP(SUMPRODUCT(LN(1+('2. Unsmoothing'!$C$7:$C$12-(1-D49)*'2. Unsmoothing'!$C$6:$C$11)/D49))))-1,9)-(1/'1. Inputs'!$B$6-1)</f>
        <v>9.31921206870356E-013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2" min="2" style="0" width="16"/>
    <col collapsed="false" customWidth="true" hidden="false" outlineLevel="0" max="5" min="3" style="0" width="18"/>
    <col collapsed="false" customWidth="true" hidden="false" outlineLevel="0" max="6" min="6" style="0" width="4"/>
  </cols>
  <sheetData>
    <row r="1" customFormat="false" ht="16.15" hidden="false" customHeight="false" outlineLevel="0" collapsed="false">
      <c r="A1" s="26" t="s">
        <v>67</v>
      </c>
    </row>
    <row r="2" customFormat="false" ht="15" hidden="false" customHeight="false" outlineLevel="0" collapsed="false">
      <c r="A2" s="27" t="s">
        <v>68</v>
      </c>
    </row>
    <row r="4" customFormat="false" ht="28.35" hidden="false" customHeight="false" outlineLevel="0" collapsed="false">
      <c r="A4" s="23" t="s">
        <v>69</v>
      </c>
      <c r="B4" s="23" t="s">
        <v>70</v>
      </c>
      <c r="C4" s="23" t="s">
        <v>44</v>
      </c>
      <c r="D4" s="23" t="s">
        <v>71</v>
      </c>
      <c r="E4" s="23" t="s">
        <v>72</v>
      </c>
    </row>
    <row r="5" customFormat="false" ht="15" hidden="false" customHeight="false" outlineLevel="0" collapsed="false">
      <c r="A5" s="28" t="n">
        <v>0.25</v>
      </c>
      <c r="B5" s="29" t="n">
        <f aca="false">'2. Unsmoothing'!$B$5*(1+'2. Unsmoothing'!$C$6)*EXP(SUMPRODUCT(LN(1+('2. Unsmoothing'!$C$7:$C$12-(1-A5)*'2. Unsmoothing'!$C$6:$C$11)/A5)))</f>
        <v>85.2676488982994</v>
      </c>
      <c r="C5" s="21" t="n">
        <f aca="false">'2. Unsmoothing'!$B$12/B5-1</f>
        <v>0.0906832919824396</v>
      </c>
      <c r="D5" s="30" t="n">
        <f aca="false">'1. Inputs'!$B$5/(1+C5)</f>
        <v>35.2989729310164</v>
      </c>
      <c r="E5" s="21" t="n">
        <f aca="false">1-'1. Inputs'!$B$13/D5</f>
        <v>0.1056397005744</v>
      </c>
    </row>
    <row r="6" customFormat="false" ht="15" hidden="false" customHeight="false" outlineLevel="0" collapsed="false">
      <c r="A6" s="28" t="n">
        <v>0.3</v>
      </c>
      <c r="B6" s="29" t="n">
        <f aca="false">'2. Unsmoothing'!$B$5*(1+'2. Unsmoothing'!$C$6)*EXP(SUMPRODUCT(LN(1+('2. Unsmoothing'!$C$7:$C$12-(1-A6)*'2. Unsmoothing'!$C$6:$C$11)/A6)))</f>
        <v>86.9709272641396</v>
      </c>
      <c r="C6" s="21" t="n">
        <f aca="false">'2. Unsmoothing'!$B$12/B6-1</f>
        <v>0.0693228521934639</v>
      </c>
      <c r="D6" s="30" t="n">
        <f aca="false">'1. Inputs'!$B$5/(1+C6)</f>
        <v>36.004093544832</v>
      </c>
      <c r="E6" s="21" t="n">
        <f aca="false">1-'1. Inputs'!$B$13/D6</f>
        <v>0.12315526120136</v>
      </c>
    </row>
    <row r="7" customFormat="false" ht="15" hidden="false" customHeight="false" outlineLevel="0" collapsed="false">
      <c r="A7" s="28" t="n">
        <v>0.4</v>
      </c>
      <c r="B7" s="29" t="n">
        <f aca="false">'2. Unsmoothing'!$B$5*(1+'2. Unsmoothing'!$C$6)*EXP(SUMPRODUCT(LN(1+('2. Unsmoothing'!$C$7:$C$12-(1-A7)*'2. Unsmoothing'!$C$6:$C$11)/A7)))</f>
        <v>89.1125238560407</v>
      </c>
      <c r="C7" s="21" t="n">
        <f aca="false">'2. Unsmoothing'!$B$12/B7-1</f>
        <v>0.0436243524001116</v>
      </c>
      <c r="D7" s="30" t="n">
        <f aca="false">'1. Inputs'!$B$5/(1+C7)</f>
        <v>36.8906684780384</v>
      </c>
      <c r="E7" s="21" t="n">
        <f aca="false">1-'1. Inputs'!$B$13/D7</f>
        <v>0.144228031031909</v>
      </c>
    </row>
    <row r="8" customFormat="false" ht="15" hidden="false" customHeight="false" outlineLevel="0" collapsed="false">
      <c r="A8" s="28" t="n">
        <v>0.5</v>
      </c>
      <c r="B8" s="29" t="n">
        <f aca="false">'2. Unsmoothing'!$B$5*(1+'2. Unsmoothing'!$C$6)*EXP(SUMPRODUCT(LN(1+('2. Unsmoothing'!$C$7:$C$12-(1-A8)*'2. Unsmoothing'!$C$6:$C$11)/A8)))</f>
        <v>90.4038453058055</v>
      </c>
      <c r="C8" s="21" t="n">
        <f aca="false">'2. Unsmoothing'!$B$12/B8-1</f>
        <v>0.028717303842692</v>
      </c>
      <c r="D8" s="30" t="n">
        <f aca="false">'1. Inputs'!$B$5/(1+C8)</f>
        <v>37.4252477878872</v>
      </c>
      <c r="E8" s="21" t="n">
        <f aca="false">1-'1. Inputs'!$B$13/D8</f>
        <v>0.156451810848993</v>
      </c>
    </row>
    <row r="9" customFormat="false" ht="15" hidden="false" customHeight="false" outlineLevel="0" collapsed="false">
      <c r="A9" s="28" t="n">
        <v>0.7</v>
      </c>
      <c r="B9" s="29" t="n">
        <f aca="false">'2. Unsmoothing'!$B$5*(1+'2. Unsmoothing'!$C$6)*EXP(SUMPRODUCT(LN(1+('2. Unsmoothing'!$C$7:$C$12-(1-A9)*'2. Unsmoothing'!$C$6:$C$11)/A9)))</f>
        <v>91.8852172674387</v>
      </c>
      <c r="C9" s="21" t="n">
        <f aca="false">'2. Unsmoothing'!$B$12/B9-1</f>
        <v>0.0121323403885154</v>
      </c>
      <c r="D9" s="30" t="n">
        <f aca="false">'1. Inputs'!$B$5/(1+C9)</f>
        <v>38.0385039225418</v>
      </c>
      <c r="E9" s="21" t="n">
        <f aca="false">1-'1. Inputs'!$B$13/D9</f>
        <v>0.170051480881417</v>
      </c>
    </row>
    <row r="10" customFormat="false" ht="15" hidden="false" customHeight="false" outlineLevel="0" collapsed="false">
      <c r="A10" s="28" t="n">
        <v>1</v>
      </c>
      <c r="B10" s="29" t="n">
        <f aca="false">'2. Unsmoothing'!$B$5*(1+'2. Unsmoothing'!$C$6)*EXP(SUMPRODUCT(LN(1+('2. Unsmoothing'!$C$7:$C$12-(1-A10)*'2. Unsmoothing'!$C$6:$C$11)/A10)))</f>
        <v>93</v>
      </c>
      <c r="C10" s="21" t="n">
        <f aca="false">'2. Unsmoothing'!$B$12/B10-1</f>
        <v>0</v>
      </c>
      <c r="D10" s="30" t="n">
        <f aca="false">'1. Inputs'!$B$5/(1+C10)</f>
        <v>38.5</v>
      </c>
      <c r="E10" s="21" t="n">
        <f aca="false">1-'1. Inputs'!$B$13/D10</f>
        <v>0.18</v>
      </c>
    </row>
    <row r="12" customFormat="false" ht="15" hidden="false" customHeight="false" outlineLevel="0" collapsed="false">
      <c r="A12" s="31" t="s">
        <v>73</v>
      </c>
    </row>
    <row r="13" customFormat="false" ht="28.35" hidden="false" customHeight="false" outlineLevel="0" collapsed="false">
      <c r="A13" s="23" t="s">
        <v>74</v>
      </c>
      <c r="B13" s="23" t="s">
        <v>71</v>
      </c>
      <c r="C13" s="23" t="s">
        <v>72</v>
      </c>
      <c r="D13" s="23" t="s">
        <v>75</v>
      </c>
    </row>
    <row r="14" customFormat="false" ht="15" hidden="false" customHeight="false" outlineLevel="0" collapsed="false">
      <c r="A14" s="32" t="n">
        <v>0</v>
      </c>
      <c r="B14" s="30" t="n">
        <f aca="false">'3. The four discounts'!$B$3*(1+'2. Unsmoothing'!$D$12)^A14</f>
        <v>36.8906684780384</v>
      </c>
      <c r="C14" s="21" t="n">
        <f aca="false">1-'1. Inputs'!$B$13/B14</f>
        <v>0.144228031031909</v>
      </c>
      <c r="D14" s="21" t="n">
        <f aca="false">C14-$C$14</f>
        <v>0</v>
      </c>
    </row>
    <row r="15" customFormat="false" ht="15" hidden="false" customHeight="false" outlineLevel="0" collapsed="false">
      <c r="A15" s="32" t="n">
        <v>1</v>
      </c>
      <c r="B15" s="30" t="n">
        <f aca="false">'3. The four discounts'!$B$3*(1+'2. Unsmoothing'!$D$12)^A15</f>
        <v>36.7533564755425</v>
      </c>
      <c r="C15" s="21" t="n">
        <f aca="false">1-'1. Inputs'!$B$13/B15</f>
        <v>0.14103083289799</v>
      </c>
      <c r="D15" s="21" t="n">
        <f aca="false">C15-$C$14</f>
        <v>-0.00319719813391883</v>
      </c>
    </row>
    <row r="16" customFormat="false" ht="15" hidden="false" customHeight="false" outlineLevel="0" collapsed="false">
      <c r="A16" s="32" t="n">
        <v>2</v>
      </c>
      <c r="B16" s="30" t="n">
        <f aca="false">'3. The four discounts'!$B$3*(1+'2. Unsmoothing'!$D$12)^A16</f>
        <v>36.6165555666865</v>
      </c>
      <c r="C16" s="21" t="n">
        <f aca="false">1-'1. Inputs'!$B$13/B16</f>
        <v>0.137821689904601</v>
      </c>
      <c r="D16" s="21" t="n">
        <f aca="false">C16-$C$14</f>
        <v>-0.00640634112730742</v>
      </c>
    </row>
    <row r="17" customFormat="false" ht="15" hidden="false" customHeight="false" outlineLevel="0" collapsed="false">
      <c r="A17" s="32" t="n">
        <v>3</v>
      </c>
      <c r="B17" s="30" t="n">
        <f aca="false">'3. The four discounts'!$B$3*(1+'2. Unsmoothing'!$D$12)^A17</f>
        <v>36.4802638491114</v>
      </c>
      <c r="C17" s="21" t="n">
        <f aca="false">1-'1. Inputs'!$B$13/B17</f>
        <v>0.134600557425272</v>
      </c>
      <c r="D17" s="21" t="n">
        <f aca="false">C17-$C$14</f>
        <v>-0.00962747360663629</v>
      </c>
    </row>
    <row r="18" customFormat="false" ht="15" hidden="false" customHeight="false" outlineLevel="0" collapsed="false">
      <c r="A18" s="32" t="n">
        <v>4</v>
      </c>
      <c r="B18" s="30" t="n">
        <f aca="false">'3. The four discounts'!$B$3*(1+'2. Unsmoothing'!$D$12)^A18</f>
        <v>36.3444794275393</v>
      </c>
      <c r="C18" s="21" t="n">
        <f aca="false">1-'1. Inputs'!$B$13/B18</f>
        <v>0.131367390666807</v>
      </c>
      <c r="D18" s="21" t="n">
        <f aca="false">C18-$C$14</f>
        <v>-0.0128606403651019</v>
      </c>
    </row>
    <row r="20" customFormat="false" ht="15" hidden="false" customHeight="false" outlineLevel="0" collapsed="false">
      <c r="A20" s="20" t="s">
        <v>76</v>
      </c>
      <c r="B20" s="21" t="n">
        <f aca="false">C14-C18</f>
        <v>0.0128606403651019</v>
      </c>
    </row>
    <row r="21" customFormat="false" ht="15" hidden="false" customHeight="false" outlineLevel="0" collapsed="false">
      <c r="A21" s="20" t="s">
        <v>77</v>
      </c>
      <c r="B21" s="21" t="n">
        <f aca="false">'3. The four discounts'!C9-'3. The four discounts'!C10</f>
        <v>0.0357719689680915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4"/>
    <col collapsed="false" customWidth="true" hidden="false" outlineLevel="0" max="2" min="2" style="0" width="16"/>
    <col collapsed="false" customWidth="true" hidden="false" outlineLevel="0" max="3" min="3" style="0" width="18"/>
    <col collapsed="false" customWidth="true" hidden="false" outlineLevel="0" max="4" min="4" style="0" width="20"/>
  </cols>
  <sheetData>
    <row r="1" customFormat="false" ht="16.15" hidden="false" customHeight="false" outlineLevel="0" collapsed="false">
      <c r="A1" s="26" t="s">
        <v>78</v>
      </c>
    </row>
    <row r="2" customFormat="false" ht="15" hidden="false" customHeight="false" outlineLevel="0" collapsed="false">
      <c r="A2" s="33" t="s">
        <v>79</v>
      </c>
    </row>
    <row r="4" customFormat="false" ht="15" hidden="false" customHeight="false" outlineLevel="0" collapsed="false">
      <c r="A4" s="20" t="s">
        <v>46</v>
      </c>
      <c r="B4" s="34" t="n">
        <f aca="false">'3. The four discounts'!B3</f>
        <v>36.8906684780384</v>
      </c>
    </row>
    <row r="5" customFormat="false" ht="15" hidden="false" customHeight="false" outlineLevel="0" collapsed="false">
      <c r="A5" s="20" t="s">
        <v>80</v>
      </c>
      <c r="B5" s="35" t="n">
        <v>1.47772001028175</v>
      </c>
    </row>
    <row r="6" customFormat="false" ht="15" hidden="false" customHeight="false" outlineLevel="0" collapsed="false">
      <c r="A6" s="20" t="s">
        <v>81</v>
      </c>
      <c r="B6" s="34" t="n">
        <f aca="false">-'3. The four discounts'!B6</f>
        <v>-1.56893965413907</v>
      </c>
    </row>
    <row r="7" customFormat="false" ht="15" hidden="false" customHeight="false" outlineLevel="0" collapsed="false">
      <c r="A7" s="31" t="s">
        <v>82</v>
      </c>
      <c r="B7" s="36" t="n">
        <f aca="false">SUM(B4:B6)</f>
        <v>36.799448834181</v>
      </c>
    </row>
    <row r="8" customFormat="false" ht="15" hidden="false" customHeight="false" outlineLevel="0" collapsed="false">
      <c r="A8" s="20" t="s">
        <v>83</v>
      </c>
      <c r="B8" s="37" t="n">
        <f aca="false">'1. Inputs'!B12</f>
        <v>4</v>
      </c>
    </row>
    <row r="9" customFormat="false" ht="15" hidden="false" customHeight="false" outlineLevel="0" collapsed="false">
      <c r="A9" s="20" t="s">
        <v>84</v>
      </c>
      <c r="B9" s="38" t="n">
        <f aca="false">1-'1. Inputs'!B13/B7</f>
        <v>0.142106716264829</v>
      </c>
    </row>
    <row r="10" customFormat="false" ht="15" hidden="false" customHeight="false" outlineLevel="0" collapsed="false">
      <c r="A10" s="20" t="s">
        <v>85</v>
      </c>
      <c r="B10" s="39" t="n">
        <f aca="false">'3. The four discounts'!B6-B5</f>
        <v>0.0912196438573232</v>
      </c>
    </row>
    <row r="12" customFormat="false" ht="28.35" hidden="false" customHeight="false" outlineLevel="0" collapsed="false">
      <c r="A12" s="23" t="s">
        <v>86</v>
      </c>
      <c r="B12" s="23" t="s">
        <v>28</v>
      </c>
      <c r="C12" s="23" t="s">
        <v>87</v>
      </c>
    </row>
    <row r="13" customFormat="false" ht="15" hidden="false" customHeight="false" outlineLevel="0" collapsed="false">
      <c r="A13" s="40" t="n">
        <v>0.1</v>
      </c>
      <c r="B13" s="30" t="n">
        <f aca="false">$B$7*(1-A13)</f>
        <v>33.1195039507629</v>
      </c>
      <c r="C13" s="21" t="n">
        <f aca="false">B13/'1. Inputs'!$B$5</f>
        <v>0.860246855863972</v>
      </c>
    </row>
    <row r="14" customFormat="false" ht="15" hidden="false" customHeight="false" outlineLevel="0" collapsed="false">
      <c r="A14" s="40" t="n">
        <v>0.12</v>
      </c>
      <c r="B14" s="30" t="n">
        <f aca="false">$B$7*(1-A14)</f>
        <v>32.3835149740793</v>
      </c>
      <c r="C14" s="21" t="n">
        <f aca="false">B14/'1. Inputs'!$B$5</f>
        <v>0.841130259066995</v>
      </c>
    </row>
    <row r="15" customFormat="false" ht="15" hidden="false" customHeight="false" outlineLevel="0" collapsed="false">
      <c r="A15" s="40" t="n">
        <v>0.15</v>
      </c>
      <c r="B15" s="30" t="n">
        <f aca="false">$B$7*(1-A15)</f>
        <v>31.2795315090539</v>
      </c>
      <c r="C15" s="21" t="n">
        <f aca="false">B15/'1. Inputs'!$B$5</f>
        <v>0.81245536387153</v>
      </c>
    </row>
    <row r="16" customFormat="false" ht="15" hidden="false" customHeight="false" outlineLevel="0" collapsed="false">
      <c r="A16" s="40" t="n">
        <v>0.18</v>
      </c>
      <c r="B16" s="30" t="n">
        <f aca="false">$B$7*(1-A16)</f>
        <v>30.1755480440285</v>
      </c>
      <c r="C16" s="21" t="n">
        <f aca="false">B16/'1. Inputs'!$B$5</f>
        <v>0.783780468676064</v>
      </c>
    </row>
    <row r="17" customFormat="false" ht="15" hidden="false" customHeight="false" outlineLevel="0" collapsed="false">
      <c r="A17" s="40" t="n">
        <v>0.2</v>
      </c>
      <c r="B17" s="30" t="n">
        <f aca="false">$B$7*(1-A17)</f>
        <v>29.4395590673448</v>
      </c>
      <c r="C17" s="21" t="n">
        <f aca="false">B17/'1. Inputs'!$B$5</f>
        <v>0.764663871879087</v>
      </c>
    </row>
    <row r="18" customFormat="false" ht="15" hidden="false" customHeight="false" outlineLevel="0" collapsed="false">
      <c r="A18" s="40" t="n">
        <v>0.25</v>
      </c>
      <c r="B18" s="30" t="n">
        <f aca="false">$B$7*(1-A18)</f>
        <v>27.5995866256358</v>
      </c>
      <c r="C18" s="21" t="n">
        <f aca="false">B18/'1. Inputs'!$B$5</f>
        <v>0.716872379886644</v>
      </c>
    </row>
    <row r="19" customFormat="false" ht="15" hidden="false" customHeight="false" outlineLevel="0" collapsed="false">
      <c r="A19" s="33" t="s">
        <v>88</v>
      </c>
    </row>
    <row r="21" customFormat="false" ht="15" hidden="false" customHeight="false" outlineLevel="0" collapsed="false">
      <c r="A21" s="31" t="s">
        <v>89</v>
      </c>
    </row>
    <row r="22" customFormat="false" ht="15" hidden="false" customHeight="false" outlineLevel="0" collapsed="false">
      <c r="A22" s="20" t="s">
        <v>90</v>
      </c>
      <c r="B22" s="30" t="n">
        <f aca="false">'3. The four discounts'!B11+B5</f>
        <v>42.3683884883201</v>
      </c>
    </row>
    <row r="23" customFormat="false" ht="15" hidden="false" customHeight="false" outlineLevel="0" collapsed="false">
      <c r="A23" s="20" t="s">
        <v>91</v>
      </c>
      <c r="B23" s="30" t="n">
        <f aca="false">'1. Inputs'!B13+'1. Inputs'!B12+'3. The four discounts'!B6</f>
        <v>37.1389396541391</v>
      </c>
    </row>
    <row r="24" customFormat="false" ht="15" hidden="false" customHeight="false" outlineLevel="0" collapsed="false">
      <c r="A24" s="20" t="s">
        <v>92</v>
      </c>
      <c r="B24" s="38" t="n">
        <f aca="false">1-B23/B22</f>
        <v>0.123428079772793</v>
      </c>
    </row>
    <row r="25" customFormat="false" ht="15" hidden="false" customHeight="false" outlineLevel="0" collapsed="false">
      <c r="A25" s="33" t="s">
        <v>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3" min="2" style="0" width="14"/>
    <col collapsed="false" customWidth="true" hidden="false" outlineLevel="0" max="4" min="4" style="0" width="10"/>
    <col collapsed="false" customWidth="true" hidden="false" outlineLevel="0" max="5" min="5" style="0" width="60"/>
  </cols>
  <sheetData>
    <row r="1" customFormat="false" ht="16.15" hidden="false" customHeight="false" outlineLevel="0" collapsed="false">
      <c r="A1" s="26" t="s">
        <v>94</v>
      </c>
    </row>
    <row r="2" customFormat="false" ht="15" hidden="false" customHeight="false" outlineLevel="0" collapsed="false">
      <c r="A2" s="27" t="s">
        <v>95</v>
      </c>
    </row>
    <row r="4" customFormat="false" ht="15" hidden="false" customHeight="false" outlineLevel="0" collapsed="false">
      <c r="A4" s="23" t="s">
        <v>96</v>
      </c>
      <c r="B4" s="23" t="s">
        <v>97</v>
      </c>
      <c r="C4" s="23" t="s">
        <v>98</v>
      </c>
      <c r="D4" s="23" t="s">
        <v>99</v>
      </c>
      <c r="E4" s="23" t="s">
        <v>100</v>
      </c>
    </row>
    <row r="5" customFormat="false" ht="15" hidden="false" customHeight="false" outlineLevel="0" collapsed="false">
      <c r="A5" s="5" t="s">
        <v>101</v>
      </c>
      <c r="B5" s="41" t="n">
        <v>0.043624</v>
      </c>
      <c r="C5" s="41" t="n">
        <f aca="false">'2. Unsmoothing'!B14</f>
        <v>0.0436243524001116</v>
      </c>
      <c r="D5" s="31" t="str">
        <f aca="false">IF(ISNUMBER(C5)=FALSE(),"CHECK",IF(ABS(C5-B5)&lt;=0.00001,"OK","CHECK"))</f>
        <v>OK</v>
      </c>
      <c r="E5" s="22"/>
    </row>
    <row r="6" customFormat="false" ht="15" hidden="false" customHeight="false" outlineLevel="0" collapsed="false">
      <c r="A6" s="5" t="s">
        <v>102</v>
      </c>
      <c r="B6" s="42" t="n">
        <v>89.1125</v>
      </c>
      <c r="C6" s="42" t="n">
        <f aca="false">'2. Unsmoothing'!E12</f>
        <v>89.1125238560407</v>
      </c>
      <c r="D6" s="31" t="str">
        <f aca="false">IF(ISNUMBER(C6)=FALSE(),"CHECK",IF(ABS(C6-B6)&lt;=0.001,"OK","CHECK"))</f>
        <v>OK</v>
      </c>
      <c r="E6" s="22"/>
    </row>
    <row r="7" customFormat="false" ht="15" hidden="false" customHeight="false" outlineLevel="0" collapsed="false">
      <c r="A7" s="5" t="s">
        <v>103</v>
      </c>
      <c r="B7" s="34" t="n">
        <v>31.57</v>
      </c>
      <c r="C7" s="34" t="n">
        <f aca="false">'1. Inputs'!B13</f>
        <v>31.57</v>
      </c>
      <c r="D7" s="31" t="str">
        <f aca="false">IF(ISNUMBER(C7)=FALSE(),"CHECK",IF(ABS(C7-B7)&lt;=0.001,"OK","CHECK"))</f>
        <v>OK</v>
      </c>
      <c r="E7" s="22"/>
    </row>
    <row r="8" customFormat="false" ht="15" hidden="false" customHeight="false" outlineLevel="0" collapsed="false">
      <c r="A8" s="5" t="s">
        <v>104</v>
      </c>
      <c r="B8" s="34" t="n">
        <v>36.8907</v>
      </c>
      <c r="C8" s="34" t="n">
        <f aca="false">'3. The four discounts'!B3</f>
        <v>36.8906684780384</v>
      </c>
      <c r="D8" s="31" t="str">
        <f aca="false">IF(ISNUMBER(C8)=FALSE(),"CHECK",IF(ABS(C8-B8)&lt;=0.001,"OK","CHECK"))</f>
        <v>OK</v>
      </c>
      <c r="E8" s="22"/>
    </row>
    <row r="9" customFormat="false" ht="15" hidden="false" customHeight="false" outlineLevel="0" collapsed="false">
      <c r="A9" s="5" t="s">
        <v>105</v>
      </c>
      <c r="B9" s="34" t="n">
        <v>1.5689</v>
      </c>
      <c r="C9" s="34" t="n">
        <f aca="false">'3. The four discounts'!B6</f>
        <v>1.56893965413907</v>
      </c>
      <c r="D9" s="31" t="str">
        <f aca="false">IF(ISNUMBER(C9)=FALSE(),"CHECK",IF(ABS(C9-B9)&lt;=0.001,"OK","CHECK"))</f>
        <v>OK</v>
      </c>
      <c r="E9" s="22"/>
    </row>
    <row r="10" customFormat="false" ht="15" hidden="false" customHeight="false" outlineLevel="0" collapsed="false">
      <c r="A10" s="5" t="s">
        <v>106</v>
      </c>
      <c r="B10" s="39" t="n">
        <v>2.729</v>
      </c>
      <c r="C10" s="39" t="n">
        <f aca="false">(1-(1+'1. Inputs'!B10)^-'1. Inputs'!B8)/'1. Inputs'!B10</f>
        <v>2.72859070285056</v>
      </c>
      <c r="D10" s="31" t="str">
        <f aca="false">IF(ISNUMBER(C10)=FALSE(),"CHECK",IF(ABS(C10-B10)&lt;=0.0005,"OK","CHECK"))</f>
        <v>OK</v>
      </c>
      <c r="E10" s="22"/>
    </row>
    <row r="11" customFormat="false" ht="15" hidden="false" customHeight="false" outlineLevel="0" collapsed="false">
      <c r="A11" s="5" t="s">
        <v>107</v>
      </c>
      <c r="B11" s="21" t="n">
        <v>0.18</v>
      </c>
      <c r="C11" s="21" t="n">
        <f aca="false">'3. The four discounts'!C9</f>
        <v>0.18</v>
      </c>
      <c r="D11" s="31" t="str">
        <f aca="false">IF(ISNUMBER(C11)=FALSE(),"CHECK",IF(ABS(C11-B11)&lt;=0.00001,"OK","CHECK"))</f>
        <v>OK</v>
      </c>
      <c r="E11" s="22"/>
    </row>
    <row r="12" customFormat="false" ht="15" hidden="false" customHeight="false" outlineLevel="0" collapsed="false">
      <c r="A12" s="5" t="s">
        <v>108</v>
      </c>
      <c r="B12" s="21" t="n">
        <v>0.144228</v>
      </c>
      <c r="C12" s="21" t="n">
        <f aca="false">'3. The four discounts'!C10</f>
        <v>0.144228031031909</v>
      </c>
      <c r="D12" s="31" t="str">
        <f aca="false">IF(ISNUMBER(C12)=FALSE(),"CHECK",IF(ABS(C12-B12)&lt;=0.00001,"OK","CHECK"))</f>
        <v>OK</v>
      </c>
      <c r="E12" s="22"/>
    </row>
    <row r="13" customFormat="false" ht="15" hidden="false" customHeight="false" outlineLevel="0" collapsed="false">
      <c r="A13" s="5" t="s">
        <v>109</v>
      </c>
      <c r="B13" s="21" t="n">
        <v>0.130119</v>
      </c>
      <c r="C13" s="21" t="n">
        <f aca="false">'3. The four discounts'!C11</f>
        <v>0.130119381171184</v>
      </c>
      <c r="D13" s="31" t="str">
        <f aca="false">IF(ISNUMBER(C13)=FALSE(),"CHECK",IF(ABS(C13-B13)&lt;=0.00001,"OK","CHECK"))</f>
        <v>OK</v>
      </c>
      <c r="E13" s="22"/>
    </row>
    <row r="14" customFormat="false" ht="15" hidden="false" customHeight="false" outlineLevel="0" collapsed="false">
      <c r="A14" s="5" t="s">
        <v>110</v>
      </c>
      <c r="B14" s="21" t="n">
        <v>0.09175</v>
      </c>
      <c r="C14" s="21" t="n">
        <f aca="false">'3. The four discounts'!C12</f>
        <v>0.0917502443354352</v>
      </c>
      <c r="D14" s="31" t="str">
        <f aca="false">IF(ISNUMBER(C14)=FALSE(),"CHECK",IF(ABS(C14-B14)&lt;=0.00001,"OK","CHECK"))</f>
        <v>OK</v>
      </c>
      <c r="E14" s="22" t="s">
        <v>111</v>
      </c>
    </row>
    <row r="15" customFormat="false" ht="15" hidden="false" customHeight="false" outlineLevel="0" collapsed="false">
      <c r="A15" s="5" t="s">
        <v>112</v>
      </c>
      <c r="B15" s="21" t="n">
        <v>0.0882</v>
      </c>
      <c r="C15" s="21" t="n">
        <f aca="false">'3. The four discounts'!C9-'3. The four discounts'!C12</f>
        <v>0.0882497556645649</v>
      </c>
      <c r="D15" s="31" t="str">
        <f aca="false">IF(ISNUMBER(C15)=FALSE(),"CHECK",IF(ABS(C15-B15)&lt;=0.00005,"OK","CHECK"))</f>
        <v>OK</v>
      </c>
      <c r="E15" s="22"/>
    </row>
    <row r="16" customFormat="false" ht="15" hidden="false" customHeight="false" outlineLevel="0" collapsed="false">
      <c r="A16" s="5" t="s">
        <v>113</v>
      </c>
      <c r="B16" s="43" t="n">
        <v>0.49</v>
      </c>
      <c r="C16" s="43" t="n">
        <f aca="false">('3. The four discounts'!C9-'3. The four discounts'!C12)/'3. The four discounts'!C9</f>
        <v>0.490276420358694</v>
      </c>
      <c r="D16" s="31" t="str">
        <f aca="false">IF(ISNUMBER(C16)=FALSE(),"CHECK",IF(ABS(C16-B16)&lt;=0.005,"OK","CHECK"))</f>
        <v>OK</v>
      </c>
      <c r="E16" s="22"/>
    </row>
    <row r="17" customFormat="false" ht="15" hidden="false" customHeight="false" outlineLevel="0" collapsed="false">
      <c r="A17" s="5" t="s">
        <v>114</v>
      </c>
      <c r="B17" s="21" t="n">
        <v>0.0384</v>
      </c>
      <c r="C17" s="21" t="n">
        <f aca="false">'3. The four discounts'!B6/'3. The four discounts'!B11</f>
        <v>0.0383691368357483</v>
      </c>
      <c r="D17" s="31" t="str">
        <f aca="false">IF(ISNUMBER(C17)=FALSE(),"CHECK",IF(ABS(C17-B17)&lt;=0.00005,"OK","CHECK"))</f>
        <v>OK</v>
      </c>
      <c r="E17" s="22"/>
    </row>
    <row r="18" customFormat="false" ht="15" hidden="false" customHeight="false" outlineLevel="0" collapsed="false">
      <c r="A18" s="5" t="s">
        <v>115</v>
      </c>
      <c r="B18" s="44" t="n">
        <v>0.104</v>
      </c>
      <c r="C18" s="44" t="n">
        <f aca="false">'1. Inputs'!B12/'1. Inputs'!B5</f>
        <v>0.103896103896104</v>
      </c>
      <c r="D18" s="31" t="str">
        <f aca="false">IF(ISNUMBER(C18)=FALSE(),"CHECK",IF(ABS(C18-B18)&lt;=0.0005,"OK","CHECK"))</f>
        <v>OK</v>
      </c>
      <c r="E18" s="22"/>
    </row>
    <row r="19" customFormat="false" ht="15" hidden="false" customHeight="false" outlineLevel="0" collapsed="false">
      <c r="A19" s="5" t="s">
        <v>116</v>
      </c>
      <c r="B19" s="39" t="n">
        <v>0.906</v>
      </c>
      <c r="C19" s="39" t="n">
        <f aca="false">'1. Inputs'!B5/('1. Inputs'!B5+'1. Inputs'!B12)</f>
        <v>0.905882352941177</v>
      </c>
      <c r="D19" s="31" t="str">
        <f aca="false">IF(ISNUMBER(C19)=FALSE(),"CHECK",IF(ABS(C19-B19)&lt;=0.0005,"OK","CHECK"))</f>
        <v>OK</v>
      </c>
      <c r="E19" s="22"/>
    </row>
    <row r="20" customFormat="false" ht="15" hidden="false" customHeight="false" outlineLevel="0" collapsed="false">
      <c r="A20" s="5" t="s">
        <v>117</v>
      </c>
      <c r="B20" s="21" t="n">
        <v>0.1631</v>
      </c>
      <c r="C20" s="21" t="n">
        <f aca="false">'4. Thresholds'!B5</f>
        <v>0.163058823529412</v>
      </c>
      <c r="D20" s="31" t="str">
        <f aca="false">IF(ISNUMBER(C20)=FALSE(),"CHECK",IF(ABS(C20-B20)&lt;=0.00005,"OK","CHECK"))</f>
        <v>OK</v>
      </c>
      <c r="E20" s="22"/>
    </row>
    <row r="21" customFormat="false" ht="15" hidden="false" customHeight="false" outlineLevel="0" collapsed="false">
      <c r="A21" s="5" t="s">
        <v>118</v>
      </c>
      <c r="B21" s="30" t="n">
        <v>30.8</v>
      </c>
      <c r="C21" s="30" t="n">
        <f aca="false">'4. Thresholds'!B4</f>
        <v>30.8</v>
      </c>
      <c r="D21" s="31" t="str">
        <f aca="false">IF(ISNUMBER(C21)=FALSE(),"CHECK",IF(ABS(C21-B21)&lt;=0.001,"OK","CHECK"))</f>
        <v>OK</v>
      </c>
      <c r="E21" s="22" t="s">
        <v>119</v>
      </c>
    </row>
    <row r="22" customFormat="false" ht="15" hidden="false" customHeight="false" outlineLevel="0" collapsed="false">
      <c r="A22" s="5" t="s">
        <v>120</v>
      </c>
      <c r="B22" s="42" t="n">
        <v>0.1317</v>
      </c>
      <c r="C22" s="42" t="n">
        <f aca="false">'4. Thresholds'!B3</f>
        <v>0.131714165171684</v>
      </c>
      <c r="D22" s="31" t="str">
        <f aca="false">IF(ISNUMBER(C22)=FALSE(),"CHECK",IF(ABS(C22-B22)&lt;=0.00005,"OK","CHECK"))</f>
        <v>OK</v>
      </c>
      <c r="E22" s="22" t="s">
        <v>121</v>
      </c>
    </row>
    <row r="23" customFormat="false" ht="15" hidden="false" customHeight="false" outlineLevel="0" collapsed="false">
      <c r="A23" s="5" t="s">
        <v>122</v>
      </c>
      <c r="C23" s="20" t="str">
        <f aca="false">IF(ABS('1. Inputs'!B5/(1+IFERROR('2. Unsmoothing'!$B$12/('2. Unsmoothing'!$B$5*(1+'2. Unsmoothing'!$C$6)*EXP(SUMPRODUCT(LN(1+('2. Unsmoothing'!$C$7:$C$12-(1-'4. Thresholds'!B3)*'2. Unsmoothing'!$C$6:$C$11)/'4. Thresholds'!B3))))-1,9))-'1. Inputs'!B13)&lt;0.0001,"OK","CHECK")</f>
        <v>OK</v>
      </c>
      <c r="D23" s="31" t="str">
        <f aca="false">IF(C23="","",IF(C23="OK","OK","CHECK"))</f>
        <v>OK</v>
      </c>
      <c r="E23" s="22" t="s">
        <v>123</v>
      </c>
    </row>
    <row r="24" customFormat="false" ht="15" hidden="false" customHeight="false" outlineLevel="0" collapsed="false">
      <c r="A24" s="5" t="s">
        <v>124</v>
      </c>
      <c r="C24" s="20" t="str">
        <f aca="false">IF(ABS('2. Unsmoothing'!$B$5*(1+'2. Unsmoothing'!$C$6)*EXP(SUMPRODUCT(LN(1+('2. Unsmoothing'!$C$7:$C$12-(1-'1. Inputs'!B11)*'2. Unsmoothing'!$C$6:$C$11)/'1. Inputs'!B11)))-'2. Unsmoothing'!E12)&lt;0.000000001,"OK","CHECK")</f>
        <v>OK</v>
      </c>
      <c r="D24" s="31" t="str">
        <f aca="false">IF(C24="","",IF(C24="OK","OK","CHECK"))</f>
        <v>OK</v>
      </c>
      <c r="E24" s="22" t="s">
        <v>125</v>
      </c>
    </row>
    <row r="25" customFormat="false" ht="15" hidden="false" customHeight="false" outlineLevel="0" collapsed="false">
      <c r="A25" s="5" t="s">
        <v>126</v>
      </c>
      <c r="B25" s="21" t="n">
        <v>0.0907</v>
      </c>
      <c r="C25" s="21" t="n">
        <f aca="false">'5. Alpha and lag'!C5</f>
        <v>0.0906832919824396</v>
      </c>
      <c r="D25" s="31" t="str">
        <f aca="false">IF(ISNUMBER(C25)=FALSE(),"CHECK",IF(ABS(C25-B25)&lt;=0.00005,"OK","CHECK"))</f>
        <v>OK</v>
      </c>
      <c r="E25" s="22"/>
    </row>
    <row r="26" customFormat="false" ht="15" hidden="false" customHeight="false" outlineLevel="0" collapsed="false">
      <c r="A26" s="5" t="s">
        <v>127</v>
      </c>
      <c r="B26" s="21" t="n">
        <v>0.1056</v>
      </c>
      <c r="C26" s="21" t="n">
        <f aca="false">'5. Alpha and lag'!E5</f>
        <v>0.1056397005744</v>
      </c>
      <c r="D26" s="31" t="str">
        <f aca="false">IF(ISNUMBER(C26)=FALSE(),"CHECK",IF(ABS(C26-B26)&lt;=0.00005,"OK","CHECK"))</f>
        <v>OK</v>
      </c>
      <c r="E26" s="22"/>
    </row>
    <row r="27" customFormat="false" ht="15" hidden="false" customHeight="false" outlineLevel="0" collapsed="false">
      <c r="A27" s="5" t="s">
        <v>128</v>
      </c>
      <c r="B27" s="21" t="n">
        <v>0.0693</v>
      </c>
      <c r="C27" s="21" t="n">
        <f aca="false">'5. Alpha and lag'!C6</f>
        <v>0.0693228521934639</v>
      </c>
      <c r="D27" s="31" t="str">
        <f aca="false">IF(ISNUMBER(C27)=FALSE(),"CHECK",IF(ABS(C27-B27)&lt;=0.00005,"OK","CHECK"))</f>
        <v>OK</v>
      </c>
      <c r="E27" s="22"/>
    </row>
    <row r="28" customFormat="false" ht="15" hidden="false" customHeight="false" outlineLevel="0" collapsed="false">
      <c r="A28" s="5" t="s">
        <v>129</v>
      </c>
      <c r="B28" s="21" t="n">
        <v>0.1232</v>
      </c>
      <c r="C28" s="21" t="n">
        <f aca="false">'5. Alpha and lag'!E6</f>
        <v>0.12315526120136</v>
      </c>
      <c r="D28" s="31" t="str">
        <f aca="false">IF(ISNUMBER(C28)=FALSE(),"CHECK",IF(ABS(C28-B28)&lt;=0.00005,"OK","CHECK"))</f>
        <v>OK</v>
      </c>
      <c r="E28" s="22"/>
    </row>
    <row r="29" customFormat="false" ht="15" hidden="false" customHeight="false" outlineLevel="0" collapsed="false">
      <c r="A29" s="5" t="s">
        <v>130</v>
      </c>
      <c r="B29" s="21" t="n">
        <v>0.0436</v>
      </c>
      <c r="C29" s="21" t="n">
        <f aca="false">'5. Alpha and lag'!C7</f>
        <v>0.0436243524001116</v>
      </c>
      <c r="D29" s="31" t="str">
        <f aca="false">IF(ISNUMBER(C29)=FALSE(),"CHECK",IF(ABS(C29-B29)&lt;=0.00005,"OK","CHECK"))</f>
        <v>OK</v>
      </c>
      <c r="E29" s="22"/>
    </row>
    <row r="30" customFormat="false" ht="15" hidden="false" customHeight="false" outlineLevel="0" collapsed="false">
      <c r="A30" s="5" t="s">
        <v>131</v>
      </c>
      <c r="B30" s="21" t="n">
        <v>0.1442</v>
      </c>
      <c r="C30" s="21" t="n">
        <f aca="false">'5. Alpha and lag'!E7</f>
        <v>0.144228031031909</v>
      </c>
      <c r="D30" s="31" t="str">
        <f aca="false">IF(ISNUMBER(C30)=FALSE(),"CHECK",IF(ABS(C30-B30)&lt;=0.00005,"OK","CHECK"))</f>
        <v>OK</v>
      </c>
      <c r="E30" s="22"/>
    </row>
    <row r="31" customFormat="false" ht="15" hidden="false" customHeight="false" outlineLevel="0" collapsed="false">
      <c r="A31" s="5" t="s">
        <v>132</v>
      </c>
      <c r="B31" s="21" t="n">
        <v>0.0287</v>
      </c>
      <c r="C31" s="21" t="n">
        <f aca="false">'5. Alpha and lag'!C8</f>
        <v>0.028717303842692</v>
      </c>
      <c r="D31" s="31" t="str">
        <f aca="false">IF(ISNUMBER(C31)=FALSE(),"CHECK",IF(ABS(C31-B31)&lt;=0.00005,"OK","CHECK"))</f>
        <v>OK</v>
      </c>
      <c r="E31" s="22"/>
    </row>
    <row r="32" customFormat="false" ht="15" hidden="false" customHeight="false" outlineLevel="0" collapsed="false">
      <c r="A32" s="5" t="s">
        <v>133</v>
      </c>
      <c r="B32" s="21" t="n">
        <v>0.1565</v>
      </c>
      <c r="C32" s="21" t="n">
        <f aca="false">'5. Alpha and lag'!E8</f>
        <v>0.156451810848993</v>
      </c>
      <c r="D32" s="31" t="str">
        <f aca="false">IF(ISNUMBER(C32)=FALSE(),"CHECK",IF(ABS(C32-B32)&lt;=0.00005,"OK","CHECK"))</f>
        <v>OK</v>
      </c>
      <c r="E32" s="22"/>
    </row>
    <row r="33" customFormat="false" ht="15" hidden="false" customHeight="false" outlineLevel="0" collapsed="false">
      <c r="A33" s="5" t="s">
        <v>134</v>
      </c>
      <c r="B33" s="21" t="n">
        <v>0.0121</v>
      </c>
      <c r="C33" s="21" t="n">
        <f aca="false">'5. Alpha and lag'!C9</f>
        <v>0.0121323403885154</v>
      </c>
      <c r="D33" s="31" t="str">
        <f aca="false">IF(ISNUMBER(C33)=FALSE(),"CHECK",IF(ABS(C33-B33)&lt;=0.00005,"OK","CHECK"))</f>
        <v>OK</v>
      </c>
      <c r="E33" s="22"/>
    </row>
    <row r="34" customFormat="false" ht="15" hidden="false" customHeight="false" outlineLevel="0" collapsed="false">
      <c r="A34" s="5" t="s">
        <v>135</v>
      </c>
      <c r="B34" s="21" t="n">
        <v>0.1701</v>
      </c>
      <c r="C34" s="21" t="n">
        <f aca="false">'5. Alpha and lag'!E9</f>
        <v>0.170051480881417</v>
      </c>
      <c r="D34" s="31" t="str">
        <f aca="false">IF(ISNUMBER(C34)=FALSE(),"CHECK",IF(ABS(C34-B34)&lt;=0.00005,"OK","CHECK"))</f>
        <v>OK</v>
      </c>
      <c r="E34" s="22"/>
    </row>
    <row r="35" customFormat="false" ht="15" hidden="false" customHeight="false" outlineLevel="0" collapsed="false">
      <c r="A35" s="5" t="s">
        <v>136</v>
      </c>
      <c r="B35" s="21" t="n">
        <v>0</v>
      </c>
      <c r="C35" s="21" t="n">
        <f aca="false">'5. Alpha and lag'!C10</f>
        <v>0</v>
      </c>
      <c r="D35" s="31" t="str">
        <f aca="false">IF(ISNUMBER(C35)=FALSE(),"CHECK",IF(ABS(C35-B35)&lt;=0.00005,"OK","CHECK"))</f>
        <v>OK</v>
      </c>
      <c r="E35" s="22"/>
    </row>
    <row r="36" customFormat="false" ht="15" hidden="false" customHeight="false" outlineLevel="0" collapsed="false">
      <c r="A36" s="5" t="s">
        <v>137</v>
      </c>
      <c r="B36" s="21" t="n">
        <v>0.18</v>
      </c>
      <c r="C36" s="21" t="n">
        <f aca="false">'5. Alpha and lag'!E10</f>
        <v>0.18</v>
      </c>
      <c r="D36" s="31" t="str">
        <f aca="false">IF(ISNUMBER(C36)=FALSE(),"CHECK",IF(ABS(C36-B36)&lt;=0.00005,"OK","CHECK"))</f>
        <v>OK</v>
      </c>
      <c r="E36" s="22"/>
    </row>
    <row r="37" customFormat="false" ht="15" hidden="false" customHeight="false" outlineLevel="0" collapsed="false">
      <c r="A37" s="5" t="s">
        <v>138</v>
      </c>
      <c r="B37" s="29" t="n">
        <v>100.47</v>
      </c>
      <c r="C37" s="29" t="n">
        <f aca="false">'2. Unsmoothing'!E7</f>
        <v>100.46625</v>
      </c>
      <c r="D37" s="31" t="str">
        <f aca="false">IF(ISNUMBER(C37)=FALSE(),"CHECK",IF(ABS(C37-B37)&lt;=0.005,"OK","CHECK"))</f>
        <v>OK</v>
      </c>
      <c r="E37" s="22"/>
    </row>
    <row r="38" customFormat="false" ht="15" hidden="false" customHeight="false" outlineLevel="0" collapsed="false">
      <c r="A38" s="5" t="s">
        <v>139</v>
      </c>
      <c r="B38" s="29" t="n">
        <v>96.77</v>
      </c>
      <c r="C38" s="29" t="n">
        <f aca="false">'2. Unsmoothing'!E8</f>
        <v>96.7689988409157</v>
      </c>
      <c r="D38" s="31" t="str">
        <f aca="false">IF(ISNUMBER(C38)=FALSE(),"CHECK",IF(ABS(C38-B38)&lt;=0.005,"OK","CHECK"))</f>
        <v>OK</v>
      </c>
      <c r="E38" s="22"/>
    </row>
    <row r="39" customFormat="false" ht="15" hidden="false" customHeight="false" outlineLevel="0" collapsed="false">
      <c r="A39" s="5" t="s">
        <v>140</v>
      </c>
      <c r="B39" s="29" t="n">
        <v>92.96</v>
      </c>
      <c r="C39" s="29" t="n">
        <f aca="false">'2. Unsmoothing'!E9</f>
        <v>92.956630078223</v>
      </c>
      <c r="D39" s="31" t="str">
        <f aca="false">IF(ISNUMBER(C39)=FALSE(),"CHECK",IF(ABS(C39-B39)&lt;=0.005,"OK","CHECK"))</f>
        <v>OK</v>
      </c>
      <c r="E39" s="22"/>
    </row>
    <row r="40" customFormat="false" ht="15" hidden="false" customHeight="false" outlineLevel="0" collapsed="false">
      <c r="A40" s="5" t="s">
        <v>141</v>
      </c>
      <c r="B40" s="29" t="n">
        <v>90.24</v>
      </c>
      <c r="C40" s="29" t="n">
        <f aca="false">'2. Unsmoothing'!E10</f>
        <v>90.2399180754686</v>
      </c>
      <c r="D40" s="31" t="str">
        <f aca="false">IF(ISNUMBER(C40)=FALSE(),"CHECK",IF(ABS(C40-B40)&lt;=0.005,"OK","CHECK"))</f>
        <v>OK</v>
      </c>
      <c r="E40" s="22"/>
    </row>
    <row r="41" customFormat="false" ht="15" hidden="false" customHeight="false" outlineLevel="0" collapsed="false">
      <c r="A41" s="5" t="s">
        <v>142</v>
      </c>
      <c r="B41" s="29" t="n">
        <v>89.45</v>
      </c>
      <c r="C41" s="29" t="n">
        <f aca="false">'2. Unsmoothing'!E11</f>
        <v>89.4454517916506</v>
      </c>
      <c r="D41" s="31" t="str">
        <f aca="false">IF(ISNUMBER(C41)=FALSE(),"CHECK",IF(ABS(C41-B41)&lt;=0.005,"OK","CHECK"))</f>
        <v>OK</v>
      </c>
      <c r="E41" s="22"/>
    </row>
    <row r="42" customFormat="false" ht="15" hidden="false" customHeight="false" outlineLevel="0" collapsed="false">
      <c r="A42" s="5" t="s">
        <v>143</v>
      </c>
      <c r="B42" s="30" t="n">
        <v>36.75</v>
      </c>
      <c r="C42" s="30" t="n">
        <f aca="false">'5. Alpha and lag'!B15</f>
        <v>36.7533564755425</v>
      </c>
      <c r="D42" s="31" t="str">
        <f aca="false">IF(ISNUMBER(C42)=FALSE(),"CHECK",IF(ABS(C42-B42)&lt;=0.005,"OK","CHECK"))</f>
        <v>OK</v>
      </c>
      <c r="E42" s="22"/>
    </row>
    <row r="43" customFormat="false" ht="15" hidden="false" customHeight="false" outlineLevel="0" collapsed="false">
      <c r="A43" s="5" t="s">
        <v>144</v>
      </c>
      <c r="B43" s="21" t="n">
        <v>0.141</v>
      </c>
      <c r="C43" s="21" t="n">
        <f aca="false">'5. Alpha and lag'!C15</f>
        <v>0.14103083289799</v>
      </c>
      <c r="D43" s="31" t="str">
        <f aca="false">IF(ISNUMBER(C43)=FALSE(),"CHECK",IF(ABS(C43-B43)&lt;=0.00005,"OK","CHECK"))</f>
        <v>OK</v>
      </c>
      <c r="E43" s="22"/>
    </row>
    <row r="44" customFormat="false" ht="15" hidden="false" customHeight="false" outlineLevel="0" collapsed="false">
      <c r="A44" s="5" t="s">
        <v>145</v>
      </c>
      <c r="B44" s="30" t="n">
        <v>36.62</v>
      </c>
      <c r="C44" s="30" t="n">
        <f aca="false">'5. Alpha and lag'!B16</f>
        <v>36.6165555666865</v>
      </c>
      <c r="D44" s="31" t="str">
        <f aca="false">IF(ISNUMBER(C44)=FALSE(),"CHECK",IF(ABS(C44-B44)&lt;=0.005,"OK","CHECK"))</f>
        <v>OK</v>
      </c>
      <c r="E44" s="22"/>
    </row>
    <row r="45" customFormat="false" ht="15" hidden="false" customHeight="false" outlineLevel="0" collapsed="false">
      <c r="A45" s="5" t="s">
        <v>146</v>
      </c>
      <c r="B45" s="21" t="n">
        <v>0.1378</v>
      </c>
      <c r="C45" s="21" t="n">
        <f aca="false">'5. Alpha and lag'!C16</f>
        <v>0.137821689904601</v>
      </c>
      <c r="D45" s="31" t="str">
        <f aca="false">IF(ISNUMBER(C45)=FALSE(),"CHECK",IF(ABS(C45-B45)&lt;=0.00005,"OK","CHECK"))</f>
        <v>OK</v>
      </c>
      <c r="E45" s="22"/>
    </row>
    <row r="46" customFormat="false" ht="15" hidden="false" customHeight="false" outlineLevel="0" collapsed="false">
      <c r="A46" s="5" t="s">
        <v>147</v>
      </c>
      <c r="B46" s="30" t="n">
        <v>36.48</v>
      </c>
      <c r="C46" s="30" t="n">
        <f aca="false">'5. Alpha and lag'!B17</f>
        <v>36.4802638491114</v>
      </c>
      <c r="D46" s="31" t="str">
        <f aca="false">IF(ISNUMBER(C46)=FALSE(),"CHECK",IF(ABS(C46-B46)&lt;=0.005,"OK","CHECK"))</f>
        <v>OK</v>
      </c>
      <c r="E46" s="22"/>
    </row>
    <row r="47" customFormat="false" ht="15" hidden="false" customHeight="false" outlineLevel="0" collapsed="false">
      <c r="A47" s="5" t="s">
        <v>148</v>
      </c>
      <c r="B47" s="21" t="n">
        <v>0.1346</v>
      </c>
      <c r="C47" s="21" t="n">
        <f aca="false">'5. Alpha and lag'!C17</f>
        <v>0.134600557425272</v>
      </c>
      <c r="D47" s="31" t="str">
        <f aca="false">IF(ISNUMBER(C47)=FALSE(),"CHECK",IF(ABS(C47-B47)&lt;=0.00005,"OK","CHECK"))</f>
        <v>OK</v>
      </c>
      <c r="E47" s="22"/>
    </row>
    <row r="48" customFormat="false" ht="15" hidden="false" customHeight="false" outlineLevel="0" collapsed="false">
      <c r="A48" s="5" t="s">
        <v>149</v>
      </c>
      <c r="B48" s="30" t="n">
        <v>36.34</v>
      </c>
      <c r="C48" s="30" t="n">
        <f aca="false">'5. Alpha and lag'!B18</f>
        <v>36.3444794275393</v>
      </c>
      <c r="D48" s="31" t="str">
        <f aca="false">IF(ISNUMBER(C48)=FALSE(),"CHECK",IF(ABS(C48-B48)&lt;=0.005,"OK","CHECK"))</f>
        <v>OK</v>
      </c>
      <c r="E48" s="22"/>
    </row>
    <row r="49" customFormat="false" ht="15" hidden="false" customHeight="false" outlineLevel="0" collapsed="false">
      <c r="A49" s="5" t="s">
        <v>150</v>
      </c>
      <c r="B49" s="21" t="n">
        <v>0.1314</v>
      </c>
      <c r="C49" s="21" t="n">
        <f aca="false">'5. Alpha and lag'!C18</f>
        <v>0.131367390666807</v>
      </c>
      <c r="D49" s="31" t="str">
        <f aca="false">IF(ISNUMBER(C49)=FALSE(),"CHECK",IF(ABS(C49-B49)&lt;=0.00005,"OK","CHECK"))</f>
        <v>OK</v>
      </c>
      <c r="E49" s="22"/>
    </row>
    <row r="50" customFormat="false" ht="15" hidden="false" customHeight="false" outlineLevel="0" collapsed="false">
      <c r="A50" s="5" t="s">
        <v>151</v>
      </c>
      <c r="B50" s="21" t="n">
        <v>0.0129</v>
      </c>
      <c r="C50" s="21" t="n">
        <f aca="false">'5. Alpha and lag'!B20</f>
        <v>0.0128606403651019</v>
      </c>
      <c r="D50" s="31" t="str">
        <f aca="false">IF(ISNUMBER(C50)=FALSE(),"CHECK",IF(ABS(C50-B50)&lt;=0.00005,"OK","CHECK"))</f>
        <v>OK</v>
      </c>
      <c r="E50" s="22"/>
    </row>
    <row r="51" customFormat="false" ht="15" hidden="false" customHeight="false" outlineLevel="0" collapsed="false">
      <c r="A51" s="5" t="s">
        <v>152</v>
      </c>
      <c r="B51" s="30" t="n">
        <v>36.8</v>
      </c>
      <c r="C51" s="30" t="n">
        <f aca="false">'6. Bridge and margin'!B7</f>
        <v>36.799448834181</v>
      </c>
      <c r="D51" s="31" t="str">
        <f aca="false">IF(ISNUMBER(C51)=FALSE(),"CHECK",IF(ABS(C51-B51)&lt;=0.005,"OK","CHECK"))</f>
        <v>OK</v>
      </c>
      <c r="E51" s="22"/>
    </row>
    <row r="52" customFormat="false" ht="15" hidden="false" customHeight="false" outlineLevel="0" collapsed="false">
      <c r="A52" s="5" t="s">
        <v>153</v>
      </c>
      <c r="B52" s="21" t="n">
        <v>0.1421</v>
      </c>
      <c r="C52" s="21" t="n">
        <f aca="false">'6. Bridge and margin'!B9</f>
        <v>0.142106716264829</v>
      </c>
      <c r="D52" s="31" t="str">
        <f aca="false">IF(ISNUMBER(C52)=FALSE(),"CHECK",IF(ABS(C52-B52)&lt;=0.00005,"OK","CHECK"))</f>
        <v>OK</v>
      </c>
      <c r="E52" s="22"/>
    </row>
    <row r="53" customFormat="false" ht="15" hidden="false" customHeight="false" outlineLevel="0" collapsed="false">
      <c r="A53" s="5" t="s">
        <v>154</v>
      </c>
      <c r="B53" s="39" t="n">
        <v>0.091</v>
      </c>
      <c r="C53" s="39" t="n">
        <f aca="false">'6. Bridge and margin'!B10</f>
        <v>0.0912196438573232</v>
      </c>
      <c r="D53" s="31" t="str">
        <f aca="false">IF(ISNUMBER(C53)=FALSE(),"CHECK",IF(ABS(C53-B53)&lt;=0.0005,"OK","CHECK"))</f>
        <v>OK</v>
      </c>
      <c r="E53" s="22"/>
    </row>
    <row r="54" customFormat="false" ht="15" hidden="false" customHeight="false" outlineLevel="0" collapsed="false">
      <c r="A54" s="5" t="s">
        <v>155</v>
      </c>
      <c r="B54" s="30" t="n">
        <v>33.12</v>
      </c>
      <c r="C54" s="30" t="n">
        <f aca="false">'6. Bridge and margin'!B13</f>
        <v>33.1195039507629</v>
      </c>
      <c r="D54" s="31" t="str">
        <f aca="false">IF(ISNUMBER(C54)=FALSE(),"CHECK",IF(ABS(C54-B54)&lt;=0.005,"OK","CHECK"))</f>
        <v>OK</v>
      </c>
      <c r="E54" s="22"/>
    </row>
    <row r="55" customFormat="false" ht="15" hidden="false" customHeight="false" outlineLevel="0" collapsed="false">
      <c r="A55" s="5" t="s">
        <v>156</v>
      </c>
      <c r="B55" s="21" t="n">
        <v>0.8602</v>
      </c>
      <c r="C55" s="21" t="n">
        <f aca="false">'6. Bridge and margin'!C13</f>
        <v>0.860246855863972</v>
      </c>
      <c r="D55" s="31" t="str">
        <f aca="false">IF(ISNUMBER(C55)=FALSE(),"CHECK",IF(ABS(C55-B55)&lt;=0.00005,"OK","CHECK"))</f>
        <v>OK</v>
      </c>
      <c r="E55" s="22"/>
    </row>
    <row r="56" customFormat="false" ht="15" hidden="false" customHeight="false" outlineLevel="0" collapsed="false">
      <c r="A56" s="5" t="s">
        <v>157</v>
      </c>
      <c r="B56" s="30" t="n">
        <v>32.38</v>
      </c>
      <c r="C56" s="30" t="n">
        <f aca="false">'6. Bridge and margin'!B14</f>
        <v>32.3835149740793</v>
      </c>
      <c r="D56" s="31" t="str">
        <f aca="false">IF(ISNUMBER(C56)=FALSE(),"CHECK",IF(ABS(C56-B56)&lt;=0.005,"OK","CHECK"))</f>
        <v>OK</v>
      </c>
      <c r="E56" s="22" t="s">
        <v>158</v>
      </c>
    </row>
    <row r="57" customFormat="false" ht="15" hidden="false" customHeight="false" outlineLevel="0" collapsed="false">
      <c r="A57" s="5" t="s">
        <v>156</v>
      </c>
      <c r="B57" s="21" t="n">
        <v>0.8411</v>
      </c>
      <c r="C57" s="21" t="n">
        <f aca="false">'6. Bridge and margin'!C14</f>
        <v>0.841130259066995</v>
      </c>
      <c r="D57" s="31" t="str">
        <f aca="false">IF(ISNUMBER(C57)=FALSE(),"CHECK",IF(ABS(C57-B57)&lt;=0.00005,"OK","CHECK"))</f>
        <v>OK</v>
      </c>
      <c r="E57" s="22"/>
    </row>
    <row r="58" customFormat="false" ht="15" hidden="false" customHeight="false" outlineLevel="0" collapsed="false">
      <c r="A58" s="5" t="s">
        <v>159</v>
      </c>
      <c r="B58" s="30" t="n">
        <v>31.28</v>
      </c>
      <c r="C58" s="30" t="n">
        <f aca="false">'6. Bridge and margin'!B15</f>
        <v>31.2795315090539</v>
      </c>
      <c r="D58" s="31" t="str">
        <f aca="false">IF(ISNUMBER(C58)=FALSE(),"CHECK",IF(ABS(C58-B58)&lt;=0.005,"OK","CHECK"))</f>
        <v>OK</v>
      </c>
      <c r="E58" s="22"/>
    </row>
    <row r="59" customFormat="false" ht="15" hidden="false" customHeight="false" outlineLevel="0" collapsed="false">
      <c r="A59" s="5" t="s">
        <v>156</v>
      </c>
      <c r="B59" s="21" t="n">
        <v>0.8125</v>
      </c>
      <c r="C59" s="21" t="n">
        <f aca="false">'6. Bridge and margin'!C15</f>
        <v>0.81245536387153</v>
      </c>
      <c r="D59" s="31" t="str">
        <f aca="false">IF(ISNUMBER(C59)=FALSE(),"CHECK",IF(ABS(C59-B59)&lt;=0.00005,"OK","CHECK"))</f>
        <v>OK</v>
      </c>
      <c r="E59" s="22"/>
    </row>
    <row r="60" customFormat="false" ht="15" hidden="false" customHeight="false" outlineLevel="0" collapsed="false">
      <c r="A60" s="5" t="s">
        <v>160</v>
      </c>
      <c r="B60" s="30" t="n">
        <v>30.18</v>
      </c>
      <c r="C60" s="30" t="n">
        <f aca="false">'6. Bridge and margin'!B16</f>
        <v>30.1755480440285</v>
      </c>
      <c r="D60" s="31" t="str">
        <f aca="false">IF(ISNUMBER(C60)=FALSE(),"CHECK",IF(ABS(C60-B60)&lt;=0.005,"OK","CHECK"))</f>
        <v>OK</v>
      </c>
      <c r="E60" s="22" t="s">
        <v>161</v>
      </c>
    </row>
    <row r="61" customFormat="false" ht="15" hidden="false" customHeight="false" outlineLevel="0" collapsed="false">
      <c r="A61" s="5" t="s">
        <v>156</v>
      </c>
      <c r="B61" s="21" t="n">
        <v>0.7838</v>
      </c>
      <c r="C61" s="21" t="n">
        <f aca="false">'6. Bridge and margin'!C16</f>
        <v>0.783780468676064</v>
      </c>
      <c r="D61" s="31" t="str">
        <f aca="false">IF(ISNUMBER(C61)=FALSE(),"CHECK",IF(ABS(C61-B61)&lt;=0.00005,"OK","CHECK"))</f>
        <v>OK</v>
      </c>
      <c r="E61" s="22"/>
    </row>
    <row r="62" customFormat="false" ht="15" hidden="false" customHeight="false" outlineLevel="0" collapsed="false">
      <c r="A62" s="5" t="s">
        <v>162</v>
      </c>
      <c r="B62" s="30" t="n">
        <v>29.44</v>
      </c>
      <c r="C62" s="30" t="n">
        <f aca="false">'6. Bridge and margin'!B17</f>
        <v>29.4395590673448</v>
      </c>
      <c r="D62" s="31" t="str">
        <f aca="false">IF(ISNUMBER(C62)=FALSE(),"CHECK",IF(ABS(C62-B62)&lt;=0.005,"OK","CHECK"))</f>
        <v>OK</v>
      </c>
      <c r="E62" s="22"/>
    </row>
    <row r="63" customFormat="false" ht="15" hidden="false" customHeight="false" outlineLevel="0" collapsed="false">
      <c r="A63" s="5" t="s">
        <v>156</v>
      </c>
      <c r="B63" s="21" t="n">
        <v>0.7647</v>
      </c>
      <c r="C63" s="21" t="n">
        <f aca="false">'6. Bridge and margin'!C17</f>
        <v>0.764663871879087</v>
      </c>
      <c r="D63" s="31" t="str">
        <f aca="false">IF(ISNUMBER(C63)=FALSE(),"CHECK",IF(ABS(C63-B63)&lt;=0.00005,"OK","CHECK"))</f>
        <v>OK</v>
      </c>
      <c r="E63" s="22"/>
    </row>
    <row r="64" customFormat="false" ht="15" hidden="false" customHeight="false" outlineLevel="0" collapsed="false">
      <c r="A64" s="5" t="s">
        <v>163</v>
      </c>
      <c r="B64" s="30" t="n">
        <v>27.6</v>
      </c>
      <c r="C64" s="30" t="n">
        <f aca="false">'6. Bridge and margin'!B18</f>
        <v>27.5995866256358</v>
      </c>
      <c r="D64" s="31" t="str">
        <f aca="false">IF(ISNUMBER(C64)=FALSE(),"CHECK",IF(ABS(C64-B64)&lt;=0.005,"OK","CHECK"))</f>
        <v>OK</v>
      </c>
      <c r="E64" s="22"/>
    </row>
    <row r="65" customFormat="false" ht="15" hidden="false" customHeight="false" outlineLevel="0" collapsed="false">
      <c r="A65" s="5" t="s">
        <v>156</v>
      </c>
      <c r="B65" s="21" t="n">
        <v>0.7169</v>
      </c>
      <c r="C65" s="21" t="n">
        <f aca="false">'6. Bridge and margin'!C18</f>
        <v>0.716872379886644</v>
      </c>
      <c r="D65" s="31" t="str">
        <f aca="false">IF(ISNUMBER(C65)=FALSE(),"CHECK",IF(ABS(C65-B65)&lt;=0.00005,"OK","CHECK"))</f>
        <v>OK</v>
      </c>
      <c r="E65" s="22"/>
    </row>
    <row r="66" customFormat="false" ht="15" hidden="false" customHeight="false" outlineLevel="0" collapsed="false">
      <c r="A66" s="5" t="s">
        <v>164</v>
      </c>
      <c r="C66" s="20" t="str">
        <f aca="false">IF(ABS('6. Bridge and margin'!B7-('3. The four discounts'!B3+'6. Bridge and margin'!B5-'3. The four discounts'!B6))&lt;0.000000001,"OK","CHECK")</f>
        <v>OK</v>
      </c>
      <c r="D66" s="31" t="str">
        <f aca="false">IF(C66="","",IF(C66="OK","OK","CHECK"))</f>
        <v>OK</v>
      </c>
      <c r="E66" s="22" t="s">
        <v>123</v>
      </c>
    </row>
    <row r="68" customFormat="false" ht="15" hidden="false" customHeight="false" outlineLevel="0" collapsed="false">
      <c r="A68" s="31" t="s">
        <v>165</v>
      </c>
      <c r="C68" s="31" t="str">
        <f aca="false">COUNTIF(D5:D66,"OK")&amp;" / 62"</f>
        <v>62 / 62</v>
      </c>
      <c r="D68" s="31" t="str">
        <f aca="false">IF(COUNTIF(D5:D66,"OK")=62,"ALL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2026-08-25T05:19:47Z</dcterms:created>
  <dc:creator>openpyxl</dc:creator>
  <dc:description/>
  <dc:language>en-US</dc:language>
  <cp:lastModifiedBy/>
  <dcterms:modified xsi:type="dcterms:W3CDTF">2026-09-23T21:53:26Z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