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1. Costs" sheetId="2" state="visible" r:id="rId4"/>
    <sheet name="2. The tape" sheetId="3" state="visible" r:id="rId5"/>
    <sheet name="4. Around the tape" sheetId="4" state="visible" r:id="rId6"/>
    <sheet name="3. Checks"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<sst xmlns="http://schemas.openxmlformats.org/spreadsheetml/2006/main" count="207" uniqueCount="176">
  <si>
    <t xml:space="preserve">Occupancy cost and rent at risk</t>
  </si>
  <si>
    <t xml:space="preserve">Companion workbook to Retail Real Estate</t>
  </si>
  <si>
    <t xml:space="preserve">Retail is the only asset class in which the tenant reports what it sells. This workbook turns that number into the only ratio that governs a retail rent roll, and then into euros.</t>
  </si>
  <si>
    <t xml:space="preserve">Chapters 3 and 4 of the book are this file. Paste your own tape into sheet 2 and the answer takes twenty minutes.</t>
  </si>
  <si>
    <t xml:space="preserve">What it computes</t>
  </si>
  <si>
    <t xml:space="preserve">The occupancy cost ratio of every unit, on the full basis: rent plus service charge plus rates, over reported sales.</t>
  </si>
  <si>
    <t xml:space="preserve">The rent each unit can sustain — its ceiling times its sales, less service charge and rates.</t>
  </si>
  <si>
    <t xml:space="preserve">The rent at risk: the part of the rent roll above that level.</t>
  </si>
  <si>
    <t xml:space="preserve">And the reversion: the units trading inside their ceiling, where an increase is actually collectable.</t>
  </si>
  <si>
    <t xml:space="preserve">The input to argue about</t>
  </si>
  <si>
    <t xml:space="preserve">The ceiling by trade, in column H of sheet 2, on a yellow fill. It is the one input a buyer can test directly, by asking three operators in each trade what ratio they underwrite to.</t>
  </si>
  <si>
    <t xml:space="preserve">Conventions</t>
  </si>
  <si>
    <t xml:space="preserve">Blue text on a pale blue fill — an input, you may edit these.</t>
  </si>
  <si>
    <t xml:space="preserve">Yellow fill — the carrying assumption of the sheet, the one to argue about first.</t>
  </si>
  <si>
    <t xml:space="preserve">Black text — a formula, do not overtype these.</t>
  </si>
  <si>
    <t xml:space="preserve">Nothing is locked, protected or watermarked. No macros, no external links.</t>
  </si>
  <si>
    <t xml:space="preserve">Revised 24 September 2026. Sheet 4 is new: it wires to the tape the arithmetic the book leaves in the text (the anchor subsidy, the co-tenancy cascade, the restructuring bands, the sales shocks and the dated multiples). Two of the book's sentences do not survive it. At the sales Chapter 21 says would justify the asking price (44 per cent above today) the rent at risk does not vanish: the value operator is still 17.52 EUR/m2 over its ceiling, 68,343 a year; every unit is inside only at 54.5 per cent. And the "10.2 times" that Chapters 8 and 16 set against the 11.5 perpetuity is measured at the appraisal's 7.25 per cent; at the same 8.25 per cent exit yield the dated multiple is 8.7. Sheet 3 now holds twenty-nine checks and ends ALL OK.</t>
  </si>
  <si>
    <t xml:space="preserve">Occupancy costs borne by the tenant</t>
  </si>
  <si>
    <t xml:space="preserve">Service charge (EUR/m2 a year)</t>
  </si>
  <si>
    <t xml:space="preserve">Property taxes and local charges (EUR/m2 a year)</t>
  </si>
  <si>
    <t xml:space="preserve">Total, borne by the tenant</t>
  </si>
  <si>
    <t xml:space="preserve">Everything in this workbook is a residual: what the trade can carry, less the two lines above. They are not the landlord's income, and they are most of the tenant's occupancy cost on a low-rent unit.</t>
  </si>
  <si>
    <t xml:space="preserve">Unit</t>
  </si>
  <si>
    <t xml:space="preserve">Trade</t>
  </si>
  <si>
    <t xml:space="preserve">Area (m2)</t>
  </si>
  <si>
    <t xml:space="preserve">Rent (EUR/m2)</t>
  </si>
  <si>
    <t xml:space="preserve">Sales (EUR/m2)</t>
  </si>
  <si>
    <t xml:space="preserve">Occupancy cost</t>
  </si>
  <si>
    <t xml:space="preserve">Ratio</t>
  </si>
  <si>
    <t xml:space="preserve">Ceiling</t>
  </si>
  <si>
    <t xml:space="preserve">Sustainable rent</t>
  </si>
  <si>
    <t xml:space="preserve">Gap (EUR/m2)</t>
  </si>
  <si>
    <t xml:space="preserve">Gap a year</t>
  </si>
  <si>
    <t xml:space="preserve">Rent at risk</t>
  </si>
  <si>
    <t xml:space="preserve">Grocery anchor</t>
  </si>
  <si>
    <t xml:space="preserve">Grocery</t>
  </si>
  <si>
    <t xml:space="preserve">Fashion multiple A</t>
  </si>
  <si>
    <t xml:space="preserve">Fashion</t>
  </si>
  <si>
    <t xml:space="preserve">Fashion multiple B</t>
  </si>
  <si>
    <t xml:space="preserve">Fashion independent</t>
  </si>
  <si>
    <t xml:space="preserve">Sports</t>
  </si>
  <si>
    <t xml:space="preserve">Footwear</t>
  </si>
  <si>
    <t xml:space="preserve">Health and beauty</t>
  </si>
  <si>
    <t xml:space="preserve">Health</t>
  </si>
  <si>
    <t xml:space="preserve">Pharmacy</t>
  </si>
  <si>
    <t xml:space="preserve">Electronics</t>
  </si>
  <si>
    <t xml:space="preserve">Jewellery</t>
  </si>
  <si>
    <t xml:space="preserve">Coffee and bakery</t>
  </si>
  <si>
    <t xml:space="preserve">Food</t>
  </si>
  <si>
    <t xml:space="preserve">Restaurants</t>
  </si>
  <si>
    <t xml:space="preserve">Value and discount</t>
  </si>
  <si>
    <t xml:space="preserve">Discount</t>
  </si>
  <si>
    <t xml:space="preserve">Home and gifts</t>
  </si>
  <si>
    <t xml:space="preserve">Home</t>
  </si>
  <si>
    <t xml:space="preserve">Toys and leisure</t>
  </si>
  <si>
    <t xml:space="preserve">Services and banks</t>
  </si>
  <si>
    <t xml:space="preserve">Services</t>
  </si>
  <si>
    <t xml:space="preserve">Passing rent</t>
  </si>
  <si>
    <t xml:space="preserve">Reversion</t>
  </si>
  <si>
    <t xml:space="preserve">Rent at risk, share of the rent roll</t>
  </si>
  <si>
    <t xml:space="preserve">Units over their ceiling</t>
  </si>
  <si>
    <t xml:space="preserve">Around the tape: the arithmetic the chapters leave in the text</t>
  </si>
  <si>
    <t xml:space="preserve">Chapters 4, 7, 8, 16, 20 and 21, wired to the tape on sheet 2. Blue cells are inputs; the steps in B4 to B6 are tests, not data.</t>
  </si>
  <si>
    <t xml:space="preserve">Restructuring bands (Chapter 16)</t>
  </si>
  <si>
    <t xml:space="preserve">Ceiling shift for the robustness test (points)</t>
  </si>
  <si>
    <t xml:space="preserve">Inside the ceiling</t>
  </si>
  <si>
    <t xml:space="preserve">Sales shock: the downside of Chapter 20</t>
  </si>
  <si>
    <t xml:space="preserve">Up to 20 per cent over</t>
  </si>
  <si>
    <t xml:space="preserve">Sales shock Chapter 21 says would justify the asking price</t>
  </si>
  <si>
    <t xml:space="preserve">20 to 50 per cent over</t>
  </si>
  <si>
    <t xml:space="preserve">Specialty rent protected by co-tenancy</t>
  </si>
  <si>
    <t xml:space="preserve">More than 50 per cent over</t>
  </si>
  <si>
    <t xml:space="preserve">Abatement if the anchor leaves</t>
  </si>
  <si>
    <t xml:space="preserve">Share of the excess over the ceiling surrendered once the table is open; not a probability of default.</t>
  </si>
  <si>
    <t xml:space="preserve">Fall in specialty sales if the anchor leaves</t>
  </si>
  <si>
    <t xml:space="preserve">Market yield used by the appraisal</t>
  </si>
  <si>
    <t xml:space="preserve">Exit yield</t>
  </si>
  <si>
    <t xml:space="preserve">Non-recoverable costs</t>
  </si>
  <si>
    <t xml:space="preserve">Quarters to expiry</t>
  </si>
  <si>
    <t xml:space="preserve">Over the ceiling by</t>
  </si>
  <si>
    <t xml:space="preserve">Band cut</t>
  </si>
  <si>
    <t xml:space="preserve">Restructuring loss</t>
  </si>
  <si>
    <t xml:space="preserve">At risk, ceilings shifted</t>
  </si>
  <si>
    <t xml:space="preserve">At risk, downside</t>
  </si>
  <si>
    <t xml:space="preserve">Over, downside</t>
  </si>
  <si>
    <t xml:space="preserve">At risk, Ch. 21 sales</t>
  </si>
  <si>
    <t xml:space="preserve">Sustainable, anchor gone</t>
  </si>
  <si>
    <t xml:space="preserve">At risk after, unprotected</t>
  </si>
  <si>
    <t xml:space="preserve">Dated charge, appraisal yield</t>
  </si>
  <si>
    <t xml:space="preserve">Dated charge, exit yield</t>
  </si>
  <si>
    <t xml:space="preserve">Over at Ch. 21 sales (EUR/m2)</t>
  </si>
  <si>
    <t xml:space="preserve">Sales rise to be inside</t>
  </si>
  <si>
    <t xml:space="preserve">the anchor</t>
  </si>
  <si>
    <t xml:space="preserve">Chapter 4: rent at risk with every ceiling moved by B4</t>
  </si>
  <si>
    <t xml:space="preserve">Chapter 20: rent at risk at the downside of B5</t>
  </si>
  <si>
    <t xml:space="preserve">  share of the rent roll</t>
  </si>
  <si>
    <t xml:space="preserve">  units past their ceiling</t>
  </si>
  <si>
    <t xml:space="preserve">Chapter 21: rent at risk at the sales B6 says would justify the price</t>
  </si>
  <si>
    <t xml:space="preserve">  the largest excess over a ceiling at those sales (EUR/m2)</t>
  </si>
  <si>
    <t xml:space="preserve">  sales above today at which every unit is inside its ceiling</t>
  </si>
  <si>
    <t xml:space="preserve">Chapter 7: anchor rent</t>
  </si>
  <si>
    <t xml:space="preserve">  specialty average rent (EUR/m2)</t>
  </si>
  <si>
    <t xml:space="preserve">  implied subsidy: the anchor at the specialty rate, less its rent</t>
  </si>
  <si>
    <t xml:space="preserve">Chapter 8: co-tenancy abatements triggered</t>
  </si>
  <si>
    <t xml:space="preserve">  rent at risk before, unprotected share only</t>
  </si>
  <si>
    <t xml:space="preserve">  rent at risk after the sales fall, same share</t>
  </si>
  <si>
    <t xml:space="preserve">  increase in rent at risk</t>
  </si>
  <si>
    <t xml:space="preserve">  total rent exposed if the anchor goes</t>
  </si>
  <si>
    <t xml:space="preserve">  as a multiple of the anchor's rent</t>
  </si>
  <si>
    <t xml:space="preserve">  capitalised as a net perpetuity at the exit yield</t>
  </si>
  <si>
    <t xml:space="preserve">Chapter 16: rent lost if the restructuring table opens</t>
  </si>
  <si>
    <t xml:space="preserve">Multiples (Chapters 8, 12 and 16): net perpetuity at the exit yield</t>
  </si>
  <si>
    <t xml:space="preserve">  rent at risk charged from each lease's own expiry, at the appraisal yield</t>
  </si>
  <si>
    <t xml:space="preserve">  the same, at the exit yield: the like-for-like comparison with row 56</t>
  </si>
  <si>
    <t xml:space="preserve">Row 57 is the 10.2 the book sets against the 11.5 of row 56, "a turn and a third less". The two are at different yields. At the same exit yield the dated multiple is row 58, 8.7: dating the loss takes nearly three turns off the perpetuity, not one and a third. Row 37: at the sales Chapter 21 requires, the value operator is still past its ceiling; the rent at risk does not vanish.</t>
  </si>
  <si>
    <t xml:space="preserve">Checks — every figure the book prints, against what this workbook computes</t>
  </si>
  <si>
    <t xml:space="preserve">Retail Real Estate</t>
  </si>
  <si>
    <t xml:space="preserve">Column D is a live formula pointing into the model, not a re-typed number. Change an input and this sheet moves with it.</t>
  </si>
  <si>
    <t xml:space="preserve">Source</t>
  </si>
  <si>
    <t xml:space="preserve">Figure as the book prints it</t>
  </si>
  <si>
    <t xml:space="preserve">Printed</t>
  </si>
  <si>
    <t xml:space="preserve">Computed</t>
  </si>
  <si>
    <t xml:space="preserve">Variance</t>
  </si>
  <si>
    <t xml:space="preserve">Status</t>
  </si>
  <si>
    <t xml:space="preserve">How the tolerances are set</t>
  </si>
  <si>
    <t xml:space="preserve">Ch. 2</t>
  </si>
  <si>
    <t xml:space="preserve">Passing rent (EUR)</t>
  </si>
  <si>
    <t xml:space="preserve">One unit of the last digit the book prints for that figure.</t>
  </si>
  <si>
    <t xml:space="preserve">Ch. 3</t>
  </si>
  <si>
    <t xml:space="preserve">Occupancy cost ratio, worst unit</t>
  </si>
  <si>
    <t xml:space="preserve">Occupancy cost ratio, whole centre</t>
  </si>
  <si>
    <t xml:space="preserve">Ch. 4</t>
  </si>
  <si>
    <t xml:space="preserve">Rent at risk (EUR)</t>
  </si>
  <si>
    <t xml:space="preserve">Reversion (EUR)</t>
  </si>
  <si>
    <t xml:space="preserve">Rent at risk, every ceiling one point higher (EUR)</t>
  </si>
  <si>
    <t xml:space="preserve">Ch. 20</t>
  </si>
  <si>
    <t xml:space="preserve">Rent at risk at minus ten per cent of sales, share of the rent roll</t>
  </si>
  <si>
    <t xml:space="preserve">the book prints "28 per cent"</t>
  </si>
  <si>
    <t xml:space="preserve">Units past their ceiling at minus ten per cent of sales</t>
  </si>
  <si>
    <t xml:space="preserve">Ch. 21</t>
  </si>
  <si>
    <t xml:space="preserve">Rent at risk at the sales the book says justify the price (EUR)</t>
  </si>
  <si>
    <t xml:space="preserve">revised: the book says it vanishes; the value operator is still 17.52 EUR/m2 over</t>
  </si>
  <si>
    <t xml:space="preserve">Sales above today at which every unit is inside its ceiling</t>
  </si>
  <si>
    <t xml:space="preserve">revised: needed, rather than the 44 per cent printed</t>
  </si>
  <si>
    <t xml:space="preserve">Largest excess over a ceiling at those 44 per cent (EUR/m2)</t>
  </si>
  <si>
    <t xml:space="preserve">the value operator</t>
  </si>
  <si>
    <t xml:space="preserve">Ch. 7</t>
  </si>
  <si>
    <t xml:space="preserve">Specialty average rent (EUR/m2)</t>
  </si>
  <si>
    <t xml:space="preserve">Implied subsidy (EUR)</t>
  </si>
  <si>
    <t xml:space="preserve">Ch. 8</t>
  </si>
  <si>
    <t xml:space="preserve">Co-tenancy abatements triggered (EUR)</t>
  </si>
  <si>
    <t xml:space="preserve">Rent at risk before, unprotected share (EUR)</t>
  </si>
  <si>
    <t xml:space="preserve">Rent at risk after the sales fall, same share (EUR)</t>
  </si>
  <si>
    <t xml:space="preserve">Total rent exposed if the anchor goes (EUR)</t>
  </si>
  <si>
    <t xml:space="preserve">Exposure as a multiple of the anchor rent</t>
  </si>
  <si>
    <t xml:space="preserve">Exposure capitalised at the exit yield (EUR)</t>
  </si>
  <si>
    <t xml:space="preserve">printed in millions</t>
  </si>
  <si>
    <t xml:space="preserve">Ch. 16</t>
  </si>
  <si>
    <t xml:space="preserve">Rent lost if the restructuring table opens (EUR)</t>
  </si>
  <si>
    <t xml:space="preserve">Rent lost, share of the rent roll</t>
  </si>
  <si>
    <t xml:space="preserve">Net perpetuity at the exit yield</t>
  </si>
  <si>
    <t xml:space="preserve">Ch. 8, 12</t>
  </si>
  <si>
    <t xml:space="preserve">Dated multiple at the appraisal yield (the book's 10.2)</t>
  </si>
  <si>
    <t xml:space="preserve">Ch. 8, 16</t>
  </si>
  <si>
    <t xml:space="preserve">Dated multiple at the exit yield, like for like with 11.5</t>
  </si>
  <si>
    <t xml:space="preserve">revised: the book compares 10.2 at 7.25% with 11.5 at 8.25%</t>
  </si>
  <si>
    <t xml:space="preserve">Ch. 11</t>
  </si>
  <si>
    <t xml:space="preserve">Sustainable rent roll (EUR)</t>
  </si>
  <si>
    <t xml:space="preserve">Net: rent at risk less reversion (EUR)</t>
  </si>
  <si>
    <t xml:space="preserve">Any</t>
  </si>
  <si>
    <t xml:space="preserve">Rent at risk plus reversion equals the sum of absolute gaps (difference)</t>
  </si>
  <si>
    <t xml:space="preserve">holds for any tape</t>
  </si>
  <si>
    <t xml:space="preserve">Lines reproduced within the book's own printed precision</t>
  </si>
  <si>
    <t xml:space="preserve">Lines differing only by the book's rounding of an intermediate</t>
  </si>
  <si>
    <t xml:space="preserve">Lines to check</t>
  </si>
  <si>
    <t xml:space="preserve">All checks</t>
  </si>
</sst>
</file>

<file path=xl/styles.xml><?xml version="1.0" encoding="utf-8"?>
<styleSheet xmlns="http://schemas.openxmlformats.org/spreadsheetml/2006/main">
  <numFmts count="9">
    <numFmt numFmtId="164" formatCode="General"/>
    <numFmt numFmtId="165" formatCode="#,##0.00"/>
    <numFmt numFmtId="166" formatCode="#,##0"/>
    <numFmt numFmtId="167" formatCode="0.00%"/>
    <numFmt numFmtId="168" formatCode="0"/>
    <numFmt numFmtId="169" formatCode="0.0%"/>
    <numFmt numFmtId="170" formatCode="0%"/>
    <numFmt numFmtId="171" formatCode="0.00"/>
    <numFmt numFmtId="172" formatCode="0.0"/>
  </numFmts>
  <fonts count="14">
    <font>
      <sz val="11"/>
      <color theme="1"/>
      <name val="Calibri"/>
      <family val="2"/>
      <charset val="1"/>
    </font>
    <font>
      <sz val="10"/>
      <name val="Arial"/>
      <family val="0"/>
    </font>
    <font>
      <sz val="10"/>
      <name val="Arial"/>
      <family val="0"/>
    </font>
    <font>
      <sz val="10"/>
      <name val="Arial"/>
      <family val="0"/>
    </font>
    <font>
      <b val="true"/>
      <sz val="14"/>
      <color rgb="FF1F3864"/>
      <name val="Cambria"/>
      <family val="0"/>
      <charset val="1"/>
    </font>
    <font>
      <sz val="9"/>
      <color rgb="FF555555"/>
      <name val="Cambria"/>
      <family val="0"/>
      <charset val="1"/>
    </font>
    <font>
      <b val="true"/>
      <sz val="10"/>
      <color rgb="FF1F3864"/>
      <name val="Cambria"/>
      <family val="0"/>
      <charset val="1"/>
    </font>
    <font>
      <sz val="11"/>
      <name val="Cambria"/>
      <family val="0"/>
      <charset val="1"/>
    </font>
    <font>
      <b val="true"/>
      <sz val="13"/>
      <color rgb="FF1F3864"/>
      <name val="Cambria"/>
      <family val="0"/>
      <charset val="1"/>
    </font>
    <font>
      <sz val="11"/>
      <color rgb="FF1F4E79"/>
      <name val="Cambria"/>
      <family val="0"/>
      <charset val="1"/>
    </font>
    <font>
      <b val="true"/>
      <sz val="11"/>
      <name val="Cambria"/>
      <family val="0"/>
      <charset val="1"/>
    </font>
    <font>
      <b val="true"/>
      <sz val="11"/>
      <color rgb="FF1F4E79"/>
      <name val="Cambria"/>
      <family val="0"/>
      <charset val="1"/>
    </font>
    <font>
      <sz val="11"/>
      <color rgb="FF555555"/>
      <name val="Cambria"/>
      <family val="0"/>
      <charset val="1"/>
    </font>
    <font>
      <b val="true"/>
      <sz val="11"/>
      <color rgb="FFFFFFFF"/>
      <name val="Cambria"/>
      <family val="0"/>
      <charset val="1"/>
    </font>
  </fonts>
  <fills count="5">
    <fill>
      <patternFill patternType="none"/>
    </fill>
    <fill>
      <patternFill patternType="gray125"/>
    </fill>
    <fill>
      <patternFill patternType="solid">
        <fgColor rgb="FFDCE9F7"/>
        <bgColor rgb="FFCCFFFF"/>
      </patternFill>
    </fill>
    <fill>
      <patternFill patternType="solid">
        <fgColor rgb="FFFFF2CC"/>
        <bgColor rgb="FFFFFFFF"/>
      </patternFill>
    </fill>
    <fill>
      <patternFill patternType="solid">
        <fgColor rgb="FF1F3864"/>
        <bgColor rgb="FF1F4E79"/>
      </patternFill>
    </fill>
  </fills>
  <borders count="2">
    <border diagonalUp="false" diagonalDown="false">
      <left/>
      <right/>
      <top/>
      <bottom/>
      <diagonal/>
    </border>
    <border diagonalUp="false" diagonalDown="false">
      <left/>
      <right/>
      <top/>
      <bottom style="thin">
        <color rgb="FFAAAAA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9" fillId="2"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10" fillId="0" borderId="1" xfId="0" applyFont="true" applyBorder="true" applyAlignment="true" applyProtection="false">
      <alignment horizontal="general" vertical="bottom" textRotation="0" wrapText="true" indent="0" shrinkToFit="false"/>
      <protection locked="true" hidden="false"/>
    </xf>
    <xf numFmtId="166" fontId="9" fillId="2" borderId="0" xfId="0" applyFont="tru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67" fontId="11" fillId="3" borderId="0" xfId="0" applyFont="tru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67" fontId="10" fillId="0" borderId="0" xfId="0" applyFont="true" applyBorder="false" applyAlignment="false" applyProtection="false">
      <alignment horizontal="general" vertical="bottom" textRotation="0" wrapText="false" indent="0" shrinkToFit="false"/>
      <protection locked="true" hidden="false"/>
    </xf>
    <xf numFmtId="168" fontId="10"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9" fontId="9" fillId="2"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70" fontId="9" fillId="2" borderId="0" xfId="0" applyFont="true" applyBorder="false" applyAlignment="false" applyProtection="false">
      <alignment horizontal="general" vertical="bottom" textRotation="0" wrapText="false" indent="0" shrinkToFit="false"/>
      <protection locked="true" hidden="false"/>
    </xf>
    <xf numFmtId="167" fontId="9" fillId="2" borderId="0" xfId="0" applyFont="true" applyBorder="false" applyAlignment="false" applyProtection="false">
      <alignment horizontal="general" vertical="bottom" textRotation="0" wrapText="false" indent="0" shrinkToFit="false"/>
      <protection locked="true" hidden="false"/>
    </xf>
    <xf numFmtId="170" fontId="11" fillId="3" borderId="0" xfId="0" applyFont="true" applyBorder="false" applyAlignment="false" applyProtection="false">
      <alignment horizontal="general" vertical="bottom" textRotation="0" wrapText="false" indent="0" shrinkToFit="false"/>
      <protection locked="true" hidden="false"/>
    </xf>
    <xf numFmtId="164" fontId="13" fillId="4" borderId="0" xfId="0" applyFont="true" applyBorder="false" applyAlignment="true" applyProtection="false">
      <alignment horizontal="general" vertical="center" textRotation="0" wrapText="true" indent="0" shrinkToFit="false"/>
      <protection locked="true" hidden="false"/>
    </xf>
    <xf numFmtId="168" fontId="9" fillId="2"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71" fontId="10"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true" applyAlignment="true" applyProtection="false">
      <alignment horizontal="general" vertical="top" textRotation="0" wrapText="true" indent="0" shrinkToFit="false"/>
      <protection locked="true" hidden="false"/>
    </xf>
    <xf numFmtId="168" fontId="0" fillId="0" borderId="0" xfId="0" applyFont="false" applyBorder="false" applyAlignment="false" applyProtection="false">
      <alignment horizontal="general" vertical="bottom" textRotation="0" wrapText="false" indent="0" shrinkToFit="false"/>
      <protection locked="true" hidden="false"/>
    </xf>
    <xf numFmtId="169" fontId="0" fillId="0" borderId="0" xfId="0" applyFont="false" applyBorder="false" applyAlignment="false" applyProtection="false">
      <alignment horizontal="general" vertical="bottom" textRotation="0" wrapText="false" indent="0" shrinkToFit="false"/>
      <protection locked="true" hidden="false"/>
    </xf>
    <xf numFmtId="172" fontId="0" fillId="0" borderId="0" xfId="0" applyFont="false" applyBorder="false" applyAlignment="false" applyProtection="false">
      <alignment horizontal="general" vertical="bottom" textRotation="0" wrapText="false" indent="0" shrinkToFit="false"/>
      <protection locked="true" hidden="false"/>
    </xf>
    <xf numFmtId="171" fontId="0" fillId="0"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DCE9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AAAAAA"/>
      <rgbColor rgb="FF1F3864"/>
      <rgbColor rgb="FF339966"/>
      <rgbColor rgb="FF003300"/>
      <rgbColor rgb="FF333300"/>
      <rgbColor rgb="FF993300"/>
      <rgbColor rgb="FF993366"/>
      <rgbColor rgb="FF1F4E7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8"/>
  </cols>
  <sheetData>
    <row r="1" customFormat="false" ht="17.35" hidden="false" customHeight="false" outlineLevel="0" collapsed="false">
      <c r="A1" s="1" t="s">
        <v>0</v>
      </c>
    </row>
    <row r="2" customFormat="false" ht="15" hidden="false" customHeight="false" outlineLevel="0" collapsed="false">
      <c r="A2" s="2" t="s">
        <v>1</v>
      </c>
    </row>
    <row r="4" customFormat="false" ht="25.5" hidden="false" customHeight="true" outlineLevel="0" collapsed="false">
      <c r="A4" s="3" t="s">
        <v>2</v>
      </c>
    </row>
    <row r="5" customFormat="false" ht="25.5" hidden="false" customHeight="true" outlineLevel="0" collapsed="false">
      <c r="A5" s="3" t="s">
        <v>3</v>
      </c>
    </row>
    <row r="7" customFormat="false" ht="15" hidden="false" customHeight="false" outlineLevel="0" collapsed="false">
      <c r="A7" s="4" t="s">
        <v>4</v>
      </c>
    </row>
    <row r="8" customFormat="false" ht="25.5" hidden="false" customHeight="true" outlineLevel="0" collapsed="false">
      <c r="A8" s="3" t="s">
        <v>5</v>
      </c>
    </row>
    <row r="9" customFormat="false" ht="15" hidden="false" customHeight="true" outlineLevel="0" collapsed="false">
      <c r="A9" s="3" t="s">
        <v>6</v>
      </c>
    </row>
    <row r="10" customFormat="false" ht="15" hidden="false" customHeight="true" outlineLevel="0" collapsed="false">
      <c r="A10" s="3" t="s">
        <v>7</v>
      </c>
    </row>
    <row r="11" customFormat="false" ht="25.5" hidden="false" customHeight="true" outlineLevel="0" collapsed="false">
      <c r="A11" s="3" t="s">
        <v>8</v>
      </c>
    </row>
    <row r="13" customFormat="false" ht="15" hidden="false" customHeight="false" outlineLevel="0" collapsed="false">
      <c r="A13" s="4" t="s">
        <v>9</v>
      </c>
    </row>
    <row r="14" customFormat="false" ht="25.5" hidden="false" customHeight="true" outlineLevel="0" collapsed="false">
      <c r="A14" s="3" t="s">
        <v>10</v>
      </c>
    </row>
    <row r="16" customFormat="false" ht="15" hidden="false" customHeight="false" outlineLevel="0" collapsed="false">
      <c r="A16" s="4" t="s">
        <v>11</v>
      </c>
    </row>
    <row r="17" customFormat="false" ht="15" hidden="false" customHeight="true" outlineLevel="0" collapsed="false">
      <c r="A17" s="3" t="s">
        <v>12</v>
      </c>
    </row>
    <row r="18" customFormat="false" ht="15" hidden="false" customHeight="true" outlineLevel="0" collapsed="false">
      <c r="A18" s="3" t="s">
        <v>13</v>
      </c>
    </row>
    <row r="19" customFormat="false" ht="15" hidden="false" customHeight="true" outlineLevel="0" collapsed="false">
      <c r="A19" s="3" t="s">
        <v>14</v>
      </c>
    </row>
    <row r="20" customFormat="false" ht="15" hidden="false" customHeight="true" outlineLevel="0" collapsed="false">
      <c r="A20" s="3" t="s">
        <v>15</v>
      </c>
    </row>
    <row r="22" customFormat="false" ht="105" hidden="false" customHeight="true" outlineLevel="0" collapsed="false">
      <c r="A22" s="5" t="s">
        <v>16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2" min="2" style="0" width="16"/>
  </cols>
  <sheetData>
    <row r="1" customFormat="false" ht="16.15" hidden="false" customHeight="false" outlineLevel="0" collapsed="false">
      <c r="A1" s="6" t="s">
        <v>17</v>
      </c>
    </row>
    <row r="3" customFormat="false" ht="15" hidden="false" customHeight="false" outlineLevel="0" collapsed="false">
      <c r="A3" s="0" t="s">
        <v>18</v>
      </c>
      <c r="B3" s="7" t="n">
        <v>72</v>
      </c>
    </row>
    <row r="4" customFormat="false" ht="15" hidden="false" customHeight="false" outlineLevel="0" collapsed="false">
      <c r="A4" s="0" t="s">
        <v>19</v>
      </c>
      <c r="B4" s="7" t="n">
        <v>48</v>
      </c>
    </row>
    <row r="5" customFormat="false" ht="15" hidden="false" customHeight="false" outlineLevel="0" collapsed="false">
      <c r="A5" s="0" t="s">
        <v>20</v>
      </c>
      <c r="B5" s="8" t="n">
        <f aca="false">B3+B4</f>
        <v>120</v>
      </c>
    </row>
    <row r="7" customFormat="false" ht="32.8" hidden="false" customHeight="false" outlineLevel="0" collapsed="false">
      <c r="A7" s="9" t="s">
        <v>21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3:L2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2"/>
    <col collapsed="false" customWidth="true" hidden="false" outlineLevel="0" max="2" min="2" style="0" width="13"/>
    <col collapsed="false" customWidth="true" hidden="false" outlineLevel="0" max="3" min="3" style="0" width="11"/>
    <col collapsed="false" customWidth="true" hidden="false" outlineLevel="0" max="5" min="4" style="0" width="12"/>
    <col collapsed="false" customWidth="true" hidden="false" outlineLevel="0" max="6" min="6" style="0" width="13"/>
    <col collapsed="false" customWidth="true" hidden="false" outlineLevel="0" max="8" min="7" style="0" width="9"/>
    <col collapsed="false" customWidth="true" hidden="false" outlineLevel="0" max="9" min="9" style="0" width="14"/>
    <col collapsed="false" customWidth="true" hidden="false" outlineLevel="0" max="10" min="10" style="0" width="12"/>
    <col collapsed="false" customWidth="true" hidden="false" outlineLevel="0" max="12" min="11" style="0" width="13"/>
  </cols>
  <sheetData>
    <row r="3" customFormat="false" ht="28.35" hidden="false" customHeight="false" outlineLevel="0" collapsed="false">
      <c r="A3" s="10" t="s">
        <v>22</v>
      </c>
      <c r="B3" s="10" t="s">
        <v>23</v>
      </c>
      <c r="C3" s="10" t="s">
        <v>24</v>
      </c>
      <c r="D3" s="10" t="s">
        <v>25</v>
      </c>
      <c r="E3" s="10" t="s">
        <v>26</v>
      </c>
      <c r="F3" s="10" t="s">
        <v>27</v>
      </c>
      <c r="G3" s="10" t="s">
        <v>28</v>
      </c>
      <c r="H3" s="10" t="s">
        <v>29</v>
      </c>
      <c r="I3" s="10" t="s">
        <v>30</v>
      </c>
      <c r="J3" s="10" t="s">
        <v>31</v>
      </c>
      <c r="K3" s="10" t="s">
        <v>32</v>
      </c>
      <c r="L3" s="10" t="s">
        <v>33</v>
      </c>
    </row>
    <row r="4" customFormat="false" ht="15" hidden="false" customHeight="false" outlineLevel="0" collapsed="false">
      <c r="A4" s="0" t="s">
        <v>34</v>
      </c>
      <c r="B4" s="0" t="s">
        <v>35</v>
      </c>
      <c r="C4" s="11" t="n">
        <v>7200</v>
      </c>
      <c r="D4" s="7" t="n">
        <v>78</v>
      </c>
      <c r="E4" s="7" t="n">
        <v>5850</v>
      </c>
      <c r="F4" s="12" t="n">
        <f aca="false">D4+'1. Costs'!$B$5</f>
        <v>198</v>
      </c>
      <c r="G4" s="13" t="n">
        <f aca="false">F4/E4</f>
        <v>0.0338461538461538</v>
      </c>
      <c r="H4" s="14" t="n">
        <v>0.035</v>
      </c>
      <c r="I4" s="12" t="n">
        <f aca="false">H4*E4-'1. Costs'!$B$5</f>
        <v>84.75</v>
      </c>
      <c r="J4" s="12" t="n">
        <f aca="false">D4-I4</f>
        <v>-6.75000000000003</v>
      </c>
      <c r="K4" s="15" t="n">
        <f aca="false">J4*C4</f>
        <v>-48600.0000000002</v>
      </c>
      <c r="L4" s="15" t="n">
        <f aca="false">MAX(0,K4)</f>
        <v>0</v>
      </c>
    </row>
    <row r="5" customFormat="false" ht="15" hidden="false" customHeight="false" outlineLevel="0" collapsed="false">
      <c r="A5" s="0" t="s">
        <v>36</v>
      </c>
      <c r="B5" s="0" t="s">
        <v>37</v>
      </c>
      <c r="C5" s="11" t="n">
        <v>1850</v>
      </c>
      <c r="D5" s="7" t="n">
        <v>340</v>
      </c>
      <c r="E5" s="7" t="n">
        <v>2950</v>
      </c>
      <c r="F5" s="12" t="n">
        <f aca="false">D5+'1. Costs'!$B$5</f>
        <v>460</v>
      </c>
      <c r="G5" s="13" t="n">
        <f aca="false">F5/E5</f>
        <v>0.155932203389831</v>
      </c>
      <c r="H5" s="14" t="n">
        <v>0.14</v>
      </c>
      <c r="I5" s="12" t="n">
        <f aca="false">H5*E5-'1. Costs'!$B$5</f>
        <v>293</v>
      </c>
      <c r="J5" s="12" t="n">
        <f aca="false">D5-I5</f>
        <v>46.9999999999999</v>
      </c>
      <c r="K5" s="15" t="n">
        <f aca="false">J5*C5</f>
        <v>86949.9999999999</v>
      </c>
      <c r="L5" s="15" t="n">
        <f aca="false">MAX(0,K5)</f>
        <v>86949.9999999999</v>
      </c>
    </row>
    <row r="6" customFormat="false" ht="15" hidden="false" customHeight="false" outlineLevel="0" collapsed="false">
      <c r="A6" s="0" t="s">
        <v>38</v>
      </c>
      <c r="B6" s="0" t="s">
        <v>37</v>
      </c>
      <c r="C6" s="11" t="n">
        <v>1420</v>
      </c>
      <c r="D6" s="7" t="n">
        <v>355</v>
      </c>
      <c r="E6" s="7" t="n">
        <v>2380</v>
      </c>
      <c r="F6" s="12" t="n">
        <f aca="false">D6+'1. Costs'!$B$5</f>
        <v>475</v>
      </c>
      <c r="G6" s="13" t="n">
        <f aca="false">F6/E6</f>
        <v>0.199579831932773</v>
      </c>
      <c r="H6" s="14" t="n">
        <v>0.14</v>
      </c>
      <c r="I6" s="12" t="n">
        <f aca="false">H6*E6-'1. Costs'!$B$5</f>
        <v>213.2</v>
      </c>
      <c r="J6" s="12" t="n">
        <f aca="false">D6-I6</f>
        <v>141.8</v>
      </c>
      <c r="K6" s="15" t="n">
        <f aca="false">J6*C6</f>
        <v>201356</v>
      </c>
      <c r="L6" s="15" t="n">
        <f aca="false">MAX(0,K6)</f>
        <v>201356</v>
      </c>
    </row>
    <row r="7" customFormat="false" ht="15" hidden="false" customHeight="false" outlineLevel="0" collapsed="false">
      <c r="A7" s="0" t="s">
        <v>39</v>
      </c>
      <c r="B7" s="0" t="s">
        <v>37</v>
      </c>
      <c r="C7" s="11" t="n">
        <v>640</v>
      </c>
      <c r="D7" s="7" t="n">
        <v>300</v>
      </c>
      <c r="E7" s="7" t="n">
        <v>3100</v>
      </c>
      <c r="F7" s="12" t="n">
        <f aca="false">D7+'1. Costs'!$B$5</f>
        <v>420</v>
      </c>
      <c r="G7" s="13" t="n">
        <f aca="false">F7/E7</f>
        <v>0.135483870967742</v>
      </c>
      <c r="H7" s="14" t="n">
        <v>0.14</v>
      </c>
      <c r="I7" s="12" t="n">
        <f aca="false">H7*E7-'1. Costs'!$B$5</f>
        <v>314</v>
      </c>
      <c r="J7" s="12" t="n">
        <f aca="false">D7-I7</f>
        <v>-14.0000000000001</v>
      </c>
      <c r="K7" s="15" t="n">
        <f aca="false">J7*C7</f>
        <v>-8960.00000000004</v>
      </c>
      <c r="L7" s="15" t="n">
        <f aca="false">MAX(0,K7)</f>
        <v>0</v>
      </c>
    </row>
    <row r="8" customFormat="false" ht="15" hidden="false" customHeight="false" outlineLevel="0" collapsed="false">
      <c r="A8" s="0" t="s">
        <v>40</v>
      </c>
      <c r="B8" s="0" t="s">
        <v>37</v>
      </c>
      <c r="C8" s="11" t="n">
        <v>1600</v>
      </c>
      <c r="D8" s="7" t="n">
        <v>265</v>
      </c>
      <c r="E8" s="7" t="n">
        <v>2700</v>
      </c>
      <c r="F8" s="12" t="n">
        <f aca="false">D8+'1. Costs'!$B$5</f>
        <v>385</v>
      </c>
      <c r="G8" s="13" t="n">
        <f aca="false">F8/E8</f>
        <v>0.142592592592593</v>
      </c>
      <c r="H8" s="14" t="n">
        <v>0.14</v>
      </c>
      <c r="I8" s="12" t="n">
        <f aca="false">H8*E8-'1. Costs'!$B$5</f>
        <v>258</v>
      </c>
      <c r="J8" s="12" t="n">
        <f aca="false">D8-I8</f>
        <v>6.99999999999994</v>
      </c>
      <c r="K8" s="15" t="n">
        <f aca="false">J8*C8</f>
        <v>11199.9999999999</v>
      </c>
      <c r="L8" s="15" t="n">
        <f aca="false">MAX(0,K8)</f>
        <v>11199.9999999999</v>
      </c>
    </row>
    <row r="9" customFormat="false" ht="15" hidden="false" customHeight="false" outlineLevel="0" collapsed="false">
      <c r="A9" s="0" t="s">
        <v>41</v>
      </c>
      <c r="B9" s="0" t="s">
        <v>41</v>
      </c>
      <c r="C9" s="11" t="n">
        <v>880</v>
      </c>
      <c r="D9" s="7" t="n">
        <v>250</v>
      </c>
      <c r="E9" s="7" t="n">
        <v>3050</v>
      </c>
      <c r="F9" s="12" t="n">
        <f aca="false">D9+'1. Costs'!$B$5</f>
        <v>370</v>
      </c>
      <c r="G9" s="13" t="n">
        <f aca="false">F9/E9</f>
        <v>0.121311475409836</v>
      </c>
      <c r="H9" s="14" t="n">
        <v>0.13</v>
      </c>
      <c r="I9" s="12" t="n">
        <f aca="false">H9*E9-'1. Costs'!$B$5</f>
        <v>276.5</v>
      </c>
      <c r="J9" s="12" t="n">
        <f aca="false">D9-I9</f>
        <v>-26.5</v>
      </c>
      <c r="K9" s="15" t="n">
        <f aca="false">J9*C9</f>
        <v>-23320</v>
      </c>
      <c r="L9" s="15" t="n">
        <f aca="false">MAX(0,K9)</f>
        <v>0</v>
      </c>
    </row>
    <row r="10" customFormat="false" ht="15" hidden="false" customHeight="false" outlineLevel="0" collapsed="false">
      <c r="A10" s="0" t="s">
        <v>42</v>
      </c>
      <c r="B10" s="0" t="s">
        <v>43</v>
      </c>
      <c r="C10" s="11" t="n">
        <v>460</v>
      </c>
      <c r="D10" s="7" t="n">
        <v>520</v>
      </c>
      <c r="E10" s="7" t="n">
        <v>5400</v>
      </c>
      <c r="F10" s="12" t="n">
        <f aca="false">D10+'1. Costs'!$B$5</f>
        <v>640</v>
      </c>
      <c r="G10" s="13" t="n">
        <f aca="false">F10/E10</f>
        <v>0.118518518518519</v>
      </c>
      <c r="H10" s="14" t="n">
        <v>0.11</v>
      </c>
      <c r="I10" s="12" t="n">
        <f aca="false">H10*E10-'1. Costs'!$B$5</f>
        <v>474</v>
      </c>
      <c r="J10" s="12" t="n">
        <f aca="false">D10-I10</f>
        <v>46</v>
      </c>
      <c r="K10" s="15" t="n">
        <f aca="false">J10*C10</f>
        <v>21160</v>
      </c>
      <c r="L10" s="15" t="n">
        <f aca="false">MAX(0,K10)</f>
        <v>21160</v>
      </c>
    </row>
    <row r="11" customFormat="false" ht="15" hidden="false" customHeight="false" outlineLevel="0" collapsed="false">
      <c r="A11" s="0" t="s">
        <v>44</v>
      </c>
      <c r="B11" s="0" t="s">
        <v>44</v>
      </c>
      <c r="C11" s="11" t="n">
        <v>320</v>
      </c>
      <c r="D11" s="7" t="n">
        <v>300</v>
      </c>
      <c r="E11" s="7" t="n">
        <v>7600</v>
      </c>
      <c r="F11" s="12" t="n">
        <f aca="false">D11+'1. Costs'!$B$5</f>
        <v>420</v>
      </c>
      <c r="G11" s="13" t="n">
        <f aca="false">F11/E11</f>
        <v>0.0552631578947368</v>
      </c>
      <c r="H11" s="14" t="n">
        <v>0.06</v>
      </c>
      <c r="I11" s="12" t="n">
        <f aca="false">H11*E11-'1. Costs'!$B$5</f>
        <v>336</v>
      </c>
      <c r="J11" s="12" t="n">
        <f aca="false">D11-I11</f>
        <v>-36</v>
      </c>
      <c r="K11" s="15" t="n">
        <f aca="false">J11*C11</f>
        <v>-11520</v>
      </c>
      <c r="L11" s="15" t="n">
        <f aca="false">MAX(0,K11)</f>
        <v>0</v>
      </c>
    </row>
    <row r="12" customFormat="false" ht="15" hidden="false" customHeight="false" outlineLevel="0" collapsed="false">
      <c r="A12" s="0" t="s">
        <v>45</v>
      </c>
      <c r="B12" s="0" t="s">
        <v>45</v>
      </c>
      <c r="C12" s="11" t="n">
        <v>2400</v>
      </c>
      <c r="D12" s="7" t="n">
        <v>245</v>
      </c>
      <c r="E12" s="7" t="n">
        <v>6100</v>
      </c>
      <c r="F12" s="12" t="n">
        <f aca="false">D12+'1. Costs'!$B$5</f>
        <v>365</v>
      </c>
      <c r="G12" s="13" t="n">
        <f aca="false">F12/E12</f>
        <v>0.0598360655737705</v>
      </c>
      <c r="H12" s="14" t="n">
        <v>0.06</v>
      </c>
      <c r="I12" s="12" t="n">
        <f aca="false">H12*E12-'1. Costs'!$B$5</f>
        <v>246</v>
      </c>
      <c r="J12" s="12" t="n">
        <f aca="false">D12-I12</f>
        <v>-1</v>
      </c>
      <c r="K12" s="15" t="n">
        <f aca="false">J12*C12</f>
        <v>-2400</v>
      </c>
      <c r="L12" s="15" t="n">
        <f aca="false">MAX(0,K12)</f>
        <v>0</v>
      </c>
    </row>
    <row r="13" customFormat="false" ht="15" hidden="false" customHeight="false" outlineLevel="0" collapsed="false">
      <c r="A13" s="0" t="s">
        <v>46</v>
      </c>
      <c r="B13" s="0" t="s">
        <v>46</v>
      </c>
      <c r="C13" s="11" t="n">
        <v>120</v>
      </c>
      <c r="D13" s="7" t="n">
        <v>700</v>
      </c>
      <c r="E13" s="7" t="n">
        <v>9800</v>
      </c>
      <c r="F13" s="12" t="n">
        <f aca="false">D13+'1. Costs'!$B$5</f>
        <v>820</v>
      </c>
      <c r="G13" s="13" t="n">
        <f aca="false">F13/E13</f>
        <v>0.0836734693877551</v>
      </c>
      <c r="H13" s="14" t="n">
        <v>0.09</v>
      </c>
      <c r="I13" s="12" t="n">
        <f aca="false">H13*E13-'1. Costs'!$B$5</f>
        <v>762</v>
      </c>
      <c r="J13" s="12" t="n">
        <f aca="false">D13-I13</f>
        <v>-62</v>
      </c>
      <c r="K13" s="15" t="n">
        <f aca="false">J13*C13</f>
        <v>-7440</v>
      </c>
      <c r="L13" s="15" t="n">
        <f aca="false">MAX(0,K13)</f>
        <v>0</v>
      </c>
    </row>
    <row r="14" customFormat="false" ht="15" hidden="false" customHeight="false" outlineLevel="0" collapsed="false">
      <c r="A14" s="0" t="s">
        <v>47</v>
      </c>
      <c r="B14" s="0" t="s">
        <v>48</v>
      </c>
      <c r="C14" s="11" t="n">
        <v>380</v>
      </c>
      <c r="D14" s="7" t="n">
        <v>560</v>
      </c>
      <c r="E14" s="7" t="n">
        <v>4900</v>
      </c>
      <c r="F14" s="12" t="n">
        <f aca="false">D14+'1. Costs'!$B$5</f>
        <v>680</v>
      </c>
      <c r="G14" s="13" t="n">
        <f aca="false">F14/E14</f>
        <v>0.138775510204082</v>
      </c>
      <c r="H14" s="14" t="n">
        <v>0.12</v>
      </c>
      <c r="I14" s="12" t="n">
        <f aca="false">H14*E14-'1. Costs'!$B$5</f>
        <v>468</v>
      </c>
      <c r="J14" s="12" t="n">
        <f aca="false">D14-I14</f>
        <v>92</v>
      </c>
      <c r="K14" s="15" t="n">
        <f aca="false">J14*C14</f>
        <v>34960</v>
      </c>
      <c r="L14" s="15" t="n">
        <f aca="false">MAX(0,K14)</f>
        <v>34960</v>
      </c>
    </row>
    <row r="15" customFormat="false" ht="15" hidden="false" customHeight="false" outlineLevel="0" collapsed="false">
      <c r="A15" s="0" t="s">
        <v>49</v>
      </c>
      <c r="B15" s="0" t="s">
        <v>48</v>
      </c>
      <c r="C15" s="11" t="n">
        <v>1450</v>
      </c>
      <c r="D15" s="7" t="n">
        <v>330</v>
      </c>
      <c r="E15" s="7" t="n">
        <v>3650</v>
      </c>
      <c r="F15" s="12" t="n">
        <f aca="false">D15+'1. Costs'!$B$5</f>
        <v>450</v>
      </c>
      <c r="G15" s="13" t="n">
        <f aca="false">F15/E15</f>
        <v>0.123287671232877</v>
      </c>
      <c r="H15" s="14" t="n">
        <v>0.12</v>
      </c>
      <c r="I15" s="12" t="n">
        <f aca="false">H15*E15-'1. Costs'!$B$5</f>
        <v>318</v>
      </c>
      <c r="J15" s="12" t="n">
        <f aca="false">D15-I15</f>
        <v>12</v>
      </c>
      <c r="K15" s="15" t="n">
        <f aca="false">J15*C15</f>
        <v>17400</v>
      </c>
      <c r="L15" s="15" t="n">
        <f aca="false">MAX(0,K15)</f>
        <v>17400</v>
      </c>
    </row>
    <row r="16" customFormat="false" ht="15" hidden="false" customHeight="false" outlineLevel="0" collapsed="false">
      <c r="A16" s="0" t="s">
        <v>50</v>
      </c>
      <c r="B16" s="0" t="s">
        <v>51</v>
      </c>
      <c r="C16" s="11" t="n">
        <v>3900</v>
      </c>
      <c r="D16" s="7" t="n">
        <v>145</v>
      </c>
      <c r="E16" s="7" t="n">
        <v>2450</v>
      </c>
      <c r="F16" s="12" t="n">
        <f aca="false">D16+'1. Costs'!$B$5</f>
        <v>265</v>
      </c>
      <c r="G16" s="13" t="n">
        <f aca="false">F16/E16</f>
        <v>0.108163265306122</v>
      </c>
      <c r="H16" s="14" t="n">
        <v>0.07</v>
      </c>
      <c r="I16" s="12" t="n">
        <f aca="false">H16*E16-'1. Costs'!$B$5</f>
        <v>51.5</v>
      </c>
      <c r="J16" s="12" t="n">
        <f aca="false">D16-I16</f>
        <v>93.5</v>
      </c>
      <c r="K16" s="15" t="n">
        <f aca="false">J16*C16</f>
        <v>364650</v>
      </c>
      <c r="L16" s="15" t="n">
        <f aca="false">MAX(0,K16)</f>
        <v>364650</v>
      </c>
    </row>
    <row r="17" customFormat="false" ht="15" hidden="false" customHeight="false" outlineLevel="0" collapsed="false">
      <c r="A17" s="0" t="s">
        <v>52</v>
      </c>
      <c r="B17" s="0" t="s">
        <v>53</v>
      </c>
      <c r="C17" s="11" t="n">
        <v>1250</v>
      </c>
      <c r="D17" s="7" t="n">
        <v>175</v>
      </c>
      <c r="E17" s="7" t="n">
        <v>2900</v>
      </c>
      <c r="F17" s="12" t="n">
        <f aca="false">D17+'1. Costs'!$B$5</f>
        <v>295</v>
      </c>
      <c r="G17" s="13" t="n">
        <f aca="false">F17/E17</f>
        <v>0.101724137931034</v>
      </c>
      <c r="H17" s="14" t="n">
        <v>0.09</v>
      </c>
      <c r="I17" s="12" t="n">
        <f aca="false">H17*E17-'1. Costs'!$B$5</f>
        <v>141</v>
      </c>
      <c r="J17" s="12" t="n">
        <f aca="false">D17-I17</f>
        <v>34</v>
      </c>
      <c r="K17" s="15" t="n">
        <f aca="false">J17*C17</f>
        <v>42500</v>
      </c>
      <c r="L17" s="15" t="n">
        <f aca="false">MAX(0,K17)</f>
        <v>42500</v>
      </c>
    </row>
    <row r="18" customFormat="false" ht="15" hidden="false" customHeight="false" outlineLevel="0" collapsed="false">
      <c r="A18" s="0" t="s">
        <v>54</v>
      </c>
      <c r="B18" s="0" t="s">
        <v>53</v>
      </c>
      <c r="C18" s="11" t="n">
        <v>900</v>
      </c>
      <c r="D18" s="7" t="n">
        <v>130</v>
      </c>
      <c r="E18" s="7" t="n">
        <v>2550</v>
      </c>
      <c r="F18" s="12" t="n">
        <f aca="false">D18+'1. Costs'!$B$5</f>
        <v>250</v>
      </c>
      <c r="G18" s="13" t="n">
        <f aca="false">F18/E18</f>
        <v>0.0980392156862745</v>
      </c>
      <c r="H18" s="14" t="n">
        <v>0.09</v>
      </c>
      <c r="I18" s="12" t="n">
        <f aca="false">H18*E18-'1. Costs'!$B$5</f>
        <v>109.5</v>
      </c>
      <c r="J18" s="12" t="n">
        <f aca="false">D18-I18</f>
        <v>20.5</v>
      </c>
      <c r="K18" s="15" t="n">
        <f aca="false">J18*C18</f>
        <v>18450</v>
      </c>
      <c r="L18" s="15" t="n">
        <f aca="false">MAX(0,K18)</f>
        <v>18450</v>
      </c>
    </row>
    <row r="19" customFormat="false" ht="15" hidden="false" customHeight="false" outlineLevel="0" collapsed="false">
      <c r="A19" s="0" t="s">
        <v>55</v>
      </c>
      <c r="B19" s="0" t="s">
        <v>56</v>
      </c>
      <c r="C19" s="11" t="n">
        <v>1180</v>
      </c>
      <c r="D19" s="7" t="n">
        <v>400</v>
      </c>
      <c r="E19" s="7" t="n">
        <v>4300</v>
      </c>
      <c r="F19" s="12" t="n">
        <f aca="false">D19+'1. Costs'!$B$5</f>
        <v>520</v>
      </c>
      <c r="G19" s="13" t="n">
        <f aca="false">F19/E19</f>
        <v>0.12093023255814</v>
      </c>
      <c r="H19" s="14" t="n">
        <v>0.1</v>
      </c>
      <c r="I19" s="12" t="n">
        <f aca="false">H19*E19-'1. Costs'!$B$5</f>
        <v>310</v>
      </c>
      <c r="J19" s="12" t="n">
        <f aca="false">D19-I19</f>
        <v>90</v>
      </c>
      <c r="K19" s="15" t="n">
        <f aca="false">J19*C19</f>
        <v>106200</v>
      </c>
      <c r="L19" s="15" t="n">
        <f aca="false">MAX(0,K19)</f>
        <v>106200</v>
      </c>
    </row>
    <row r="21" customFormat="false" ht="15" hidden="false" customHeight="false" outlineLevel="0" collapsed="false">
      <c r="A21" s="16" t="s">
        <v>57</v>
      </c>
      <c r="C21" s="17" t="n">
        <f aca="false">SUMPRODUCT(C4:C19,D4:D19)</f>
        <v>5602450</v>
      </c>
    </row>
    <row r="22" customFormat="false" ht="15" hidden="false" customHeight="false" outlineLevel="0" collapsed="false">
      <c r="A22" s="16" t="s">
        <v>33</v>
      </c>
      <c r="C22" s="17" t="n">
        <f aca="false">SUM(L4:L19)</f>
        <v>904826</v>
      </c>
    </row>
    <row r="23" customFormat="false" ht="15" hidden="false" customHeight="false" outlineLevel="0" collapsed="false">
      <c r="A23" s="16" t="s">
        <v>58</v>
      </c>
      <c r="C23" s="17" t="n">
        <f aca="false">-SUMIF(K4:K19,"&lt;0")</f>
        <v>102240</v>
      </c>
    </row>
    <row r="24" customFormat="false" ht="15" hidden="false" customHeight="false" outlineLevel="0" collapsed="false">
      <c r="A24" s="16" t="s">
        <v>59</v>
      </c>
      <c r="C24" s="18" t="n">
        <f aca="false">C22/C21</f>
        <v>0.161505412810467</v>
      </c>
    </row>
    <row r="25" customFormat="false" ht="15" hidden="false" customHeight="false" outlineLevel="0" collapsed="false">
      <c r="A25" s="16" t="s">
        <v>60</v>
      </c>
      <c r="C25" s="19" t="n">
        <f aca="false">COUNTIF(K4:K19,"&gt;0")</f>
        <v>10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6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3" min="2" style="0" width="13"/>
    <col collapsed="false" customWidth="true" hidden="false" outlineLevel="0" max="4" min="4" style="0" width="12"/>
    <col collapsed="false" customWidth="true" hidden="false" outlineLevel="0" max="5" min="5" style="0" width="13"/>
    <col collapsed="false" customWidth="true" hidden="false" outlineLevel="0" max="7" min="6" style="0" width="14"/>
    <col collapsed="false" customWidth="true" hidden="false" outlineLevel="0" max="8" min="8" style="0" width="10"/>
    <col collapsed="false" customWidth="true" hidden="false" outlineLevel="0" max="9" min="9" style="0" width="14"/>
    <col collapsed="false" customWidth="true" hidden="false" outlineLevel="0" max="10" min="10" style="0" width="13"/>
    <col collapsed="false" customWidth="true" hidden="false" outlineLevel="0" max="13" min="11" style="0" width="14"/>
    <col collapsed="false" customWidth="true" hidden="false" outlineLevel="0" max="15" min="14" style="0" width="13"/>
  </cols>
  <sheetData>
    <row r="1" customFormat="false" ht="16.15" hidden="false" customHeight="false" outlineLevel="0" collapsed="false">
      <c r="A1" s="6" t="s">
        <v>61</v>
      </c>
    </row>
    <row r="2" customFormat="false" ht="15" hidden="false" customHeight="false" outlineLevel="0" collapsed="false">
      <c r="A2" s="20" t="s">
        <v>62</v>
      </c>
    </row>
    <row r="3" customFormat="false" ht="15" hidden="false" customHeight="false" outlineLevel="0" collapsed="false">
      <c r="D3" s="16" t="s">
        <v>63</v>
      </c>
    </row>
    <row r="4" customFormat="false" ht="15" hidden="false" customHeight="false" outlineLevel="0" collapsed="false">
      <c r="A4" s="0" t="s">
        <v>64</v>
      </c>
      <c r="B4" s="21" t="n">
        <v>0.01</v>
      </c>
      <c r="D4" s="22" t="s">
        <v>65</v>
      </c>
      <c r="G4" s="23" t="n">
        <v>0</v>
      </c>
    </row>
    <row r="5" customFormat="false" ht="15" hidden="false" customHeight="false" outlineLevel="0" collapsed="false">
      <c r="A5" s="0" t="s">
        <v>66</v>
      </c>
      <c r="B5" s="21" t="n">
        <v>-0.1</v>
      </c>
      <c r="D5" s="22" t="s">
        <v>67</v>
      </c>
      <c r="G5" s="23" t="n">
        <v>0.25</v>
      </c>
    </row>
    <row r="6" customFormat="false" ht="15" hidden="false" customHeight="false" outlineLevel="0" collapsed="false">
      <c r="A6" s="0" t="s">
        <v>68</v>
      </c>
      <c r="B6" s="24" t="n">
        <v>0.443009270732887</v>
      </c>
      <c r="D6" s="22" t="s">
        <v>69</v>
      </c>
      <c r="G6" s="23" t="n">
        <v>0.6</v>
      </c>
    </row>
    <row r="7" customFormat="false" ht="15" hidden="false" customHeight="false" outlineLevel="0" collapsed="false">
      <c r="A7" s="0" t="s">
        <v>70</v>
      </c>
      <c r="B7" s="23" t="n">
        <v>0.35</v>
      </c>
      <c r="D7" s="22" t="s">
        <v>71</v>
      </c>
      <c r="G7" s="23" t="n">
        <v>0.9</v>
      </c>
    </row>
    <row r="8" customFormat="false" ht="15" hidden="false" customHeight="false" outlineLevel="0" collapsed="false">
      <c r="A8" s="0" t="s">
        <v>72</v>
      </c>
      <c r="B8" s="23" t="n">
        <v>0.4</v>
      </c>
      <c r="D8" s="20" t="s">
        <v>73</v>
      </c>
    </row>
    <row r="9" customFormat="false" ht="15" hidden="false" customHeight="false" outlineLevel="0" collapsed="false">
      <c r="A9" s="0" t="s">
        <v>74</v>
      </c>
      <c r="B9" s="25" t="n">
        <v>0.18</v>
      </c>
    </row>
    <row r="10" customFormat="false" ht="15" hidden="false" customHeight="false" outlineLevel="0" collapsed="false">
      <c r="A10" s="0" t="s">
        <v>75</v>
      </c>
      <c r="B10" s="24" t="n">
        <v>0.0725</v>
      </c>
    </row>
    <row r="11" customFormat="false" ht="15" hidden="false" customHeight="false" outlineLevel="0" collapsed="false">
      <c r="A11" s="0" t="s">
        <v>76</v>
      </c>
      <c r="B11" s="24" t="n">
        <v>0.0825</v>
      </c>
    </row>
    <row r="12" customFormat="false" ht="15" hidden="false" customHeight="false" outlineLevel="0" collapsed="false">
      <c r="A12" s="0" t="s">
        <v>77</v>
      </c>
      <c r="B12" s="23" t="n">
        <v>0.05</v>
      </c>
    </row>
    <row r="14" customFormat="false" ht="43.5" hidden="false" customHeight="true" outlineLevel="0" collapsed="false">
      <c r="A14" s="26" t="s">
        <v>22</v>
      </c>
      <c r="B14" s="26" t="s">
        <v>78</v>
      </c>
      <c r="C14" s="26" t="s">
        <v>79</v>
      </c>
      <c r="D14" s="26" t="s">
        <v>80</v>
      </c>
      <c r="E14" s="26" t="s">
        <v>81</v>
      </c>
      <c r="F14" s="26" t="s">
        <v>82</v>
      </c>
      <c r="G14" s="26" t="s">
        <v>83</v>
      </c>
      <c r="H14" s="26" t="s">
        <v>84</v>
      </c>
      <c r="I14" s="26" t="s">
        <v>85</v>
      </c>
      <c r="J14" s="26" t="s">
        <v>86</v>
      </c>
      <c r="K14" s="26" t="s">
        <v>87</v>
      </c>
      <c r="L14" s="26" t="s">
        <v>88</v>
      </c>
      <c r="M14" s="26" t="s">
        <v>89</v>
      </c>
      <c r="N14" s="26" t="s">
        <v>90</v>
      </c>
      <c r="O14" s="26" t="s">
        <v>91</v>
      </c>
    </row>
    <row r="15" customFormat="false" ht="15" hidden="false" customHeight="false" outlineLevel="0" collapsed="false">
      <c r="A15" s="0" t="str">
        <f aca="false">'2. The tape'!A4</f>
        <v>Grocery anchor</v>
      </c>
      <c r="B15" s="27" t="n">
        <v>44</v>
      </c>
      <c r="C15" s="28" t="n">
        <f aca="false">'2. The tape'!G4/'2. The tape'!H4-1</f>
        <v>-0.0329670329670331</v>
      </c>
      <c r="D15" s="29" t="n">
        <f aca="false">IF(C15&lt;=0,$G$4,IF(C15&lt;0.2,$G$5,IF(C15&lt;0.5,$G$6,$G$7)))</f>
        <v>0</v>
      </c>
      <c r="E15" s="30" t="n">
        <f aca="false">MAX(0,'2. The tape'!K4)*D15</f>
        <v>0</v>
      </c>
      <c r="F15" s="30" t="n">
        <f aca="false">MAX(0,'2. The tape'!C4*('2. The tape'!D4-(('2. The tape'!H4+$B$4)*'2. The tape'!E4-'1. Costs'!$B$5)))</f>
        <v>0</v>
      </c>
      <c r="G15" s="30" t="n">
        <f aca="false">MAX(0,'2. The tape'!C4*('2. The tape'!D4-('2. The tape'!H4*'2. The tape'!E4*(1+$B$5)-'1. Costs'!$B$5)))</f>
        <v>98819.9999999998</v>
      </c>
      <c r="H15" s="31" t="n">
        <f aca="false">IF('2. The tape'!D4&gt;'2. The tape'!H4*'2. The tape'!E4*(1+$B$5)-'1. Costs'!$B$5,1,0)</f>
        <v>1</v>
      </c>
      <c r="I15" s="30" t="n">
        <f aca="false">MAX(0,'2. The tape'!C4*('2. The tape'!D4-('2. The tape'!H4*'2. The tape'!E4*(1+$B$6)-'1. Costs'!$B$5)))</f>
        <v>0</v>
      </c>
      <c r="J15" s="22" t="s">
        <v>92</v>
      </c>
      <c r="K15" s="15" t="n">
        <v>0</v>
      </c>
      <c r="L15" s="30" t="n">
        <f aca="false">MAX(0,'2. The tape'!K4)*(1-$B$12)/$B$10/(1+$B$10)^(B15/4)</f>
        <v>0</v>
      </c>
      <c r="M15" s="30" t="n">
        <f aca="false">MAX(0,'2. The tape'!K4)*(1-$B$12)/$B$11/(1+$B$11)^(B15/4)</f>
        <v>0</v>
      </c>
      <c r="N15" s="32" t="n">
        <f aca="false">'2. The tape'!D4-('2. The tape'!H4*'2. The tape'!E4*(1+$B$6)-'1. Costs'!$B$5)</f>
        <v>-97.4561481825587</v>
      </c>
      <c r="O15" s="28" t="n">
        <f aca="false">('2. The tape'!D4+'1. Costs'!$B$5)/('2. The tape'!H4*'2. The tape'!E4)-1</f>
        <v>-0.0329670329670331</v>
      </c>
    </row>
    <row r="16" customFormat="false" ht="15" hidden="false" customHeight="false" outlineLevel="0" collapsed="false">
      <c r="A16" s="0" t="str">
        <f aca="false">'2. The tape'!A5</f>
        <v>Fashion multiple A</v>
      </c>
      <c r="B16" s="27" t="n">
        <v>14</v>
      </c>
      <c r="C16" s="28" t="n">
        <f aca="false">'2. The tape'!G5/'2. The tape'!H5-1</f>
        <v>0.113801452784504</v>
      </c>
      <c r="D16" s="29" t="n">
        <f aca="false">IF(C16&lt;=0,$G$4,IF(C16&lt;0.2,$G$5,IF(C16&lt;0.5,$G$6,$G$7)))</f>
        <v>0.25</v>
      </c>
      <c r="E16" s="30" t="n">
        <f aca="false">MAX(0,'2. The tape'!K5)*D16</f>
        <v>21737.5</v>
      </c>
      <c r="F16" s="30" t="n">
        <f aca="false">MAX(0,'2. The tape'!C5*('2. The tape'!D5-(('2. The tape'!H5+$B$4)*'2. The tape'!E5-'1. Costs'!$B$5)))</f>
        <v>32374.9999999999</v>
      </c>
      <c r="G16" s="30" t="n">
        <f aca="false">MAX(0,'2. The tape'!C5*('2. The tape'!D5-('2. The tape'!H5*'2. The tape'!E5*(1+$B$5)-'1. Costs'!$B$5)))</f>
        <v>163355</v>
      </c>
      <c r="H16" s="31" t="n">
        <f aca="false">IF('2. The tape'!D5&gt;'2. The tape'!H5*'2. The tape'!E5*(1+$B$5)-'1. Costs'!$B$5,1,0)</f>
        <v>1</v>
      </c>
      <c r="I16" s="30" t="n">
        <f aca="false">MAX(0,'2. The tape'!C5*('2. The tape'!D5-('2. The tape'!H5*'2. The tape'!E5*(1+$B$6)-'1. Costs'!$B$5)))</f>
        <v>0</v>
      </c>
      <c r="J16" s="32" t="n">
        <f aca="false">'2. The tape'!H5*'2. The tape'!E5*(1-$B$9)-'1. Costs'!$B$5</f>
        <v>218.66</v>
      </c>
      <c r="K16" s="30" t="n">
        <f aca="false">MAX(0,'2. The tape'!C5*('2. The tape'!D5-J16))*(1-$B$7)</f>
        <v>145911.35</v>
      </c>
      <c r="L16" s="30" t="n">
        <f aca="false">MAX(0,'2. The tape'!K5)*(1-$B$12)/$B$10/(1+$B$10)^(B16/4)</f>
        <v>891794.176538928</v>
      </c>
      <c r="M16" s="30" t="n">
        <f aca="false">MAX(0,'2. The tape'!K5)*(1-$B$12)/$B$11/(1+$B$11)^(B16/4)</f>
        <v>758650.197971423</v>
      </c>
      <c r="N16" s="32" t="n">
        <f aca="false">'2. The tape'!D5-('2. The tape'!H5*'2. The tape'!E5*(1+$B$6)-'1. Costs'!$B$5)</f>
        <v>-135.962828812682</v>
      </c>
      <c r="O16" s="28" t="n">
        <f aca="false">('2. The tape'!D5+'1. Costs'!$B$5)/('2. The tape'!H5*'2. The tape'!E5)-1</f>
        <v>0.113801452784503</v>
      </c>
    </row>
    <row r="17" customFormat="false" ht="15" hidden="false" customHeight="false" outlineLevel="0" collapsed="false">
      <c r="A17" s="0" t="str">
        <f aca="false">'2. The tape'!A6</f>
        <v>Fashion multiple B</v>
      </c>
      <c r="B17" s="27" t="n">
        <v>6</v>
      </c>
      <c r="C17" s="28" t="n">
        <f aca="false">'2. The tape'!G6/'2. The tape'!H6-1</f>
        <v>0.425570228091236</v>
      </c>
      <c r="D17" s="29" t="n">
        <f aca="false">IF(C17&lt;=0,$G$4,IF(C17&lt;0.2,$G$5,IF(C17&lt;0.5,$G$6,$G$7)))</f>
        <v>0.6</v>
      </c>
      <c r="E17" s="30" t="n">
        <f aca="false">MAX(0,'2. The tape'!K6)*D17</f>
        <v>120813.6</v>
      </c>
      <c r="F17" s="30" t="n">
        <f aca="false">MAX(0,'2. The tape'!C6*('2. The tape'!D6-(('2. The tape'!H6+$B$4)*'2. The tape'!E6-'1. Costs'!$B$5)))</f>
        <v>167560</v>
      </c>
      <c r="G17" s="30" t="n">
        <f aca="false">MAX(0,'2. The tape'!C6*('2. The tape'!D6-('2. The tape'!H6*'2. The tape'!E6*(1+$B$5)-'1. Costs'!$B$5)))</f>
        <v>248670.4</v>
      </c>
      <c r="H17" s="31" t="n">
        <f aca="false">IF('2. The tape'!D6&gt;'2. The tape'!H6*'2. The tape'!E6*(1+$B$5)-'1. Costs'!$B$5,1,0)</f>
        <v>1</v>
      </c>
      <c r="I17" s="30" t="n">
        <f aca="false">MAX(0,'2. The tape'!C6*('2. The tape'!D6-('2. The tape'!H6*'2. The tape'!E6*(1+$B$6)-'1. Costs'!$B$5)))</f>
        <v>0</v>
      </c>
      <c r="J17" s="32" t="n">
        <f aca="false">'2. The tape'!H6*'2. The tape'!E6*(1-$B$9)-'1. Costs'!$B$5</f>
        <v>153.224</v>
      </c>
      <c r="K17" s="30" t="n">
        <f aca="false">MAX(0,'2. The tape'!C6*('2. The tape'!D6-J17))*(1-$B$7)</f>
        <v>186239.248</v>
      </c>
      <c r="L17" s="30" t="n">
        <f aca="false">MAX(0,'2. The tape'!K6)*(1-$B$12)/$B$10/(1+$B$10)^(B17/4)</f>
        <v>2375495.55802849</v>
      </c>
      <c r="M17" s="30" t="n">
        <f aca="false">MAX(0,'2. The tape'!K6)*(1-$B$12)/$B$11/(1+$B$11)^(B17/4)</f>
        <v>2058696.72874502</v>
      </c>
      <c r="N17" s="32" t="n">
        <f aca="false">'2. The tape'!D6-('2. The tape'!H6*'2. The tape'!E6*(1+$B$6)-'1. Costs'!$B$5)</f>
        <v>-5.8106890081981</v>
      </c>
      <c r="O17" s="28" t="n">
        <f aca="false">('2. The tape'!D6+'1. Costs'!$B$5)/('2. The tape'!H6*'2. The tape'!E6)-1</f>
        <v>0.425570228091236</v>
      </c>
    </row>
    <row r="18" customFormat="false" ht="15" hidden="false" customHeight="false" outlineLevel="0" collapsed="false">
      <c r="A18" s="0" t="str">
        <f aca="false">'2. The tape'!A7</f>
        <v>Fashion independent</v>
      </c>
      <c r="B18" s="27" t="n">
        <v>10</v>
      </c>
      <c r="C18" s="28" t="n">
        <f aca="false">'2. The tape'!G7/'2. The tape'!H7-1</f>
        <v>-0.032258064516129</v>
      </c>
      <c r="D18" s="29" t="n">
        <f aca="false">IF(C18&lt;=0,$G$4,IF(C18&lt;0.2,$G$5,IF(C18&lt;0.5,$G$6,$G$7)))</f>
        <v>0</v>
      </c>
      <c r="E18" s="30" t="n">
        <f aca="false">MAX(0,'2. The tape'!K7)*D18</f>
        <v>0</v>
      </c>
      <c r="F18" s="30" t="n">
        <f aca="false">MAX(0,'2. The tape'!C7*('2. The tape'!D7-(('2. The tape'!H7+$B$4)*'2. The tape'!E7-'1. Costs'!$B$5)))</f>
        <v>0</v>
      </c>
      <c r="G18" s="30" t="n">
        <f aca="false">MAX(0,'2. The tape'!C7*('2. The tape'!D7-('2. The tape'!H7*'2. The tape'!E7*(1+$B$5)-'1. Costs'!$B$5)))</f>
        <v>18816</v>
      </c>
      <c r="H18" s="31" t="n">
        <f aca="false">IF('2. The tape'!D7&gt;'2. The tape'!H7*'2. The tape'!E7*(1+$B$5)-'1. Costs'!$B$5,1,0)</f>
        <v>1</v>
      </c>
      <c r="I18" s="30" t="n">
        <f aca="false">MAX(0,'2. The tape'!C7*('2. The tape'!D7-('2. The tape'!H7*'2. The tape'!E7*(1+$B$6)-'1. Costs'!$B$5)))</f>
        <v>0</v>
      </c>
      <c r="J18" s="32" t="n">
        <f aca="false">'2. The tape'!H7*'2. The tape'!E7*(1-$B$9)-'1. Costs'!$B$5</f>
        <v>235.88</v>
      </c>
      <c r="K18" s="30" t="n">
        <f aca="false">MAX(0,'2. The tape'!C7*('2. The tape'!D7-J18))*(1-$B$7)</f>
        <v>26673.92</v>
      </c>
      <c r="L18" s="30" t="n">
        <f aca="false">MAX(0,'2. The tape'!K7)*(1-$B$12)/$B$10/(1+$B$10)^(B18/4)</f>
        <v>0</v>
      </c>
      <c r="M18" s="30" t="n">
        <f aca="false">MAX(0,'2. The tape'!K7)*(1-$B$12)/$B$11/(1+$B$11)^(B18/4)</f>
        <v>0</v>
      </c>
      <c r="N18" s="32" t="n">
        <f aca="false">'2. The tape'!D7-('2. The tape'!H7*'2. The tape'!E7*(1+$B$6)-'1. Costs'!$B$5)</f>
        <v>-206.266023498073</v>
      </c>
      <c r="O18" s="28" t="n">
        <f aca="false">('2. The tape'!D7+'1. Costs'!$B$5)/('2. The tape'!H7*'2. The tape'!E7)-1</f>
        <v>-0.0322580645161291</v>
      </c>
    </row>
    <row r="19" customFormat="false" ht="15" hidden="false" customHeight="false" outlineLevel="0" collapsed="false">
      <c r="A19" s="0" t="str">
        <f aca="false">'2. The tape'!A8</f>
        <v>Sports</v>
      </c>
      <c r="B19" s="27" t="n">
        <v>24</v>
      </c>
      <c r="C19" s="28" t="n">
        <f aca="false">'2. The tape'!G8/'2. The tape'!H8-1</f>
        <v>0.0185185185185186</v>
      </c>
      <c r="D19" s="29" t="n">
        <f aca="false">IF(C19&lt;=0,$G$4,IF(C19&lt;0.2,$G$5,IF(C19&lt;0.5,$G$6,$G$7)))</f>
        <v>0.25</v>
      </c>
      <c r="E19" s="30" t="n">
        <f aca="false">MAX(0,'2. The tape'!K8)*D19</f>
        <v>2799.99999999998</v>
      </c>
      <c r="F19" s="30" t="n">
        <f aca="false">MAX(0,'2. The tape'!C8*('2. The tape'!D8-(('2. The tape'!H8+$B$4)*'2. The tape'!E8-'1. Costs'!$B$5)))</f>
        <v>0</v>
      </c>
      <c r="G19" s="30" t="n">
        <f aca="false">MAX(0,'2. The tape'!C8*('2. The tape'!D8-('2. The tape'!H8*'2. The tape'!E8*(1+$B$5)-'1. Costs'!$B$5)))</f>
        <v>71679.9999999999</v>
      </c>
      <c r="H19" s="31" t="n">
        <f aca="false">IF('2. The tape'!D8&gt;'2. The tape'!H8*'2. The tape'!E8*(1+$B$5)-'1. Costs'!$B$5,1,0)</f>
        <v>1</v>
      </c>
      <c r="I19" s="30" t="n">
        <f aca="false">MAX(0,'2. The tape'!C8*('2. The tape'!D8-('2. The tape'!H8*'2. The tape'!E8*(1+$B$6)-'1. Costs'!$B$5)))</f>
        <v>0</v>
      </c>
      <c r="J19" s="32" t="n">
        <f aca="false">'2. The tape'!H8*'2. The tape'!E8*(1-$B$9)-'1. Costs'!$B$5</f>
        <v>189.96</v>
      </c>
      <c r="K19" s="30" t="n">
        <f aca="false">MAX(0,'2. The tape'!C8*('2. The tape'!D8-J19))*(1-$B$7)</f>
        <v>78041.5999999999</v>
      </c>
      <c r="L19" s="30" t="n">
        <f aca="false">MAX(0,'2. The tape'!K8)*(1-$B$12)/$B$10/(1+$B$10)^(B19/4)</f>
        <v>96431.6984936826</v>
      </c>
      <c r="M19" s="30" t="n">
        <f aca="false">MAX(0,'2. The tape'!K8)*(1-$B$12)/$B$11/(1+$B$11)^(B19/4)</f>
        <v>80153.0862457782</v>
      </c>
      <c r="N19" s="32" t="n">
        <f aca="false">'2. The tape'!D8-('2. The tape'!H8*'2. The tape'!E8*(1+$B$6)-'1. Costs'!$B$5)</f>
        <v>-160.457504337031</v>
      </c>
      <c r="O19" s="28" t="n">
        <f aca="false">('2. The tape'!D8+'1. Costs'!$B$5)/('2. The tape'!H8*'2. The tape'!E8)-1</f>
        <v>0.0185185185185184</v>
      </c>
    </row>
    <row r="20" customFormat="false" ht="15" hidden="false" customHeight="false" outlineLevel="0" collapsed="false">
      <c r="A20" s="0" t="str">
        <f aca="false">'2. The tape'!A9</f>
        <v>Footwear</v>
      </c>
      <c r="B20" s="27" t="n">
        <v>18</v>
      </c>
      <c r="C20" s="28" t="n">
        <f aca="false">'2. The tape'!G9/'2. The tape'!H9-1</f>
        <v>-0.0668348045397226</v>
      </c>
      <c r="D20" s="29" t="n">
        <f aca="false">IF(C20&lt;=0,$G$4,IF(C20&lt;0.2,$G$5,IF(C20&lt;0.5,$G$6,$G$7)))</f>
        <v>0</v>
      </c>
      <c r="E20" s="30" t="n">
        <f aca="false">MAX(0,'2. The tape'!K9)*D20</f>
        <v>0</v>
      </c>
      <c r="F20" s="30" t="n">
        <f aca="false">MAX(0,'2. The tape'!C9*('2. The tape'!D9-(('2. The tape'!H9+$B$4)*'2. The tape'!E9-'1. Costs'!$B$5)))</f>
        <v>0</v>
      </c>
      <c r="G20" s="30" t="n">
        <f aca="false">MAX(0,'2. The tape'!C9*('2. The tape'!D9-('2. The tape'!H9*'2. The tape'!E9*(1+$B$5)-'1. Costs'!$B$5)))</f>
        <v>11572</v>
      </c>
      <c r="H20" s="31" t="n">
        <f aca="false">IF('2. The tape'!D9&gt;'2. The tape'!H9*'2. The tape'!E9*(1+$B$5)-'1. Costs'!$B$5,1,0)</f>
        <v>1</v>
      </c>
      <c r="I20" s="30" t="n">
        <f aca="false">MAX(0,'2. The tape'!C9*('2. The tape'!D9-('2. The tape'!H9*'2. The tape'!E9*(1+$B$6)-'1. Costs'!$B$5)))</f>
        <v>0</v>
      </c>
      <c r="J20" s="32" t="n">
        <f aca="false">'2. The tape'!H9*'2. The tape'!E9*(1-$B$9)-'1. Costs'!$B$5</f>
        <v>205.13</v>
      </c>
      <c r="K20" s="30" t="n">
        <f aca="false">MAX(0,'2. The tape'!C9*('2. The tape'!D9-J20))*(1-$B$7)</f>
        <v>25665.64</v>
      </c>
      <c r="L20" s="30" t="n">
        <f aca="false">MAX(0,'2. The tape'!K9)*(1-$B$12)/$B$10/(1+$B$10)^(B20/4)</f>
        <v>0</v>
      </c>
      <c r="M20" s="30" t="n">
        <f aca="false">MAX(0,'2. The tape'!K9)*(1-$B$12)/$B$11/(1+$B$11)^(B20/4)</f>
        <v>0</v>
      </c>
      <c r="N20" s="32" t="n">
        <f aca="false">'2. The tape'!D9-('2. The tape'!H9*'2. The tape'!E9*(1+$B$6)-'1. Costs'!$B$5)</f>
        <v>-202.15317584559</v>
      </c>
      <c r="O20" s="28" t="n">
        <f aca="false">('2. The tape'!D9+'1. Costs'!$B$5)/('2. The tape'!H9*'2. The tape'!E9)-1</f>
        <v>-0.0668348045397226</v>
      </c>
    </row>
    <row r="21" customFormat="false" ht="15" hidden="false" customHeight="false" outlineLevel="0" collapsed="false">
      <c r="A21" s="0" t="str">
        <f aca="false">'2. The tape'!A10</f>
        <v>Health and beauty</v>
      </c>
      <c r="B21" s="27" t="n">
        <v>22</v>
      </c>
      <c r="C21" s="28" t="n">
        <f aca="false">'2. The tape'!G10/'2. The tape'!H10-1</f>
        <v>0.0774410774410774</v>
      </c>
      <c r="D21" s="29" t="n">
        <f aca="false">IF(C21&lt;=0,$G$4,IF(C21&lt;0.2,$G$5,IF(C21&lt;0.5,$G$6,$G$7)))</f>
        <v>0.25</v>
      </c>
      <c r="E21" s="30" t="n">
        <f aca="false">MAX(0,'2. The tape'!K10)*D21</f>
        <v>5290</v>
      </c>
      <c r="F21" s="30" t="n">
        <f aca="false">MAX(0,'2. The tape'!C10*('2. The tape'!D10-(('2. The tape'!H10+$B$4)*'2. The tape'!E10-'1. Costs'!$B$5)))</f>
        <v>0</v>
      </c>
      <c r="G21" s="30" t="n">
        <f aca="false">MAX(0,'2. The tape'!C10*('2. The tape'!D10-('2. The tape'!H10*'2. The tape'!E10*(1+$B$5)-'1. Costs'!$B$5)))</f>
        <v>48484</v>
      </c>
      <c r="H21" s="31" t="n">
        <f aca="false">IF('2. The tape'!D10&gt;'2. The tape'!H10*'2. The tape'!E10*(1+$B$5)-'1. Costs'!$B$5,1,0)</f>
        <v>1</v>
      </c>
      <c r="I21" s="30" t="n">
        <f aca="false">MAX(0,'2. The tape'!C10*('2. The tape'!D10-('2. The tape'!H10*'2. The tape'!E10*(1+$B$6)-'1. Costs'!$B$5)))</f>
        <v>0</v>
      </c>
      <c r="J21" s="32" t="n">
        <f aca="false">'2. The tape'!H10*'2. The tape'!E10*(1-$B$9)-'1. Costs'!$B$5</f>
        <v>367.08</v>
      </c>
      <c r="K21" s="30" t="n">
        <f aca="false">MAX(0,'2. The tape'!C10*('2. The tape'!D10-J21))*(1-$B$7)</f>
        <v>45723.08</v>
      </c>
      <c r="L21" s="30" t="n">
        <f aca="false">MAX(0,'2. The tape'!K10)*(1-$B$12)/$B$10/(1+$B$10)^(B21/4)</f>
        <v>188675.759709517</v>
      </c>
      <c r="M21" s="30" t="n">
        <f aca="false">MAX(0,'2. The tape'!K10)*(1-$B$12)/$B$11/(1+$B$11)^(B21/4)</f>
        <v>157554.873903696</v>
      </c>
      <c r="N21" s="32" t="n">
        <f aca="false">'2. The tape'!D10-('2. The tape'!H10*'2. The tape'!E10*(1+$B$6)-'1. Costs'!$B$5)</f>
        <v>-217.147506815335</v>
      </c>
      <c r="O21" s="28" t="n">
        <f aca="false">('2. The tape'!D10+'1. Costs'!$B$5)/('2. The tape'!H10*'2. The tape'!E10)-1</f>
        <v>0.0774410774410774</v>
      </c>
    </row>
    <row r="22" customFormat="false" ht="15" hidden="false" customHeight="false" outlineLevel="0" collapsed="false">
      <c r="A22" s="0" t="str">
        <f aca="false">'2. The tape'!A11</f>
        <v>Pharmacy</v>
      </c>
      <c r="B22" s="27" t="n">
        <v>30</v>
      </c>
      <c r="C22" s="28" t="n">
        <f aca="false">'2. The tape'!G11/'2. The tape'!H11-1</f>
        <v>-0.0789473684210527</v>
      </c>
      <c r="D22" s="29" t="n">
        <f aca="false">IF(C22&lt;=0,$G$4,IF(C22&lt;0.2,$G$5,IF(C22&lt;0.5,$G$6,$G$7)))</f>
        <v>0</v>
      </c>
      <c r="E22" s="30" t="n">
        <f aca="false">MAX(0,'2. The tape'!K11)*D22</f>
        <v>0</v>
      </c>
      <c r="F22" s="30" t="n">
        <f aca="false">MAX(0,'2. The tape'!C11*('2. The tape'!D11-(('2. The tape'!H11+$B$4)*'2. The tape'!E11-'1. Costs'!$B$5)))</f>
        <v>0</v>
      </c>
      <c r="G22" s="30" t="n">
        <f aca="false">MAX(0,'2. The tape'!C11*('2. The tape'!D11-('2. The tape'!H11*'2. The tape'!E11*(1+$B$5)-'1. Costs'!$B$5)))</f>
        <v>3071.99999999999</v>
      </c>
      <c r="H22" s="31" t="n">
        <f aca="false">IF('2. The tape'!D11&gt;'2. The tape'!H11*'2. The tape'!E11*(1+$B$5)-'1. Costs'!$B$5,1,0)</f>
        <v>1</v>
      </c>
      <c r="I22" s="30" t="n">
        <f aca="false">MAX(0,'2. The tape'!C11*('2. The tape'!D11-('2. The tape'!H11*'2. The tape'!E11*(1+$B$6)-'1. Costs'!$B$5)))</f>
        <v>0</v>
      </c>
      <c r="J22" s="32" t="n">
        <f aca="false">'2. The tape'!H11*'2. The tape'!E11*(1-$B$9)-'1. Costs'!$B$5</f>
        <v>253.92</v>
      </c>
      <c r="K22" s="30" t="n">
        <f aca="false">MAX(0,'2. The tape'!C11*('2. The tape'!D11-J22))*(1-$B$7)</f>
        <v>9584.64</v>
      </c>
      <c r="L22" s="30" t="n">
        <f aca="false">MAX(0,'2. The tape'!K11)*(1-$B$12)/$B$10/(1+$B$10)^(B22/4)</f>
        <v>0</v>
      </c>
      <c r="M22" s="30" t="n">
        <f aca="false">MAX(0,'2. The tape'!K11)*(1-$B$12)/$B$11/(1+$B$11)^(B22/4)</f>
        <v>0</v>
      </c>
      <c r="N22" s="32" t="n">
        <f aca="false">'2. The tape'!D11-('2. The tape'!H11*'2. The tape'!E11*(1+$B$6)-'1. Costs'!$B$5)</f>
        <v>-238.012227454197</v>
      </c>
      <c r="O22" s="28" t="n">
        <f aca="false">('2. The tape'!D11+'1. Costs'!$B$5)/('2. The tape'!H11*'2. The tape'!E11)-1</f>
        <v>-0.0789473684210527</v>
      </c>
    </row>
    <row r="23" customFormat="false" ht="15" hidden="false" customHeight="false" outlineLevel="0" collapsed="false">
      <c r="A23" s="0" t="str">
        <f aca="false">'2. The tape'!A12</f>
        <v>Electronics</v>
      </c>
      <c r="B23" s="27" t="n">
        <v>12</v>
      </c>
      <c r="C23" s="28" t="n">
        <f aca="false">'2. The tape'!G12/'2. The tape'!H12-1</f>
        <v>-0.00273224043715847</v>
      </c>
      <c r="D23" s="29" t="n">
        <f aca="false">IF(C23&lt;=0,$G$4,IF(C23&lt;0.2,$G$5,IF(C23&lt;0.5,$G$6,$G$7)))</f>
        <v>0</v>
      </c>
      <c r="E23" s="30" t="n">
        <f aca="false">MAX(0,'2. The tape'!K12)*D23</f>
        <v>0</v>
      </c>
      <c r="F23" s="30" t="n">
        <f aca="false">MAX(0,'2. The tape'!C12*('2. The tape'!D12-(('2. The tape'!H12+$B$4)*'2. The tape'!E12-'1. Costs'!$B$5)))</f>
        <v>0</v>
      </c>
      <c r="G23" s="30" t="n">
        <f aca="false">MAX(0,'2. The tape'!C12*('2. The tape'!D12-('2. The tape'!H12*'2. The tape'!E12*(1+$B$5)-'1. Costs'!$B$5)))</f>
        <v>85439.9999999999</v>
      </c>
      <c r="H23" s="31" t="n">
        <f aca="false">IF('2. The tape'!D12&gt;'2. The tape'!H12*'2. The tape'!E12*(1+$B$5)-'1. Costs'!$B$5,1,0)</f>
        <v>1</v>
      </c>
      <c r="I23" s="30" t="n">
        <f aca="false">MAX(0,'2. The tape'!C12*('2. The tape'!D12-('2. The tape'!H12*'2. The tape'!E12*(1+$B$6)-'1. Costs'!$B$5)))</f>
        <v>0</v>
      </c>
      <c r="J23" s="32" t="n">
        <f aca="false">'2. The tape'!H12*'2. The tape'!E12*(1-$B$9)-'1. Costs'!$B$5</f>
        <v>180.12</v>
      </c>
      <c r="K23" s="30" t="n">
        <f aca="false">MAX(0,'2. The tape'!C12*('2. The tape'!D12-J23))*(1-$B$7)</f>
        <v>101212.8</v>
      </c>
      <c r="L23" s="30" t="n">
        <f aca="false">MAX(0,'2. The tape'!K12)*(1-$B$12)/$B$10/(1+$B$10)^(B23/4)</f>
        <v>0</v>
      </c>
      <c r="M23" s="30" t="n">
        <f aca="false">MAX(0,'2. The tape'!K12)*(1-$B$12)/$B$11/(1+$B$11)^(B23/4)</f>
        <v>0</v>
      </c>
      <c r="N23" s="32" t="n">
        <f aca="false">'2. The tape'!D12-('2. The tape'!H12*'2. The tape'!E12*(1+$B$6)-'1. Costs'!$B$5)</f>
        <v>-163.141393088237</v>
      </c>
      <c r="O23" s="28" t="n">
        <f aca="false">('2. The tape'!D12+'1. Costs'!$B$5)/('2. The tape'!H12*'2. The tape'!E12)-1</f>
        <v>-0.00273224043715847</v>
      </c>
    </row>
    <row r="24" customFormat="false" ht="15" hidden="false" customHeight="false" outlineLevel="0" collapsed="false">
      <c r="A24" s="0" t="str">
        <f aca="false">'2. The tape'!A13</f>
        <v>Jewellery</v>
      </c>
      <c r="B24" s="27" t="n">
        <v>26</v>
      </c>
      <c r="C24" s="28" t="n">
        <f aca="false">'2. The tape'!G13/'2. The tape'!H13-1</f>
        <v>-0.0702947845804988</v>
      </c>
      <c r="D24" s="29" t="n">
        <f aca="false">IF(C24&lt;=0,$G$4,IF(C24&lt;0.2,$G$5,IF(C24&lt;0.5,$G$6,$G$7)))</f>
        <v>0</v>
      </c>
      <c r="E24" s="30" t="n">
        <f aca="false">MAX(0,'2. The tape'!K13)*D24</f>
        <v>0</v>
      </c>
      <c r="F24" s="30" t="n">
        <f aca="false">MAX(0,'2. The tape'!C13*('2. The tape'!D13-(('2. The tape'!H13+$B$4)*'2. The tape'!E13-'1. Costs'!$B$5)))</f>
        <v>0</v>
      </c>
      <c r="G24" s="30" t="n">
        <f aca="false">MAX(0,'2. The tape'!C13*('2. The tape'!D13-('2. The tape'!H13*'2. The tape'!E13*(1+$B$5)-'1. Costs'!$B$5)))</f>
        <v>3143.99999999999</v>
      </c>
      <c r="H24" s="31" t="n">
        <f aca="false">IF('2. The tape'!D13&gt;'2. The tape'!H13*'2. The tape'!E13*(1+$B$5)-'1. Costs'!$B$5,1,0)</f>
        <v>1</v>
      </c>
      <c r="I24" s="30" t="n">
        <f aca="false">MAX(0,'2. The tape'!C13*('2. The tape'!D13-('2. The tape'!H13*'2. The tape'!E13*(1+$B$6)-'1. Costs'!$B$5)))</f>
        <v>0</v>
      </c>
      <c r="J24" s="32" t="n">
        <f aca="false">'2. The tape'!H13*'2. The tape'!E13*(1-$B$9)-'1. Costs'!$B$5</f>
        <v>603.24</v>
      </c>
      <c r="K24" s="30" t="n">
        <f aca="false">MAX(0,'2. The tape'!C13*('2. The tape'!D13-J24))*(1-$B$7)</f>
        <v>7547.28</v>
      </c>
      <c r="L24" s="30" t="n">
        <f aca="false">MAX(0,'2. The tape'!K13)*(1-$B$12)/$B$10/(1+$B$10)^(B24/4)</f>
        <v>0</v>
      </c>
      <c r="M24" s="30" t="n">
        <f aca="false">MAX(0,'2. The tape'!K13)*(1-$B$12)/$B$11/(1+$B$11)^(B24/4)</f>
        <v>0</v>
      </c>
      <c r="N24" s="32" t="n">
        <f aca="false">'2. The tape'!D13-('2. The tape'!H13*'2. The tape'!E13*(1+$B$6)-'1. Costs'!$B$5)</f>
        <v>-452.734176786407</v>
      </c>
      <c r="O24" s="28" t="n">
        <f aca="false">('2. The tape'!D13+'1. Costs'!$B$5)/('2. The tape'!H13*'2. The tape'!E13)-1</f>
        <v>-0.0702947845804989</v>
      </c>
    </row>
    <row r="25" customFormat="false" ht="15" hidden="false" customHeight="false" outlineLevel="0" collapsed="false">
      <c r="A25" s="0" t="str">
        <f aca="false">'2. The tape'!A14</f>
        <v>Coffee and bakery</v>
      </c>
      <c r="B25" s="27" t="n">
        <v>8</v>
      </c>
      <c r="C25" s="28" t="n">
        <f aca="false">'2. The tape'!G14/'2. The tape'!H14-1</f>
        <v>0.156462585034014</v>
      </c>
      <c r="D25" s="29" t="n">
        <f aca="false">IF(C25&lt;=0,$G$4,IF(C25&lt;0.2,$G$5,IF(C25&lt;0.5,$G$6,$G$7)))</f>
        <v>0.25</v>
      </c>
      <c r="E25" s="30" t="n">
        <f aca="false">MAX(0,'2. The tape'!K14)*D25</f>
        <v>8740</v>
      </c>
      <c r="F25" s="30" t="n">
        <f aca="false">MAX(0,'2. The tape'!C14*('2. The tape'!D14-(('2. The tape'!H14+$B$4)*'2. The tape'!E14-'1. Costs'!$B$5)))</f>
        <v>16340</v>
      </c>
      <c r="G25" s="30" t="n">
        <f aca="false">MAX(0,'2. The tape'!C14*('2. The tape'!D14-('2. The tape'!H14*'2. The tape'!E14*(1+$B$5)-'1. Costs'!$B$5)))</f>
        <v>57304</v>
      </c>
      <c r="H25" s="31" t="n">
        <f aca="false">IF('2. The tape'!D14&gt;'2. The tape'!H14*'2. The tape'!E14*(1+$B$5)-'1. Costs'!$B$5,1,0)</f>
        <v>1</v>
      </c>
      <c r="I25" s="30" t="n">
        <f aca="false">MAX(0,'2. The tape'!C14*('2. The tape'!D14-('2. The tape'!H14*'2. The tape'!E14*(1+$B$6)-'1. Costs'!$B$5)))</f>
        <v>0</v>
      </c>
      <c r="J25" s="32" t="n">
        <f aca="false">'2. The tape'!H14*'2. The tape'!E14*(1-$B$9)-'1. Costs'!$B$5</f>
        <v>362.16</v>
      </c>
      <c r="K25" s="30" t="n">
        <f aca="false">MAX(0,'2. The tape'!C14*('2. The tape'!D14-J25))*(1-$B$7)</f>
        <v>48866.48</v>
      </c>
      <c r="L25" s="30" t="n">
        <f aca="false">MAX(0,'2. The tape'!K14)*(1-$B$12)/$B$10/(1+$B$10)^(B25/4)</f>
        <v>398256.085741015</v>
      </c>
      <c r="M25" s="30" t="n">
        <f aca="false">MAX(0,'2. The tape'!K14)*(1-$B$12)/$B$11/(1+$B$11)^(B25/4)</f>
        <v>343546.296130181</v>
      </c>
      <c r="N25" s="32" t="n">
        <f aca="false">'2. The tape'!D14-('2. The tape'!H14*'2. The tape'!E14*(1+$B$6)-'1. Costs'!$B$5)</f>
        <v>-168.489451190938</v>
      </c>
      <c r="O25" s="28" t="n">
        <f aca="false">('2. The tape'!D14+'1. Costs'!$B$5)/('2. The tape'!H14*'2. The tape'!E14)-1</f>
        <v>0.156462585034014</v>
      </c>
    </row>
    <row r="26" customFormat="false" ht="15" hidden="false" customHeight="false" outlineLevel="0" collapsed="false">
      <c r="A26" s="0" t="str">
        <f aca="false">'2. The tape'!A15</f>
        <v>Restaurants</v>
      </c>
      <c r="B26" s="27" t="n">
        <v>34</v>
      </c>
      <c r="C26" s="28" t="n">
        <f aca="false">'2. The tape'!G15/'2. The tape'!H15-1</f>
        <v>0.0273972602739725</v>
      </c>
      <c r="D26" s="29" t="n">
        <f aca="false">IF(C26&lt;=0,$G$4,IF(C26&lt;0.2,$G$5,IF(C26&lt;0.5,$G$6,$G$7)))</f>
        <v>0.25</v>
      </c>
      <c r="E26" s="30" t="n">
        <f aca="false">MAX(0,'2. The tape'!K15)*D26</f>
        <v>4350</v>
      </c>
      <c r="F26" s="30" t="n">
        <f aca="false">MAX(0,'2. The tape'!C15*('2. The tape'!D15-(('2. The tape'!H15+$B$4)*'2. The tape'!E15-'1. Costs'!$B$5)))</f>
        <v>0</v>
      </c>
      <c r="G26" s="30" t="n">
        <f aca="false">MAX(0,'2. The tape'!C15*('2. The tape'!D15-('2. The tape'!H15*'2. The tape'!E15*(1+$B$5)-'1. Costs'!$B$5)))</f>
        <v>80910</v>
      </c>
      <c r="H26" s="31" t="n">
        <f aca="false">IF('2. The tape'!D15&gt;'2. The tape'!H15*'2. The tape'!E15*(1+$B$5)-'1. Costs'!$B$5,1,0)</f>
        <v>1</v>
      </c>
      <c r="I26" s="30" t="n">
        <f aca="false">MAX(0,'2. The tape'!C15*('2. The tape'!D15-('2. The tape'!H15*'2. The tape'!E15*(1+$B$6)-'1. Costs'!$B$5)))</f>
        <v>0</v>
      </c>
      <c r="J26" s="32" t="n">
        <f aca="false">'2. The tape'!H15*'2. The tape'!E15*(1-$B$9)-'1. Costs'!$B$5</f>
        <v>239.16</v>
      </c>
      <c r="K26" s="30" t="n">
        <f aca="false">MAX(0,'2. The tape'!C15*('2. The tape'!D15-J26))*(1-$B$7)</f>
        <v>85616.7</v>
      </c>
      <c r="L26" s="30" t="n">
        <f aca="false">MAX(0,'2. The tape'!K15)*(1-$B$12)/$B$10/(1+$B$10)^(B26/4)</f>
        <v>125764.419259302</v>
      </c>
      <c r="M26" s="30" t="n">
        <f aca="false">MAX(0,'2. The tape'!K15)*(1-$B$12)/$B$11/(1+$B$11)^(B26/4)</f>
        <v>102136.674238022</v>
      </c>
      <c r="N26" s="32" t="n">
        <f aca="false">'2. The tape'!D15-('2. The tape'!H15*'2. The tape'!E15*(1+$B$6)-'1. Costs'!$B$5)</f>
        <v>-182.038060581005</v>
      </c>
      <c r="O26" s="28" t="n">
        <f aca="false">('2. The tape'!D15+'1. Costs'!$B$5)/('2. The tape'!H15*'2. The tape'!E15)-1</f>
        <v>0.0273972602739727</v>
      </c>
    </row>
    <row r="27" customFormat="false" ht="15" hidden="false" customHeight="false" outlineLevel="0" collapsed="false">
      <c r="A27" s="0" t="str">
        <f aca="false">'2. The tape'!A16</f>
        <v>Value and discount</v>
      </c>
      <c r="B27" s="27" t="n">
        <v>16</v>
      </c>
      <c r="C27" s="28" t="n">
        <f aca="false">'2. The tape'!G16/'2. The tape'!H16-1</f>
        <v>0.545189504373178</v>
      </c>
      <c r="D27" s="29" t="n">
        <f aca="false">IF(C27&lt;=0,$G$4,IF(C27&lt;0.2,$G$5,IF(C27&lt;0.5,$G$6,$G$7)))</f>
        <v>0.9</v>
      </c>
      <c r="E27" s="30" t="n">
        <f aca="false">MAX(0,'2. The tape'!K16)*D27</f>
        <v>328185</v>
      </c>
      <c r="F27" s="30" t="n">
        <f aca="false">MAX(0,'2. The tape'!C16*('2. The tape'!D16-(('2. The tape'!H16+$B$4)*'2. The tape'!E16-'1. Costs'!$B$5)))</f>
        <v>269100</v>
      </c>
      <c r="G27" s="30" t="n">
        <f aca="false">MAX(0,'2. The tape'!C16*('2. The tape'!D16-('2. The tape'!H16*'2. The tape'!E16*(1+$B$5)-'1. Costs'!$B$5)))</f>
        <v>431535</v>
      </c>
      <c r="H27" s="31" t="n">
        <f aca="false">IF('2. The tape'!D16&gt;'2. The tape'!H16*'2. The tape'!E16*(1+$B$5)-'1. Costs'!$B$5,1,0)</f>
        <v>1</v>
      </c>
      <c r="I27" s="30" t="n">
        <f aca="false">MAX(0,'2. The tape'!C16*('2. The tape'!D16-('2. The tape'!H16*'2. The tape'!E16*(1+$B$6)-'1. Costs'!$B$5)))</f>
        <v>68343.2492703082</v>
      </c>
      <c r="J27" s="32" t="n">
        <f aca="false">'2. The tape'!H16*'2. The tape'!E16*(1-$B$9)-'1. Costs'!$B$5</f>
        <v>20.63</v>
      </c>
      <c r="K27" s="30" t="n">
        <f aca="false">MAX(0,'2. The tape'!C16*('2. The tape'!D16-J27))*(1-$B$7)</f>
        <v>315277.95</v>
      </c>
      <c r="L27" s="30" t="n">
        <f aca="false">MAX(0,'2. The tape'!K16)*(1-$B$12)/$B$10/(1+$B$10)^(B27/4)</f>
        <v>3611375.21541622</v>
      </c>
      <c r="M27" s="30" t="n">
        <f aca="false">MAX(0,'2. The tape'!K16)*(1-$B$12)/$B$11/(1+$B$11)^(B27/4)</f>
        <v>3057977.28103165</v>
      </c>
      <c r="N27" s="32" t="n">
        <f aca="false">'2. The tape'!D16-('2. The tape'!H16*'2. The tape'!E16*(1+$B$6)-'1. Costs'!$B$5)</f>
        <v>17.5239100693098</v>
      </c>
      <c r="O27" s="28" t="n">
        <f aca="false">('2. The tape'!D16+'1. Costs'!$B$5)/('2. The tape'!H16*'2. The tape'!E16)-1</f>
        <v>0.545189504373178</v>
      </c>
    </row>
    <row r="28" customFormat="false" ht="15" hidden="false" customHeight="false" outlineLevel="0" collapsed="false">
      <c r="A28" s="0" t="str">
        <f aca="false">'2. The tape'!A17</f>
        <v>Home and gifts</v>
      </c>
      <c r="B28" s="27" t="n">
        <v>28</v>
      </c>
      <c r="C28" s="28" t="n">
        <f aca="false">'2. The tape'!G17/'2. The tape'!H17-1</f>
        <v>0.130268199233716</v>
      </c>
      <c r="D28" s="29" t="n">
        <f aca="false">IF(C28&lt;=0,$G$4,IF(C28&lt;0.2,$G$5,IF(C28&lt;0.5,$G$6,$G$7)))</f>
        <v>0.25</v>
      </c>
      <c r="E28" s="30" t="n">
        <f aca="false">MAX(0,'2. The tape'!K17)*D28</f>
        <v>10625</v>
      </c>
      <c r="F28" s="30" t="n">
        <f aca="false">MAX(0,'2. The tape'!C17*('2. The tape'!D17-(('2. The tape'!H17+$B$4)*'2. The tape'!E17-'1. Costs'!$B$5)))</f>
        <v>6250</v>
      </c>
      <c r="G28" s="30" t="n">
        <f aca="false">MAX(0,'2. The tape'!C17*('2. The tape'!D17-('2. The tape'!H17*'2. The tape'!E17*(1+$B$5)-'1. Costs'!$B$5)))</f>
        <v>75125</v>
      </c>
      <c r="H28" s="31" t="n">
        <f aca="false">IF('2. The tape'!D17&gt;'2. The tape'!H17*'2. The tape'!E17*(1+$B$5)-'1. Costs'!$B$5,1,0)</f>
        <v>1</v>
      </c>
      <c r="I28" s="30" t="n">
        <f aca="false">MAX(0,'2. The tape'!C17*('2. The tape'!D17-('2. The tape'!H17*'2. The tape'!E17*(1+$B$6)-'1. Costs'!$B$5)))</f>
        <v>0</v>
      </c>
      <c r="J28" s="32" t="n">
        <f aca="false">'2. The tape'!H17*'2. The tape'!E17*(1-$B$9)-'1. Costs'!$B$5</f>
        <v>94.02</v>
      </c>
      <c r="K28" s="30" t="n">
        <f aca="false">MAX(0,'2. The tape'!C17*('2. The tape'!D17-J28))*(1-$B$7)</f>
        <v>65796.25</v>
      </c>
      <c r="L28" s="30" t="n">
        <f aca="false">MAX(0,'2. The tape'!K17)*(1-$B$12)/$B$10/(1+$B$10)^(B28/4)</f>
        <v>341187.744420708</v>
      </c>
      <c r="M28" s="30" t="n">
        <f aca="false">MAX(0,'2. The tape'!K17)*(1-$B$12)/$B$11/(1+$B$11)^(B28/4)</f>
        <v>280972.135058199</v>
      </c>
      <c r="N28" s="32" t="n">
        <f aca="false">'2. The tape'!D17-('2. The tape'!H17*'2. The tape'!E17*(1+$B$6)-'1. Costs'!$B$5)</f>
        <v>-81.6254196612836</v>
      </c>
      <c r="O28" s="28" t="n">
        <f aca="false">('2. The tape'!D17+'1. Costs'!$B$5)/('2. The tape'!H17*'2. The tape'!E17)-1</f>
        <v>0.130268199233716</v>
      </c>
    </row>
    <row r="29" customFormat="false" ht="15" hidden="false" customHeight="false" outlineLevel="0" collapsed="false">
      <c r="A29" s="0" t="str">
        <f aca="false">'2. The tape'!A18</f>
        <v>Toys and leisure</v>
      </c>
      <c r="B29" s="27" t="n">
        <v>4</v>
      </c>
      <c r="C29" s="28" t="n">
        <f aca="false">'2. The tape'!G18/'2. The tape'!H18-1</f>
        <v>0.0893246187363834</v>
      </c>
      <c r="D29" s="29" t="n">
        <f aca="false">IF(C29&lt;=0,$G$4,IF(C29&lt;0.2,$G$5,IF(C29&lt;0.5,$G$6,$G$7)))</f>
        <v>0.25</v>
      </c>
      <c r="E29" s="30" t="n">
        <f aca="false">MAX(0,'2. The tape'!K18)*D29</f>
        <v>4612.5</v>
      </c>
      <c r="F29" s="30" t="n">
        <f aca="false">MAX(0,'2. The tape'!C18*('2. The tape'!D18-(('2. The tape'!H18+$B$4)*'2. The tape'!E18-'1. Costs'!$B$5)))</f>
        <v>0</v>
      </c>
      <c r="G29" s="30" t="n">
        <f aca="false">MAX(0,'2. The tape'!C18*('2. The tape'!D18-('2. The tape'!H18*'2. The tape'!E18*(1+$B$5)-'1. Costs'!$B$5)))</f>
        <v>39105</v>
      </c>
      <c r="H29" s="31" t="n">
        <f aca="false">IF('2. The tape'!D18&gt;'2. The tape'!H18*'2. The tape'!E18*(1+$B$5)-'1. Costs'!$B$5,1,0)</f>
        <v>1</v>
      </c>
      <c r="I29" s="30" t="n">
        <f aca="false">MAX(0,'2. The tape'!C18*('2. The tape'!D18-('2. The tape'!H18*'2. The tape'!E18*(1+$B$6)-'1. Costs'!$B$5)))</f>
        <v>0</v>
      </c>
      <c r="J29" s="32" t="n">
        <f aca="false">'2. The tape'!H18*'2. The tape'!E18*(1-$B$9)-'1. Costs'!$B$5</f>
        <v>68.19</v>
      </c>
      <c r="K29" s="30" t="n">
        <f aca="false">MAX(0,'2. The tape'!C18*('2. The tape'!D18-J29))*(1-$B$7)</f>
        <v>36158.85</v>
      </c>
      <c r="L29" s="30" t="n">
        <f aca="false">MAX(0,'2. The tape'!K18)*(1-$B$12)/$B$10/(1+$B$10)^(B29/4)</f>
        <v>225415.963346998</v>
      </c>
      <c r="M29" s="30" t="n">
        <f aca="false">MAX(0,'2. The tape'!K18)*(1-$B$12)/$B$11/(1+$B$11)^(B29/4)</f>
        <v>196262.859542305</v>
      </c>
      <c r="N29" s="32" t="n">
        <f aca="false">'2. The tape'!D18-('2. The tape'!H18*'2. The tape'!E18*(1+$B$6)-'1. Costs'!$B$5)</f>
        <v>-81.1706276331976</v>
      </c>
      <c r="O29" s="28" t="n">
        <f aca="false">('2. The tape'!D18+'1. Costs'!$B$5)/('2. The tape'!H18*'2. The tape'!E18)-1</f>
        <v>0.0893246187363834</v>
      </c>
    </row>
    <row r="30" customFormat="false" ht="15" hidden="false" customHeight="false" outlineLevel="0" collapsed="false">
      <c r="A30" s="0" t="str">
        <f aca="false">'2. The tape'!A19</f>
        <v>Services and banks</v>
      </c>
      <c r="B30" s="27" t="n">
        <v>20</v>
      </c>
      <c r="C30" s="28" t="n">
        <f aca="false">'2. The tape'!G19/'2. The tape'!H19-1</f>
        <v>0.209302325581395</v>
      </c>
      <c r="D30" s="29" t="n">
        <f aca="false">IF(C30&lt;=0,$G$4,IF(C30&lt;0.2,$G$5,IF(C30&lt;0.5,$G$6,$G$7)))</f>
        <v>0.6</v>
      </c>
      <c r="E30" s="30" t="n">
        <f aca="false">MAX(0,'2. The tape'!K19)*D30</f>
        <v>63720</v>
      </c>
      <c r="F30" s="30" t="n">
        <f aca="false">MAX(0,'2. The tape'!C19*('2. The tape'!D19-(('2. The tape'!H19+$B$4)*'2. The tape'!E19-'1. Costs'!$B$5)))</f>
        <v>55460</v>
      </c>
      <c r="G30" s="30" t="n">
        <f aca="false">MAX(0,'2. The tape'!C19*('2. The tape'!D19-('2. The tape'!H19*'2. The tape'!E19*(1+$B$5)-'1. Costs'!$B$5)))</f>
        <v>156940</v>
      </c>
      <c r="H30" s="31" t="n">
        <f aca="false">IF('2. The tape'!D19&gt;'2. The tape'!H19*'2. The tape'!E19*(1+$B$5)-'1. Costs'!$B$5,1,0)</f>
        <v>1</v>
      </c>
      <c r="I30" s="30" t="n">
        <f aca="false">MAX(0,'2. The tape'!C19*('2. The tape'!D19-('2. The tape'!H19*'2. The tape'!E19*(1+$B$6)-'1. Costs'!$B$5)))</f>
        <v>0</v>
      </c>
      <c r="J30" s="32" t="n">
        <f aca="false">'2. The tape'!H19*'2. The tape'!E19*(1-$B$9)-'1. Costs'!$B$5</f>
        <v>232.6</v>
      </c>
      <c r="K30" s="30" t="n">
        <f aca="false">MAX(0,'2. The tape'!C19*('2. The tape'!D19-J30))*(1-$B$7)</f>
        <v>128395.8</v>
      </c>
      <c r="L30" s="30" t="n">
        <f aca="false">MAX(0,'2. The tape'!K19)*(1-$B$12)/$B$10/(1+$B$10)^(B30/4)</f>
        <v>980671.628801901</v>
      </c>
      <c r="M30" s="30" t="n">
        <f aca="false">MAX(0,'2. The tape'!K19)*(1-$B$12)/$B$11/(1+$B$11)^(B30/4)</f>
        <v>822724.912896796</v>
      </c>
      <c r="N30" s="32" t="n">
        <f aca="false">'2. The tape'!D19-('2. The tape'!H19*'2. The tape'!E19*(1+$B$6)-'1. Costs'!$B$5)</f>
        <v>-100.493986415142</v>
      </c>
      <c r="O30" s="28" t="n">
        <f aca="false">('2. The tape'!D19+'1. Costs'!$B$5)/('2. The tape'!H19*'2. The tape'!E19)-1</f>
        <v>0.209302325581395</v>
      </c>
    </row>
    <row r="33" customFormat="false" ht="15" hidden="false" customHeight="false" outlineLevel="0" collapsed="false">
      <c r="A33" s="16" t="s">
        <v>93</v>
      </c>
      <c r="C33" s="17" t="n">
        <f aca="false">SUM(F15:F30)</f>
        <v>547085</v>
      </c>
    </row>
    <row r="34" customFormat="false" ht="15" hidden="false" customHeight="false" outlineLevel="0" collapsed="false">
      <c r="A34" s="16" t="s">
        <v>94</v>
      </c>
      <c r="C34" s="17" t="n">
        <f aca="false">SUM(G15:G30)</f>
        <v>1593972.4</v>
      </c>
    </row>
    <row r="35" customFormat="false" ht="15" hidden="false" customHeight="false" outlineLevel="0" collapsed="false">
      <c r="A35" s="33" t="s">
        <v>95</v>
      </c>
      <c r="C35" s="28" t="n">
        <f aca="false">C34/'2. The tape'!C21</f>
        <v>0.284513453935332</v>
      </c>
    </row>
    <row r="36" customFormat="false" ht="15" hidden="false" customHeight="false" outlineLevel="0" collapsed="false">
      <c r="A36" s="33" t="s">
        <v>96</v>
      </c>
      <c r="C36" s="31" t="n">
        <f aca="false">SUM(H15:H30)</f>
        <v>16</v>
      </c>
    </row>
    <row r="37" customFormat="false" ht="15" hidden="false" customHeight="false" outlineLevel="0" collapsed="false">
      <c r="A37" s="16" t="s">
        <v>97</v>
      </c>
      <c r="C37" s="17" t="n">
        <f aca="false">SUM(I15:I30)</f>
        <v>68343.2492703082</v>
      </c>
    </row>
    <row r="38" customFormat="false" ht="15" hidden="false" customHeight="false" outlineLevel="0" collapsed="false">
      <c r="A38" s="33" t="s">
        <v>98</v>
      </c>
      <c r="C38" s="32" t="n">
        <f aca="false">MAX(N15:N30)</f>
        <v>17.5239100693098</v>
      </c>
    </row>
    <row r="39" customFormat="false" ht="15" hidden="false" customHeight="false" outlineLevel="0" collapsed="false">
      <c r="A39" s="33" t="s">
        <v>99</v>
      </c>
      <c r="C39" s="28" t="n">
        <f aca="false">MAX(O15:O30)</f>
        <v>0.545189504373178</v>
      </c>
    </row>
    <row r="41" customFormat="false" ht="15" hidden="false" customHeight="false" outlineLevel="0" collapsed="false">
      <c r="A41" s="16" t="s">
        <v>100</v>
      </c>
      <c r="C41" s="17" t="n">
        <f aca="false">'2. The tape'!C4*'2. The tape'!D4</f>
        <v>561600</v>
      </c>
    </row>
    <row r="42" customFormat="false" ht="15" hidden="false" customHeight="false" outlineLevel="0" collapsed="false">
      <c r="A42" s="33" t="s">
        <v>101</v>
      </c>
      <c r="C42" s="32" t="n">
        <f aca="false">SUMPRODUCT('2. The tape'!C5:C19,'2. The tape'!D5:D19)/SUM('2. The tape'!C5:C19)</f>
        <v>268.845333333333</v>
      </c>
    </row>
    <row r="43" customFormat="false" ht="15" hidden="false" customHeight="false" outlineLevel="0" collapsed="false">
      <c r="A43" s="33" t="s">
        <v>102</v>
      </c>
      <c r="C43" s="30" t="n">
        <f aca="false">'2. The tape'!C4*C42-C41</f>
        <v>1374086.4</v>
      </c>
    </row>
    <row r="45" customFormat="false" ht="15" hidden="false" customHeight="false" outlineLevel="0" collapsed="false">
      <c r="A45" s="16" t="s">
        <v>103</v>
      </c>
      <c r="C45" s="17" t="n">
        <f aca="false">('2. The tape'!C21-C41)*$B$7*$B$8</f>
        <v>705719</v>
      </c>
    </row>
    <row r="46" customFormat="false" ht="15" hidden="false" customHeight="false" outlineLevel="0" collapsed="false">
      <c r="A46" s="33" t="s">
        <v>104</v>
      </c>
      <c r="C46" s="30" t="n">
        <f aca="false">('2. The tape'!C22-N('2. The tape'!L4))*(1-$B$7)</f>
        <v>588136.9</v>
      </c>
    </row>
    <row r="47" customFormat="false" ht="15" hidden="false" customHeight="false" outlineLevel="0" collapsed="false">
      <c r="A47" s="33" t="s">
        <v>105</v>
      </c>
      <c r="C47" s="30" t="n">
        <f aca="false">SUM(K15:K30)</f>
        <v>1306711.588</v>
      </c>
    </row>
    <row r="48" customFormat="false" ht="15" hidden="false" customHeight="false" outlineLevel="0" collapsed="false">
      <c r="A48" s="33" t="s">
        <v>106</v>
      </c>
      <c r="C48" s="30" t="n">
        <f aca="false">C47-C46</f>
        <v>718574.688</v>
      </c>
    </row>
    <row r="49" customFormat="false" ht="15" hidden="false" customHeight="false" outlineLevel="0" collapsed="false">
      <c r="A49" s="33" t="s">
        <v>107</v>
      </c>
      <c r="C49" s="30" t="n">
        <f aca="false">C41+C45+C48</f>
        <v>1985893.688</v>
      </c>
    </row>
    <row r="50" customFormat="false" ht="15" hidden="false" customHeight="false" outlineLevel="0" collapsed="false">
      <c r="A50" s="33" t="s">
        <v>108</v>
      </c>
      <c r="C50" s="34" t="n">
        <f aca="false">C49/C41</f>
        <v>3.53613548433048</v>
      </c>
    </row>
    <row r="51" customFormat="false" ht="15" hidden="false" customHeight="false" outlineLevel="0" collapsed="false">
      <c r="A51" s="33" t="s">
        <v>109</v>
      </c>
      <c r="C51" s="30" t="n">
        <f aca="false">C49*(1-$B$12)/$B$11</f>
        <v>22867866.710303</v>
      </c>
    </row>
    <row r="53" customFormat="false" ht="15" hidden="false" customHeight="false" outlineLevel="0" collapsed="false">
      <c r="A53" s="16" t="s">
        <v>110</v>
      </c>
      <c r="C53" s="17" t="n">
        <f aca="false">SUM(E15:E30)</f>
        <v>570873.6</v>
      </c>
    </row>
    <row r="54" customFormat="false" ht="15" hidden="false" customHeight="false" outlineLevel="0" collapsed="false">
      <c r="A54" s="33" t="s">
        <v>95</v>
      </c>
      <c r="C54" s="28" t="n">
        <f aca="false">C53/'2. The tape'!C21</f>
        <v>0.101897134289463</v>
      </c>
    </row>
    <row r="56" customFormat="false" ht="15" hidden="false" customHeight="false" outlineLevel="0" collapsed="false">
      <c r="A56" s="16" t="s">
        <v>111</v>
      </c>
      <c r="C56" s="35" t="n">
        <f aca="false">(1-$B$12)/$B$11</f>
        <v>11.5151515151515</v>
      </c>
    </row>
    <row r="57" customFormat="false" ht="15" hidden="false" customHeight="false" outlineLevel="0" collapsed="false">
      <c r="A57" s="33" t="s">
        <v>112</v>
      </c>
      <c r="C57" s="34" t="n">
        <f aca="false">SUM(L15:L30)/'2. The tape'!C22</f>
        <v>10.2064576501524</v>
      </c>
    </row>
    <row r="58" customFormat="false" ht="15" hidden="false" customHeight="false" outlineLevel="0" collapsed="false">
      <c r="A58" s="33" t="s">
        <v>113</v>
      </c>
      <c r="C58" s="34" t="n">
        <f aca="false">SUM(M15:M30)/'2. The tape'!C22</f>
        <v>8.68528871381136</v>
      </c>
    </row>
    <row r="60" customFormat="false" ht="30" hidden="false" customHeight="true" outlineLevel="0" collapsed="false">
      <c r="A60" s="36" t="s">
        <v>114</v>
      </c>
      <c r="B60" s="36"/>
      <c r="C60" s="36"/>
      <c r="D60" s="36"/>
      <c r="E60" s="36"/>
      <c r="F60" s="36"/>
      <c r="G60" s="36"/>
      <c r="H60" s="36"/>
      <c r="I60" s="36"/>
      <c r="J60" s="36"/>
      <c r="K60" s="36"/>
      <c r="L60" s="36"/>
      <c r="M60" s="36"/>
    </row>
    <row r="61" customFormat="false" ht="15" hidden="false" customHeight="false" outlineLevel="0" collapsed="false">
      <c r="A61" s="36"/>
      <c r="B61" s="36"/>
      <c r="C61" s="36"/>
      <c r="D61" s="36"/>
      <c r="E61" s="36"/>
      <c r="F61" s="36"/>
      <c r="G61" s="36"/>
      <c r="H61" s="36"/>
      <c r="I61" s="36"/>
      <c r="J61" s="36"/>
      <c r="K61" s="36"/>
      <c r="L61" s="36"/>
      <c r="M61" s="36"/>
    </row>
    <row r="62" customFormat="false" ht="15" hidden="false" customHeight="false" outlineLevel="0" collapsed="false">
      <c r="A62" s="36"/>
      <c r="B62" s="36"/>
      <c r="C62" s="36"/>
      <c r="D62" s="36"/>
      <c r="E62" s="36"/>
      <c r="F62" s="36"/>
      <c r="G62" s="36"/>
      <c r="H62" s="36"/>
      <c r="I62" s="36"/>
      <c r="J62" s="36"/>
      <c r="K62" s="36"/>
      <c r="L62" s="36"/>
      <c r="M62" s="36"/>
    </row>
  </sheetData>
  <mergeCells count="1">
    <mergeCell ref="A60:M6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
    <col collapsed="false" customWidth="true" hidden="false" outlineLevel="0" max="2" min="2" style="0" width="62"/>
    <col collapsed="false" customWidth="true" hidden="false" outlineLevel="0" max="6" min="3" style="0" width="13"/>
    <col collapsed="false" customWidth="true" hidden="false" outlineLevel="0" max="7" min="7" style="0" width="2"/>
    <col collapsed="false" customWidth="true" hidden="false" outlineLevel="0" max="8" min="8" style="0" width="60"/>
  </cols>
  <sheetData>
    <row r="1" customFormat="false" ht="16.15" hidden="false" customHeight="false" outlineLevel="0" collapsed="false">
      <c r="A1" s="6" t="s">
        <v>115</v>
      </c>
    </row>
    <row r="2" customFormat="false" ht="15" hidden="false" customHeight="false" outlineLevel="0" collapsed="false">
      <c r="A2" s="2" t="s">
        <v>116</v>
      </c>
    </row>
    <row r="3" customFormat="false" ht="15" hidden="false" customHeight="false" outlineLevel="0" collapsed="false">
      <c r="A3" s="2" t="s">
        <v>117</v>
      </c>
    </row>
    <row r="5" customFormat="false" ht="15" hidden="false" customHeight="false" outlineLevel="0" collapsed="false">
      <c r="A5" s="10" t="s">
        <v>118</v>
      </c>
      <c r="B5" s="10" t="s">
        <v>119</v>
      </c>
      <c r="C5" s="10" t="s">
        <v>120</v>
      </c>
      <c r="D5" s="10" t="s">
        <v>121</v>
      </c>
      <c r="E5" s="10" t="s">
        <v>122</v>
      </c>
      <c r="F5" s="10" t="s">
        <v>123</v>
      </c>
      <c r="H5" s="16" t="s">
        <v>124</v>
      </c>
    </row>
    <row r="6" customFormat="false" ht="15" hidden="false" customHeight="false" outlineLevel="0" collapsed="false">
      <c r="A6" s="0" t="s">
        <v>125</v>
      </c>
      <c r="B6" s="3" t="s">
        <v>126</v>
      </c>
      <c r="C6" s="0" t="n">
        <v>5602450</v>
      </c>
      <c r="D6" s="15" t="n">
        <f aca="false">'2. The tape'!C21</f>
        <v>5602450</v>
      </c>
      <c r="E6" s="22" t="n">
        <f aca="false">D6-C6</f>
        <v>0</v>
      </c>
      <c r="F6" s="0" t="str">
        <f aca="false">IF(ABS(E6)&lt;=1,"reproduced",IF(ABS(E6)&lt;=1*3,"rounding","to check"))</f>
        <v>reproduced</v>
      </c>
      <c r="H6" s="3" t="s">
        <v>127</v>
      </c>
    </row>
    <row r="7" customFormat="false" ht="15" hidden="false" customHeight="false" outlineLevel="0" collapsed="false">
      <c r="A7" s="0" t="s">
        <v>128</v>
      </c>
      <c r="B7" s="3" t="s">
        <v>129</v>
      </c>
      <c r="C7" s="0" t="n">
        <v>0.19958</v>
      </c>
      <c r="D7" s="13" t="n">
        <f aca="false">MAX('2. The tape'!G4:G19)</f>
        <v>0.199579831932773</v>
      </c>
      <c r="E7" s="13" t="n">
        <f aca="false">D7-C7</f>
        <v>-1.6806722688556E-007</v>
      </c>
      <c r="F7" s="0" t="str">
        <f aca="false">IF(ABS(E7)&lt;=0.00005,"reproduced",IF(ABS(E7)&lt;=0.00005*3,"rounding","to check"))</f>
        <v>reproduced</v>
      </c>
    </row>
    <row r="8" customFormat="false" ht="15" hidden="false" customHeight="false" outlineLevel="0" collapsed="false">
      <c r="A8" s="0" t="s">
        <v>128</v>
      </c>
      <c r="B8" s="3" t="s">
        <v>130</v>
      </c>
      <c r="C8" s="0" t="n">
        <v>0.080424</v>
      </c>
      <c r="D8" s="22" t="n">
        <f aca="false">SUMPRODUCT('2. The tape'!C4:C19,'2. The tape'!F4:F19)/SUMPRODUCT('2. The tape'!C4:C19,'2. The tape'!E4:E19)</f>
        <v>0.0804244486559403</v>
      </c>
      <c r="E8" s="22" t="n">
        <f aca="false">D8-C8</f>
        <v>4.48655940274434E-007</v>
      </c>
      <c r="F8" s="0" t="str">
        <f aca="false">IF(ABS(E8)&lt;=0.00005,"reproduced",IF(ABS(E8)&lt;=0.00005*3,"rounding","to check"))</f>
        <v>reproduced</v>
      </c>
    </row>
    <row r="9" customFormat="false" ht="15" hidden="false" customHeight="false" outlineLevel="0" collapsed="false">
      <c r="A9" s="0" t="s">
        <v>131</v>
      </c>
      <c r="B9" s="3" t="s">
        <v>132</v>
      </c>
      <c r="C9" s="0" t="n">
        <v>904826</v>
      </c>
      <c r="D9" s="15" t="n">
        <f aca="false">'2. The tape'!C22</f>
        <v>904826</v>
      </c>
      <c r="E9" s="22" t="n">
        <f aca="false">D9-C9</f>
        <v>0</v>
      </c>
      <c r="F9" s="0" t="str">
        <f aca="false">IF(ABS(E9)&lt;=1,"reproduced",IF(ABS(E9)&lt;=1*3,"rounding","to check"))</f>
        <v>reproduced</v>
      </c>
    </row>
    <row r="10" customFormat="false" ht="15" hidden="false" customHeight="false" outlineLevel="0" collapsed="false">
      <c r="A10" s="0" t="s">
        <v>131</v>
      </c>
      <c r="B10" s="3" t="s">
        <v>133</v>
      </c>
      <c r="C10" s="0" t="n">
        <v>102240</v>
      </c>
      <c r="D10" s="15" t="n">
        <f aca="false">'2. The tape'!C23</f>
        <v>102240</v>
      </c>
      <c r="E10" s="22" t="n">
        <f aca="false">D10-C10</f>
        <v>0</v>
      </c>
      <c r="F10" s="0" t="str">
        <f aca="false">IF(ABS(E10)&lt;=1,"reproduced",IF(ABS(E10)&lt;=1*3,"rounding","to check"))</f>
        <v>reproduced</v>
      </c>
    </row>
    <row r="11" customFormat="false" ht="15" hidden="false" customHeight="false" outlineLevel="0" collapsed="false">
      <c r="A11" s="0" t="s">
        <v>131</v>
      </c>
      <c r="B11" s="3" t="s">
        <v>59</v>
      </c>
      <c r="C11" s="0" t="n">
        <v>0.161505</v>
      </c>
      <c r="D11" s="13" t="n">
        <f aca="false">'2. The tape'!C24</f>
        <v>0.161505412810467</v>
      </c>
      <c r="E11" s="13" t="n">
        <f aca="false">D11-C11</f>
        <v>4.1281046678221E-007</v>
      </c>
      <c r="F11" s="0" t="str">
        <f aca="false">IF(ABS(E11)&lt;=0.00005,"reproduced",IF(ABS(E11)&lt;=0.00005*3,"rounding","to check"))</f>
        <v>reproduced</v>
      </c>
    </row>
    <row r="12" customFormat="false" ht="15" hidden="false" customHeight="false" outlineLevel="0" collapsed="false">
      <c r="A12" s="0" t="s">
        <v>128</v>
      </c>
      <c r="B12" s="3" t="s">
        <v>60</v>
      </c>
      <c r="C12" s="0" t="n">
        <v>10</v>
      </c>
      <c r="D12" s="37" t="n">
        <f aca="false">'2. The tape'!C25</f>
        <v>10</v>
      </c>
      <c r="E12" s="22" t="n">
        <f aca="false">D12-C12</f>
        <v>0</v>
      </c>
      <c r="F12" s="0" t="str">
        <f aca="false">IF(ABS(E12)&lt;=0.5,"reproduced",IF(ABS(E12)&lt;=0.5*3,"rounding","to check"))</f>
        <v>reproduced</v>
      </c>
    </row>
    <row r="13" customFormat="false" ht="15" hidden="false" customHeight="false" outlineLevel="0" collapsed="false">
      <c r="A13" s="0" t="s">
        <v>131</v>
      </c>
      <c r="B13" s="3" t="s">
        <v>134</v>
      </c>
      <c r="C13" s="15" t="n">
        <v>547085</v>
      </c>
      <c r="D13" s="15" t="n">
        <f aca="false">'4. Around the tape'!C33</f>
        <v>547085</v>
      </c>
      <c r="E13" s="15" t="n">
        <f aca="false">D13-C13</f>
        <v>0</v>
      </c>
      <c r="F13" s="0" t="str">
        <f aca="false">IF(ABS(E13)&lt;=1,"reproduced",IF(ABS(E13)&lt;=1*3,"rounding","to check"))</f>
        <v>reproduced</v>
      </c>
    </row>
    <row r="14" customFormat="false" ht="15" hidden="false" customHeight="false" outlineLevel="0" collapsed="false">
      <c r="A14" s="0" t="s">
        <v>135</v>
      </c>
      <c r="B14" s="3" t="s">
        <v>136</v>
      </c>
      <c r="C14" s="38" t="n">
        <v>0.28</v>
      </c>
      <c r="D14" s="38" t="n">
        <f aca="false">'4. Around the tape'!C35</f>
        <v>0.284513453935332</v>
      </c>
      <c r="E14" s="38" t="n">
        <f aca="false">D14-C14</f>
        <v>0.0045134539353317</v>
      </c>
      <c r="F14" s="0" t="str">
        <f aca="false">IF(ABS(E14)&lt;=0.005,"reproduced",IF(ABS(E14)&lt;=0.005*3,"rounding","to check"))</f>
        <v>reproduced</v>
      </c>
      <c r="H14" s="3" t="s">
        <v>137</v>
      </c>
    </row>
    <row r="15" customFormat="false" ht="15" hidden="false" customHeight="false" outlineLevel="0" collapsed="false">
      <c r="A15" s="0" t="s">
        <v>135</v>
      </c>
      <c r="B15" s="3" t="s">
        <v>138</v>
      </c>
      <c r="C15" s="37" t="n">
        <v>16</v>
      </c>
      <c r="D15" s="37" t="n">
        <f aca="false">'4. Around the tape'!C36</f>
        <v>16</v>
      </c>
      <c r="E15" s="37" t="n">
        <f aca="false">D15-C15</f>
        <v>0</v>
      </c>
      <c r="F15" s="0" t="str">
        <f aca="false">IF(ABS(E15)&lt;=0.5,"reproduced",IF(ABS(E15)&lt;=0.5*3,"rounding","to check"))</f>
        <v>reproduced</v>
      </c>
    </row>
    <row r="16" customFormat="false" ht="28.35" hidden="false" customHeight="false" outlineLevel="0" collapsed="false">
      <c r="A16" s="0" t="s">
        <v>139</v>
      </c>
      <c r="B16" s="3" t="s">
        <v>140</v>
      </c>
      <c r="C16" s="15" t="n">
        <v>68343</v>
      </c>
      <c r="D16" s="15" t="n">
        <f aca="false">'4. Around the tape'!C37</f>
        <v>68343.2492703082</v>
      </c>
      <c r="E16" s="15" t="n">
        <f aca="false">D16-C16</f>
        <v>0.24927030823892</v>
      </c>
      <c r="F16" s="0" t="str">
        <f aca="false">IF(ABS(E16)&lt;=1,"reproduced",IF(ABS(E16)&lt;=1*3,"rounding","to check"))</f>
        <v>reproduced</v>
      </c>
      <c r="H16" s="3" t="s">
        <v>141</v>
      </c>
    </row>
    <row r="17" customFormat="false" ht="15" hidden="false" customHeight="false" outlineLevel="0" collapsed="false">
      <c r="A17" s="0" t="s">
        <v>139</v>
      </c>
      <c r="B17" s="3" t="s">
        <v>142</v>
      </c>
      <c r="C17" s="13" t="n">
        <v>0.5452</v>
      </c>
      <c r="D17" s="13" t="n">
        <f aca="false">'4. Around the tape'!C39</f>
        <v>0.545189504373178</v>
      </c>
      <c r="E17" s="13" t="n">
        <f aca="false">D17-C17</f>
        <v>-1.04956268224266E-005</v>
      </c>
      <c r="F17" s="0" t="str">
        <f aca="false">IF(ABS(E17)&lt;=0.00005,"reproduced",IF(ABS(E17)&lt;=0.00005*3,"rounding","to check"))</f>
        <v>reproduced</v>
      </c>
      <c r="H17" s="3" t="s">
        <v>143</v>
      </c>
    </row>
    <row r="18" customFormat="false" ht="15" hidden="false" customHeight="false" outlineLevel="0" collapsed="false">
      <c r="A18" s="0" t="s">
        <v>139</v>
      </c>
      <c r="B18" s="3" t="s">
        <v>144</v>
      </c>
      <c r="C18" s="12" t="n">
        <v>17.52</v>
      </c>
      <c r="D18" s="12" t="n">
        <f aca="false">'4. Around the tape'!C38</f>
        <v>17.5239100693098</v>
      </c>
      <c r="E18" s="12" t="n">
        <f aca="false">D18-C18</f>
        <v>0.00391006930980709</v>
      </c>
      <c r="F18" s="0" t="str">
        <f aca="false">IF(ABS(E18)&lt;=0.005,"reproduced",IF(ABS(E18)&lt;=0.005*3,"rounding","to check"))</f>
        <v>reproduced</v>
      </c>
      <c r="H18" s="3" t="s">
        <v>145</v>
      </c>
    </row>
    <row r="19" customFormat="false" ht="15" hidden="false" customHeight="false" outlineLevel="0" collapsed="false">
      <c r="A19" s="0" t="s">
        <v>146</v>
      </c>
      <c r="B19" s="3" t="s">
        <v>147</v>
      </c>
      <c r="C19" s="15" t="n">
        <v>269</v>
      </c>
      <c r="D19" s="15" t="n">
        <f aca="false">'4. Around the tape'!C42</f>
        <v>268.845333333333</v>
      </c>
      <c r="E19" s="15" t="n">
        <f aca="false">D19-C19</f>
        <v>-0.154666666666685</v>
      </c>
      <c r="F19" s="0" t="str">
        <f aca="false">IF(ABS(E19)&lt;=0.5,"reproduced",IF(ABS(E19)&lt;=0.5*3,"rounding","to check"))</f>
        <v>reproduced</v>
      </c>
    </row>
    <row r="20" customFormat="false" ht="15" hidden="false" customHeight="false" outlineLevel="0" collapsed="false">
      <c r="A20" s="0" t="s">
        <v>146</v>
      </c>
      <c r="B20" s="3" t="s">
        <v>148</v>
      </c>
      <c r="C20" s="15" t="n">
        <v>1374086</v>
      </c>
      <c r="D20" s="15" t="n">
        <f aca="false">'4. Around the tape'!C43</f>
        <v>1374086.4</v>
      </c>
      <c r="E20" s="15" t="n">
        <f aca="false">D20-C20</f>
        <v>0.399999999906868</v>
      </c>
      <c r="F20" s="0" t="str">
        <f aca="false">IF(ABS(E20)&lt;=1,"reproduced",IF(ABS(E20)&lt;=1*3,"rounding","to check"))</f>
        <v>reproduced</v>
      </c>
    </row>
    <row r="21" customFormat="false" ht="15" hidden="false" customHeight="false" outlineLevel="0" collapsed="false">
      <c r="A21" s="0" t="s">
        <v>149</v>
      </c>
      <c r="B21" s="3" t="s">
        <v>150</v>
      </c>
      <c r="C21" s="15" t="n">
        <v>705719</v>
      </c>
      <c r="D21" s="15" t="n">
        <f aca="false">'4. Around the tape'!C45</f>
        <v>705719</v>
      </c>
      <c r="E21" s="15" t="n">
        <f aca="false">D21-C21</f>
        <v>0</v>
      </c>
      <c r="F21" s="0" t="str">
        <f aca="false">IF(ABS(E21)&lt;=1,"reproduced",IF(ABS(E21)&lt;=1*3,"rounding","to check"))</f>
        <v>reproduced</v>
      </c>
    </row>
    <row r="22" customFormat="false" ht="15" hidden="false" customHeight="false" outlineLevel="0" collapsed="false">
      <c r="A22" s="0" t="s">
        <v>149</v>
      </c>
      <c r="B22" s="3" t="s">
        <v>151</v>
      </c>
      <c r="C22" s="15" t="n">
        <v>588137</v>
      </c>
      <c r="D22" s="15" t="n">
        <f aca="false">'4. Around the tape'!C46</f>
        <v>588136.9</v>
      </c>
      <c r="E22" s="15" t="n">
        <f aca="false">D22-C22</f>
        <v>-0.100000000209548</v>
      </c>
      <c r="F22" s="0" t="str">
        <f aca="false">IF(ABS(E22)&lt;=1,"reproduced",IF(ABS(E22)&lt;=1*3,"rounding","to check"))</f>
        <v>reproduced</v>
      </c>
    </row>
    <row r="23" customFormat="false" ht="15" hidden="false" customHeight="false" outlineLevel="0" collapsed="false">
      <c r="A23" s="0" t="s">
        <v>149</v>
      </c>
      <c r="B23" s="3" t="s">
        <v>152</v>
      </c>
      <c r="C23" s="15" t="n">
        <v>1306712</v>
      </c>
      <c r="D23" s="15" t="n">
        <f aca="false">'4. Around the tape'!C47</f>
        <v>1306711.588</v>
      </c>
      <c r="E23" s="15" t="n">
        <f aca="false">D23-C23</f>
        <v>-0.412000000244007</v>
      </c>
      <c r="F23" s="0" t="str">
        <f aca="false">IF(ABS(E23)&lt;=1,"reproduced",IF(ABS(E23)&lt;=1*3,"rounding","to check"))</f>
        <v>reproduced</v>
      </c>
    </row>
    <row r="24" customFormat="false" ht="15" hidden="false" customHeight="false" outlineLevel="0" collapsed="false">
      <c r="A24" s="0" t="s">
        <v>149</v>
      </c>
      <c r="B24" s="3" t="s">
        <v>153</v>
      </c>
      <c r="C24" s="15" t="n">
        <v>1985894</v>
      </c>
      <c r="D24" s="15" t="n">
        <f aca="false">'4. Around the tape'!C49</f>
        <v>1985893.688</v>
      </c>
      <c r="E24" s="15" t="n">
        <f aca="false">D24-C24</f>
        <v>-0.311999999918044</v>
      </c>
      <c r="F24" s="0" t="str">
        <f aca="false">IF(ABS(E24)&lt;=1,"reproduced",IF(ABS(E24)&lt;=1*3,"rounding","to check"))</f>
        <v>reproduced</v>
      </c>
    </row>
    <row r="25" customFormat="false" ht="15" hidden="false" customHeight="false" outlineLevel="0" collapsed="false">
      <c r="A25" s="0" t="s">
        <v>149</v>
      </c>
      <c r="B25" s="3" t="s">
        <v>154</v>
      </c>
      <c r="C25" s="39" t="n">
        <v>3.5</v>
      </c>
      <c r="D25" s="39" t="n">
        <f aca="false">'4. Around the tape'!C50</f>
        <v>3.53613548433048</v>
      </c>
      <c r="E25" s="39" t="n">
        <f aca="false">D25-C25</f>
        <v>0.0361354843304844</v>
      </c>
      <c r="F25" s="0" t="str">
        <f aca="false">IF(ABS(E25)&lt;=0.05,"reproduced",IF(ABS(E25)&lt;=0.05*3,"rounding","to check"))</f>
        <v>reproduced</v>
      </c>
    </row>
    <row r="26" customFormat="false" ht="15" hidden="false" customHeight="false" outlineLevel="0" collapsed="false">
      <c r="A26" s="0" t="s">
        <v>149</v>
      </c>
      <c r="B26" s="3" t="s">
        <v>155</v>
      </c>
      <c r="C26" s="15" t="n">
        <v>22900000</v>
      </c>
      <c r="D26" s="15" t="n">
        <f aca="false">'4. Around the tape'!C51</f>
        <v>22867866.710303</v>
      </c>
      <c r="E26" s="15" t="n">
        <f aca="false">D26-C26</f>
        <v>-32133.2896969728</v>
      </c>
      <c r="F26" s="0" t="str">
        <f aca="false">IF(ABS(E26)&lt;=50000,"reproduced",IF(ABS(E26)&lt;=50000*3,"rounding","to check"))</f>
        <v>reproduced</v>
      </c>
      <c r="H26" s="3" t="s">
        <v>156</v>
      </c>
    </row>
    <row r="27" customFormat="false" ht="15" hidden="false" customHeight="false" outlineLevel="0" collapsed="false">
      <c r="A27" s="0" t="s">
        <v>157</v>
      </c>
      <c r="B27" s="3" t="s">
        <v>158</v>
      </c>
      <c r="C27" s="15" t="n">
        <v>570874</v>
      </c>
      <c r="D27" s="15" t="n">
        <f aca="false">'4. Around the tape'!C53</f>
        <v>570873.6</v>
      </c>
      <c r="E27" s="15" t="n">
        <f aca="false">D27-C27</f>
        <v>-0.400000000139698</v>
      </c>
      <c r="F27" s="0" t="str">
        <f aca="false">IF(ABS(E27)&lt;=1,"reproduced",IF(ABS(E27)&lt;=1*3,"rounding","to check"))</f>
        <v>reproduced</v>
      </c>
    </row>
    <row r="28" customFormat="false" ht="15" hidden="false" customHeight="false" outlineLevel="0" collapsed="false">
      <c r="A28" s="0" t="s">
        <v>157</v>
      </c>
      <c r="B28" s="3" t="s">
        <v>159</v>
      </c>
      <c r="C28" s="38" t="n">
        <v>0.102</v>
      </c>
      <c r="D28" s="38" t="n">
        <f aca="false">'4. Around the tape'!C54</f>
        <v>0.101897134289463</v>
      </c>
      <c r="E28" s="38" t="n">
        <f aca="false">D28-C28</f>
        <v>-0.000102865710537373</v>
      </c>
      <c r="F28" s="0" t="str">
        <f aca="false">IF(ABS(E28)&lt;=0.0005,"reproduced",IF(ABS(E28)&lt;=0.0005*3,"rounding","to check"))</f>
        <v>reproduced</v>
      </c>
    </row>
    <row r="29" customFormat="false" ht="15" hidden="false" customHeight="false" outlineLevel="0" collapsed="false">
      <c r="A29" s="0" t="s">
        <v>149</v>
      </c>
      <c r="B29" s="3" t="s">
        <v>160</v>
      </c>
      <c r="C29" s="39" t="n">
        <v>11.5</v>
      </c>
      <c r="D29" s="39" t="n">
        <f aca="false">'4. Around the tape'!C56</f>
        <v>11.5151515151515</v>
      </c>
      <c r="E29" s="39" t="n">
        <f aca="false">D29-C29</f>
        <v>0.0151515151515138</v>
      </c>
      <c r="F29" s="0" t="str">
        <f aca="false">IF(ABS(E29)&lt;=0.05,"reproduced",IF(ABS(E29)&lt;=0.05*3,"rounding","to check"))</f>
        <v>reproduced</v>
      </c>
    </row>
    <row r="30" customFormat="false" ht="15" hidden="false" customHeight="false" outlineLevel="0" collapsed="false">
      <c r="A30" s="0" t="s">
        <v>161</v>
      </c>
      <c r="B30" s="3" t="s">
        <v>162</v>
      </c>
      <c r="C30" s="39" t="n">
        <v>10.2</v>
      </c>
      <c r="D30" s="39" t="n">
        <f aca="false">'4. Around the tape'!C57</f>
        <v>10.2064576501524</v>
      </c>
      <c r="E30" s="39" t="n">
        <f aca="false">D30-C30</f>
        <v>0.00645765015236854</v>
      </c>
      <c r="F30" s="0" t="str">
        <f aca="false">IF(ABS(E30)&lt;=0.05,"reproduced",IF(ABS(E30)&lt;=0.05*3,"rounding","to check"))</f>
        <v>reproduced</v>
      </c>
    </row>
    <row r="31" customFormat="false" ht="15" hidden="false" customHeight="false" outlineLevel="0" collapsed="false">
      <c r="A31" s="0" t="s">
        <v>163</v>
      </c>
      <c r="B31" s="3" t="s">
        <v>164</v>
      </c>
      <c r="C31" s="40" t="n">
        <v>8.69</v>
      </c>
      <c r="D31" s="40" t="n">
        <f aca="false">'4. Around the tape'!C58</f>
        <v>8.68528871381136</v>
      </c>
      <c r="E31" s="40" t="n">
        <f aca="false">D31-C31</f>
        <v>-0.00471128618864292</v>
      </c>
      <c r="F31" s="0" t="str">
        <f aca="false">IF(ABS(E31)&lt;=0.005,"reproduced",IF(ABS(E31)&lt;=0.005*3,"rounding","to check"))</f>
        <v>reproduced</v>
      </c>
      <c r="H31" s="3" t="s">
        <v>165</v>
      </c>
    </row>
    <row r="32" customFormat="false" ht="15" hidden="false" customHeight="false" outlineLevel="0" collapsed="false">
      <c r="A32" s="0" t="s">
        <v>166</v>
      </c>
      <c r="B32" s="3" t="s">
        <v>167</v>
      </c>
      <c r="C32" s="15" t="n">
        <v>4799864</v>
      </c>
      <c r="D32" s="15" t="n">
        <f aca="false">'2. The tape'!C21-'2. The tape'!C22+'2. The tape'!C23</f>
        <v>4799864</v>
      </c>
      <c r="E32" s="15" t="n">
        <f aca="false">D32-C32</f>
        <v>0</v>
      </c>
      <c r="F32" s="0" t="str">
        <f aca="false">IF(ABS(E32)&lt;=1,"reproduced",IF(ABS(E32)&lt;=1*3,"rounding","to check"))</f>
        <v>reproduced</v>
      </c>
    </row>
    <row r="33" customFormat="false" ht="15" hidden="false" customHeight="false" outlineLevel="0" collapsed="false">
      <c r="A33" s="0" t="s">
        <v>131</v>
      </c>
      <c r="B33" s="3" t="s">
        <v>168</v>
      </c>
      <c r="C33" s="15" t="n">
        <v>802586</v>
      </c>
      <c r="D33" s="15" t="n">
        <f aca="false">'2. The tape'!C22-'2. The tape'!C23</f>
        <v>802585.999999999</v>
      </c>
      <c r="E33" s="15" t="n">
        <f aca="false">D33-C33</f>
        <v>0</v>
      </c>
      <c r="F33" s="0" t="str">
        <f aca="false">IF(ABS(E33)&lt;=1,"reproduced",IF(ABS(E33)&lt;=1*3,"rounding","to check"))</f>
        <v>reproduced</v>
      </c>
    </row>
    <row r="34" customFormat="false" ht="15" hidden="false" customHeight="false" outlineLevel="0" collapsed="false">
      <c r="A34" s="0" t="s">
        <v>169</v>
      </c>
      <c r="B34" s="3" t="s">
        <v>170</v>
      </c>
      <c r="C34" s="12" t="n">
        <v>0</v>
      </c>
      <c r="D34" s="12" t="n">
        <f aca="false">'2. The tape'!C22+'2. The tape'!C23-SUMPRODUCT(ABS('2. The tape'!K4:K19))</f>
        <v>0</v>
      </c>
      <c r="E34" s="12" t="n">
        <f aca="false">D34-C34</f>
        <v>0</v>
      </c>
      <c r="F34" s="0" t="str">
        <f aca="false">IF(ABS(E34)&lt;=0.001,"reproduced",IF(ABS(E34)&lt;=0.001*3,"rounding","to check"))</f>
        <v>reproduced</v>
      </c>
      <c r="H34" s="3" t="s">
        <v>171</v>
      </c>
    </row>
    <row r="36" customFormat="false" ht="15" hidden="false" customHeight="false" outlineLevel="0" collapsed="false">
      <c r="A36" s="16" t="s">
        <v>172</v>
      </c>
      <c r="C36" s="16" t="n">
        <f aca="false">COUNTIF(F6:F34,"reproduced")</f>
        <v>29</v>
      </c>
    </row>
    <row r="37" customFormat="false" ht="15" hidden="false" customHeight="false" outlineLevel="0" collapsed="false">
      <c r="A37" s="16" t="s">
        <v>173</v>
      </c>
      <c r="C37" s="16" t="n">
        <f aca="false">COUNTIF(F6:F34,"rounding")</f>
        <v>0</v>
      </c>
    </row>
    <row r="38" customFormat="false" ht="15" hidden="false" customHeight="false" outlineLevel="0" collapsed="false">
      <c r="A38" s="16" t="s">
        <v>174</v>
      </c>
      <c r="C38" s="16" t="n">
        <f aca="false">COUNTIF(F6:F34,"to check")</f>
        <v>0</v>
      </c>
    </row>
    <row r="39" customFormat="false" ht="15" hidden="false" customHeight="false" outlineLevel="0" collapsed="false">
      <c r="A39" s="16" t="s">
        <v>175</v>
      </c>
      <c r="C39" s="16" t="str">
        <f aca="false">IF(COUNTIF(F6:F34,"reproduced")+COUNTIF(F6:F34,"rounding")=29,"ALL OK","SOME FAIL")</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2026-08-25T14:58:44Z</dcterms:created>
  <dc:creator>openpyxl</dc:creator>
  <dc:description/>
  <dc:language>en-US</dc:language>
  <cp:lastModifiedBy/>
  <dcterms:modified xsi:type="dcterms:W3CDTF">2026-09-23T22:40:44Z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