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2. The test" sheetId="2" state="visible" r:id="rId4"/>
    <sheet name="3. The alternative" sheetId="3" state="visible" r:id="rId5"/>
    <sheet name="4. The decision" sheetId="4" state="visible" r:id="rId6"/>
    <sheet name="5. 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<sst xmlns="http://schemas.openxmlformats.org/spreadsheetml/2006/main" count="130" uniqueCount="108">
  <si>
    <t xml:space="preserve">Right-size, convert or hold</t>
  </si>
  <si>
    <t xml:space="preserve">Companion workbook to Retail Real Estate</t>
  </si>
  <si>
    <t xml:space="preserve">Some retail floorspace has a negative value as retail: it consumes more in works, voids and irrecoverable occupancy costs than any tenant of that trade can pay to occupy it.</t>
  </si>
  <si>
    <t xml:space="preserve">Chapters 17 and 18 of the book are this file.</t>
  </si>
  <si>
    <t xml:space="preserve">The test</t>
  </si>
  <si>
    <t xml:space="preserve">Sustainable rent, less the annualised cost of one full re-letting cycle. If the answer is negative, that unit is not underperforming — it is subtracting.</t>
  </si>
  <si>
    <t xml:space="preserve">Run it on every unit, once a year. It takes ten minutes each.</t>
  </si>
  <si>
    <t xml:space="preserve">The comparison</t>
  </si>
  <si>
    <t xml:space="preserve">The same space let to a use with a longer lease and a lighter capital cycle, less the conversion works — and the alternative-use rent at which conversion merely ties.</t>
  </si>
  <si>
    <t xml:space="preserve">Conventions</t>
  </si>
  <si>
    <t xml:space="preserve">Blue text on a pale blue fill — an input, you may edit these.</t>
  </si>
  <si>
    <t xml:space="preserve">Yellow fill — the carrying assumption of the sheet, the one to argue about first.</t>
  </si>
  <si>
    <t xml:space="preserve">Black text — a formula, do not overtype these.</t>
  </si>
  <si>
    <t xml:space="preserve">Nothing is locked, protected or watermarked. No macros, no external links.</t>
  </si>
  <si>
    <t xml:space="preserve">Revised 24 September 2026. Sheet 3, row 27: the alternative-use rent at which conversion ties with retail is now solved exactly, 47.82 EUR/m2, the 48 the book prints. The first version was an approximation that left out the cycle costs of the alternative use and returned 29.84. Sheet 4 still carries the two re-runs of the ten-year cash flow as values (the centre without the discount unit and the vacant space); The_Ten_Year_Cash_Flow.xlsx reproduces them with those two areas set to zero. The checks sheet ends ALL OK.</t>
  </si>
  <si>
    <t xml:space="preserve">Does this space earn anything as retail?</t>
  </si>
  <si>
    <t xml:space="preserve">Area (m2)</t>
  </si>
  <si>
    <t xml:space="preserve">Trade ceiling</t>
  </si>
  <si>
    <t xml:space="preserve">Sales (EUR/m2)</t>
  </si>
  <si>
    <t xml:space="preserve">Service charge and rates (EUR/m2)</t>
  </si>
  <si>
    <t xml:space="preserve">Landlord's works per cycle (EUR/m2)</t>
  </si>
  <si>
    <t xml:space="preserve">Void (quarters)</t>
  </si>
  <si>
    <t xml:space="preserve">Rent-free (quarters)</t>
  </si>
  <si>
    <t xml:space="preserve">Term certain (quarters)</t>
  </si>
  <si>
    <t xml:space="preserve">Letting and legal fees</t>
  </si>
  <si>
    <t xml:space="preserve">Non-recoverable costs</t>
  </si>
  <si>
    <t xml:space="preserve">Borne by the landlord while empty (EUR/m2)</t>
  </si>
  <si>
    <t xml:space="preserve">Exit yield</t>
  </si>
  <si>
    <t xml:space="preserve">Sustainable rent (EUR/m2)</t>
  </si>
  <si>
    <t xml:space="preserve">Cycle length (years)</t>
  </si>
  <si>
    <t xml:space="preserve">Years the space pays</t>
  </si>
  <si>
    <t xml:space="preserve">Rent collected over the cycle</t>
  </si>
  <si>
    <t xml:space="preserve">Less non-recoverable costs</t>
  </si>
  <si>
    <t xml:space="preserve">Less occupancy costs while empty</t>
  </si>
  <si>
    <t xml:space="preserve">Less landlord's works</t>
  </si>
  <si>
    <t xml:space="preserve">Less letting and legal fees</t>
  </si>
  <si>
    <t xml:space="preserve">Net over the cycle (EUR/m2)</t>
  </si>
  <si>
    <t xml:space="preserve">Net per year (EUR/m2)</t>
  </si>
  <si>
    <t xml:space="preserve">Value as retail</t>
  </si>
  <si>
    <t xml:space="preserve">If the figure in B26 is negative, this space is worth less than nothing as retail. The rent roll will still show it earning rent.</t>
  </si>
  <si>
    <t xml:space="preserve">The same space, in a different use</t>
  </si>
  <si>
    <t xml:space="preserve">Alternative-use rent (EUR/m2)</t>
  </si>
  <si>
    <t xml:space="preserve">Conversion works (EUR/m2)</t>
  </si>
  <si>
    <t xml:space="preserve">Period before income (quarters)</t>
  </si>
  <si>
    <t xml:space="preserve">Void per cycle (quarters)</t>
  </si>
  <si>
    <t xml:space="preserve">Rent-free per cycle (quarters)</t>
  </si>
  <si>
    <t xml:space="preserve">Yield on the converted space</t>
  </si>
  <si>
    <t xml:space="preserve">Discount rate a year</t>
  </si>
  <si>
    <t xml:space="preserve">Borne by the landlord during the works (EUR/m2 a year)</t>
  </si>
  <si>
    <t xml:space="preserve">Value on completion</t>
  </si>
  <si>
    <t xml:space="preserve">Discounted back</t>
  </si>
  <si>
    <t xml:space="preserve">Less conversion works</t>
  </si>
  <si>
    <t xml:space="preserve">Less service charge and rates during the works</t>
  </si>
  <si>
    <t xml:space="preserve">Value today</t>
  </si>
  <si>
    <t xml:space="preserve">Against the retail use</t>
  </si>
  <si>
    <t xml:space="preserve">Alternative-use rent at which conversion merely ties with retail, in steady state (EUR/m2)</t>
  </si>
  <si>
    <t xml:space="preserve">Exact: the rent at which row 24 equals the retail value of sheet 2, cycle costs of the alternative use included. The first version ignored them and gave 29.84.</t>
  </si>
  <si>
    <t xml:space="preserve">Right-sizing, valued by rebuilding the cash flow</t>
  </si>
  <si>
    <t xml:space="preserve">Row 24 of the previous sheet is a STEADY-STATE comparison. It is not additive to the value of the centre: the ten-year cash flow already carries these square metres, and it carries them at a different figure. The only correct way to price the decision is to rebuild the flow without them and add back what they become. That is what this sheet does, and it is Chapter 18 of the book.</t>
  </si>
  <si>
    <t xml:space="preserve">Base case: the whole centre as retail</t>
  </si>
  <si>
    <t xml:space="preserve">The centre without the discount unit and the vacant space</t>
  </si>
  <si>
    <t xml:space="preserve">What those square metres contribute as retail</t>
  </si>
  <si>
    <t xml:space="preserve">Vacant space, converted on day one</t>
  </si>
  <si>
    <t xml:space="preserve">Discount unit: contractual rent to expiry, discounted</t>
  </si>
  <si>
    <t xml:space="preserve">Discount unit: converted at expiry, discounted back</t>
  </si>
  <si>
    <t xml:space="preserve">What those square metres contribute, converted</t>
  </si>
  <si>
    <t xml:space="preserve">Gain from right-sizing</t>
  </si>
  <si>
    <t xml:space="preserve">Value of the centre, right-sized</t>
  </si>
  <si>
    <t xml:space="preserve">Acquisition costs</t>
  </si>
  <si>
    <t xml:space="preserve">Rows 8 to 10 come from the ten-year cash flow workbook, re-run with the discount unit and the vacant space removed. Change an assumption there and bring the new figures across. Rows 4 and 5 are the same model, run twice.</t>
  </si>
  <si>
    <t xml:space="preserve">Checks — every figure the book prints, against what this workbook computes</t>
  </si>
  <si>
    <t xml:space="preserve">Retail Real Estate</t>
  </si>
  <si>
    <t xml:space="preserve">Column D is a live formula pointing into the model, not a re-typed number. Change an input and this sheet moves with it.</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</si>
  <si>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</si>
  <si>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</si>
  <si>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</si>
  <si>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</si>
  <si>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</si>
  <si>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</si>
  <si>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</si>
  <si>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Ch. 17</t>
  </si>
  <si>
    <t xml:space="preserve">Sustainable rent of the marginal space (EUR/m2)</t>
  </si>
  <si>
    <t xml:space="preserve">One unit of the last digit the book prints for that figure.</t>
  </si>
  <si>
    <t xml:space="preserve">Net per year as retail (EUR/m2)</t>
  </si>
  <si>
    <t xml:space="preserve">Value as retail (EUR)</t>
  </si>
  <si>
    <t xml:space="preserve">Ch. 18</t>
  </si>
  <si>
    <t xml:space="preserve">Net per year in the alternative use (EUR/m2)</t>
  </si>
  <si>
    <t xml:space="preserve">Value of the alternative use on completion (EUR)</t>
  </si>
  <si>
    <t xml:space="preserve">Borne by the landlord during the works (EUR)</t>
  </si>
  <si>
    <t xml:space="preserve">Value of the alternative use today (EUR)</t>
  </si>
  <si>
    <t xml:space="preserve">Gain over the retail use, steady state (EUR)</t>
  </si>
  <si>
    <t xml:space="preserve">Those square metres, kept as retail (EUR)</t>
  </si>
  <si>
    <t xml:space="preserve">Those square metres, converted (EUR)</t>
  </si>
  <si>
    <t xml:space="preserve">Gain from right-sizing (EUR)</t>
  </si>
  <si>
    <t xml:space="preserve">Value of the centre, right-sized (EUR)</t>
  </si>
  <si>
    <t xml:space="preserve">Alternative-use rent at which conversion ties with retail (EUR/m2)</t>
  </si>
  <si>
    <t xml:space="preserve">revised formula: the first file printed 29.84 against the 48 of the book</t>
  </si>
  <si>
    <t xml:space="preserve">Gain from right-sizing, share of the value of the centre</t>
  </si>
  <si>
    <t xml:space="preserve">Conversion works (EUR)</t>
  </si>
  <si>
    <t xml:space="preserve">printed 2.56 million</t>
  </si>
  <si>
    <t xml:space="preserve">Cycle of the alternative use against the retail one (times)</t>
  </si>
  <si>
    <t xml:space="preserve">Any</t>
  </si>
  <si>
    <t xml:space="preserve">At the rent of B27, the converted value equals the retail value (difference)</t>
  </si>
  <si>
    <t xml:space="preserve">holds for any inputs</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</si>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</sst>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10">
    <numFmt numFmtId="164" formatCode="General"/>
    <numFmt numFmtId="165" formatCode="#,##0"/>
    <numFmt numFmtId="166" formatCode="0.00%"/>
    <numFmt numFmtId="167" formatCode="#,##0.00"/>
    <numFmt numFmtId="168" formatCode="0"/>
    <numFmt numFmtId="169" formatCode="0.00"/>
    <numFmt numFmtId="170" formatCode="General"/>
    <numFmt numFmtId="171" formatCode="0.0%"/>
    <numFmt numFmtId="172" formatCode="0.0"/>
    <numFmt numFmtId="173" formatCode="#,##0.000"/>
  </numFmts>
  <fonts count="12">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sz val="11"/>
      <name val="Cambria"/>
      <family val="0"/>
      <charset val="1"/>
    </font>
    <font>
      <b val="true"/>
      <sz val="13"/>
      <color rgb="FF1F3864"/>
      <name val="Cambria"/>
      <family val="0"/>
      <charset val="1"/>
    </font>
    <font>
      <sz val="11"/>
      <color rgb="FF1F4E79"/>
      <name val="Cambria"/>
      <family val="0"/>
      <charset val="1"/>
    </font>
    <font>
      <b val="true"/>
      <sz val="11"/>
      <color rgb="FF1F4E79"/>
      <name val="Cambria"/>
      <family val="0"/>
      <charset val="1"/>
    </font>
    <font>
      <b val="true"/>
      <sz val="11"/>
      <name val="Cambria"/>
      <family val="0"/>
      <charset val="1"/>
    </font>
  </fonts>
  <fills count="4">
    <fill>
      <patternFill patternType="none"/>
    </fill>
    <fill>
      <patternFill patternType="gray125"/>
    </fill>
    <fill>
      <patternFill patternType="solid">
        <fgColor rgb="FFDCE9F7"/>
        <bgColor rgb="FFCCFFFF"/>
      </patternFill>
    </fill>
    <fill>
      <patternFill patternType="solid">
        <fgColor rgb="FFFFF2CC"/>
        <bgColor rgb="FFFFFFFF"/>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2" borderId="0" xfId="0" applyFont="true" applyBorder="false" applyAlignment="false" applyProtection="false">
      <alignment horizontal="general" vertical="bottom" textRotation="0" wrapText="false" indent="0" shrinkToFit="false"/>
      <protection locked="true" hidden="false"/>
    </xf>
    <xf numFmtId="166" fontId="10" fillId="3" borderId="0" xfId="0" applyFont="true" applyBorder="false" applyAlignment="false" applyProtection="false">
      <alignment horizontal="general" vertical="bottom" textRotation="0" wrapText="false" indent="0" shrinkToFit="false"/>
      <protection locked="true" hidden="false"/>
    </xf>
    <xf numFmtId="167" fontId="10" fillId="3" borderId="0" xfId="0" applyFont="true" applyBorder="false" applyAlignment="false" applyProtection="false">
      <alignment horizontal="general" vertical="bottom" textRotation="0" wrapText="false" indent="0" shrinkToFit="false"/>
      <protection locked="true" hidden="false"/>
    </xf>
    <xf numFmtId="167" fontId="9" fillId="2" borderId="0" xfId="0" applyFont="true" applyBorder="false" applyAlignment="false" applyProtection="false">
      <alignment horizontal="general" vertical="bottom" textRotation="0" wrapText="false" indent="0" shrinkToFit="false"/>
      <protection locked="true" hidden="false"/>
    </xf>
    <xf numFmtId="168" fontId="9" fillId="2" borderId="0" xfId="0" applyFont="true" applyBorder="false" applyAlignment="false" applyProtection="false">
      <alignment horizontal="general" vertical="bottom" textRotation="0" wrapText="false" indent="0" shrinkToFit="false"/>
      <protection locked="true" hidden="false"/>
    </xf>
    <xf numFmtId="166" fontId="9" fillId="2"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25.5" hidden="false" customHeight="true" outlineLevel="0" collapsed="false">
      <c r="A4" s="3" t="s">
        <v>2</v>
      </c>
    </row>
    <row r="5" customFormat="false" ht="15" hidden="false" customHeight="true" outlineLevel="0" collapsed="false">
      <c r="A5" s="3" t="s">
        <v>3</v>
      </c>
    </row>
    <row r="7" customFormat="false" ht="15" hidden="false" customHeight="false" outlineLevel="0" collapsed="false">
      <c r="A7" s="4" t="s">
        <v>4</v>
      </c>
    </row>
    <row r="8" customFormat="false" ht="25.5" hidden="false" customHeight="true" outlineLevel="0" collapsed="false">
      <c r="A8" s="3" t="s">
        <v>5</v>
      </c>
    </row>
    <row r="9" customFormat="false" ht="15" hidden="false" customHeight="true" outlineLevel="0" collapsed="false">
      <c r="A9" s="3" t="s">
        <v>6</v>
      </c>
    </row>
    <row r="11" customFormat="false" ht="15" hidden="false" customHeight="false" outlineLevel="0" collapsed="false">
      <c r="A11" s="4" t="s">
        <v>7</v>
      </c>
    </row>
    <row r="12" customFormat="false" ht="25.5" hidden="false" customHeight="true" outlineLevel="0" collapsed="false">
      <c r="A12" s="3" t="s">
        <v>8</v>
      </c>
    </row>
    <row r="14" customFormat="false" ht="15" hidden="false" customHeight="false" outlineLevel="0" collapsed="false">
      <c r="A14" s="4" t="s">
        <v>9</v>
      </c>
    </row>
    <row r="15" customFormat="false" ht="15" hidden="false" customHeight="true" outlineLevel="0" collapsed="false">
      <c r="A15" s="3" t="s">
        <v>10</v>
      </c>
    </row>
    <row r="16" customFormat="false" ht="15" hidden="false" customHeight="true" outlineLevel="0" collapsed="false">
      <c r="A16" s="3" t="s">
        <v>11</v>
      </c>
    </row>
    <row r="17" customFormat="false" ht="15" hidden="false" customHeight="true" outlineLevel="0" collapsed="false">
      <c r="A17" s="3" t="s">
        <v>12</v>
      </c>
    </row>
    <row r="18" customFormat="false" ht="15" hidden="false" customHeight="true" outlineLevel="0" collapsed="false">
      <c r="A18" s="3" t="s">
        <v>13</v>
      </c>
    </row>
    <row r="20" customFormat="false" ht="75" hidden="false" customHeight="true" outlineLevel="0" collapsed="false">
      <c r="A20" s="5"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8"/>
  </cols>
  <sheetData>
    <row r="1" customFormat="false" ht="16.15" hidden="false" customHeight="false" outlineLevel="0" collapsed="false">
      <c r="A1" s="6" t="s">
        <v>15</v>
      </c>
    </row>
    <row r="3" customFormat="false" ht="15" hidden="false" customHeight="false" outlineLevel="0" collapsed="false">
      <c r="A3" s="0" t="s">
        <v>16</v>
      </c>
      <c r="B3" s="7" t="n">
        <v>5950</v>
      </c>
    </row>
    <row r="4" customFormat="false" ht="15" hidden="false" customHeight="false" outlineLevel="0" collapsed="false">
      <c r="A4" s="0" t="s">
        <v>17</v>
      </c>
      <c r="B4" s="8" t="n">
        <v>0.07</v>
      </c>
    </row>
    <row r="5" customFormat="false" ht="15" hidden="false" customHeight="false" outlineLevel="0" collapsed="false">
      <c r="A5" s="0" t="s">
        <v>18</v>
      </c>
      <c r="B5" s="9" t="n">
        <v>2450</v>
      </c>
    </row>
    <row r="6" customFormat="false" ht="15" hidden="false" customHeight="false" outlineLevel="0" collapsed="false">
      <c r="A6" s="0" t="s">
        <v>19</v>
      </c>
      <c r="B6" s="10" t="n">
        <v>120</v>
      </c>
    </row>
    <row r="7" customFormat="false" ht="15" hidden="false" customHeight="false" outlineLevel="0" collapsed="false">
      <c r="A7" s="0" t="s">
        <v>20</v>
      </c>
      <c r="B7" s="10" t="n">
        <v>180</v>
      </c>
    </row>
    <row r="8" customFormat="false" ht="15" hidden="false" customHeight="false" outlineLevel="0" collapsed="false">
      <c r="A8" s="0" t="s">
        <v>21</v>
      </c>
      <c r="B8" s="11" t="n">
        <v>4</v>
      </c>
    </row>
    <row r="9" customFormat="false" ht="15" hidden="false" customHeight="false" outlineLevel="0" collapsed="false">
      <c r="A9" s="0" t="s">
        <v>22</v>
      </c>
      <c r="B9" s="11" t="n">
        <v>2</v>
      </c>
    </row>
    <row r="10" customFormat="false" ht="15" hidden="false" customHeight="false" outlineLevel="0" collapsed="false">
      <c r="A10" s="0" t="s">
        <v>23</v>
      </c>
      <c r="B10" s="11" t="n">
        <v>20</v>
      </c>
    </row>
    <row r="11" customFormat="false" ht="15" hidden="false" customHeight="false" outlineLevel="0" collapsed="false">
      <c r="A11" s="0" t="s">
        <v>24</v>
      </c>
      <c r="B11" s="12" t="n">
        <v>0.15</v>
      </c>
    </row>
    <row r="12" customFormat="false" ht="15" hidden="false" customHeight="false" outlineLevel="0" collapsed="false">
      <c r="A12" s="0" t="s">
        <v>25</v>
      </c>
      <c r="B12" s="12" t="n">
        <v>0.05</v>
      </c>
    </row>
    <row r="13" customFormat="false" ht="15" hidden="false" customHeight="false" outlineLevel="0" collapsed="false">
      <c r="A13" s="0" t="s">
        <v>26</v>
      </c>
      <c r="B13" s="10" t="n">
        <v>118</v>
      </c>
    </row>
    <row r="14" customFormat="false" ht="15" hidden="false" customHeight="false" outlineLevel="0" collapsed="false">
      <c r="A14" s="0" t="s">
        <v>27</v>
      </c>
      <c r="B14" s="12" t="n">
        <v>0.0825</v>
      </c>
    </row>
    <row r="16" customFormat="false" ht="15" hidden="false" customHeight="false" outlineLevel="0" collapsed="false">
      <c r="A16" s="0" t="s">
        <v>28</v>
      </c>
      <c r="B16" s="13" t="n">
        <f aca="false">MAX(0,B4*B5-B6)</f>
        <v>51.5</v>
      </c>
    </row>
    <row r="17" customFormat="false" ht="15" hidden="false" customHeight="false" outlineLevel="0" collapsed="false">
      <c r="A17" s="0" t="s">
        <v>29</v>
      </c>
      <c r="B17" s="14" t="n">
        <f aca="false">(B8+B10)/4</f>
        <v>6</v>
      </c>
    </row>
    <row r="18" customFormat="false" ht="15" hidden="false" customHeight="false" outlineLevel="0" collapsed="false">
      <c r="A18" s="0" t="s">
        <v>30</v>
      </c>
      <c r="B18" s="14" t="n">
        <f aca="false">(B10-B9)/4</f>
        <v>4.5</v>
      </c>
    </row>
    <row r="19" customFormat="false" ht="15" hidden="false" customHeight="false" outlineLevel="0" collapsed="false">
      <c r="A19" s="0" t="s">
        <v>31</v>
      </c>
      <c r="B19" s="13" t="n">
        <f aca="false">B16*B18</f>
        <v>231.75</v>
      </c>
    </row>
    <row r="20" customFormat="false" ht="15" hidden="false" customHeight="false" outlineLevel="0" collapsed="false">
      <c r="A20" s="0" t="s">
        <v>32</v>
      </c>
      <c r="B20" s="13" t="n">
        <f aca="false">-B19*B12</f>
        <v>-11.5875</v>
      </c>
    </row>
    <row r="21" customFormat="false" ht="15" hidden="false" customHeight="false" outlineLevel="0" collapsed="false">
      <c r="A21" s="0" t="s">
        <v>33</v>
      </c>
      <c r="B21" s="13" t="n">
        <f aca="false">-B13*B8/4</f>
        <v>-118</v>
      </c>
    </row>
    <row r="22" customFormat="false" ht="15" hidden="false" customHeight="false" outlineLevel="0" collapsed="false">
      <c r="A22" s="0" t="s">
        <v>34</v>
      </c>
      <c r="B22" s="13" t="n">
        <f aca="false">-B7</f>
        <v>-180</v>
      </c>
    </row>
    <row r="23" customFormat="false" ht="15" hidden="false" customHeight="false" outlineLevel="0" collapsed="false">
      <c r="A23" s="0" t="s">
        <v>35</v>
      </c>
      <c r="B23" s="13" t="n">
        <f aca="false">-B11*B16</f>
        <v>-7.725</v>
      </c>
    </row>
    <row r="24" customFormat="false" ht="15" hidden="false" customHeight="false" outlineLevel="0" collapsed="false">
      <c r="A24" s="0" t="s">
        <v>36</v>
      </c>
      <c r="B24" s="13" t="n">
        <f aca="false">SUM(B19:B23)</f>
        <v>-85.5624999999999</v>
      </c>
    </row>
    <row r="25" customFormat="false" ht="15" hidden="false" customHeight="false" outlineLevel="0" collapsed="false">
      <c r="A25" s="0" t="s">
        <v>37</v>
      </c>
      <c r="B25" s="15" t="n">
        <f aca="false">B24/B17</f>
        <v>-14.2604166666667</v>
      </c>
    </row>
    <row r="26" customFormat="false" ht="15" hidden="false" customHeight="false" outlineLevel="0" collapsed="false">
      <c r="A26" s="0" t="s">
        <v>38</v>
      </c>
      <c r="B26" s="16" t="n">
        <f aca="false">B25/B14*B3</f>
        <v>-1028478.53535353</v>
      </c>
    </row>
    <row r="28" customFormat="false" ht="22.35" hidden="false" customHeight="false" outlineLevel="0" collapsed="false">
      <c r="A28" s="17" t="s">
        <v>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8"/>
  </cols>
  <sheetData>
    <row r="1" customFormat="false" ht="16.15" hidden="false" customHeight="false" outlineLevel="0" collapsed="false">
      <c r="A1" s="6" t="s">
        <v>40</v>
      </c>
    </row>
    <row r="3" customFormat="false" ht="15" hidden="false" customHeight="false" outlineLevel="0" collapsed="false">
      <c r="A3" s="0" t="s">
        <v>41</v>
      </c>
      <c r="B3" s="9" t="n">
        <v>85</v>
      </c>
    </row>
    <row r="4" customFormat="false" ht="15" hidden="false" customHeight="false" outlineLevel="0" collapsed="false">
      <c r="A4" s="0" t="s">
        <v>42</v>
      </c>
      <c r="B4" s="9" t="n">
        <v>430</v>
      </c>
    </row>
    <row r="5" customFormat="false" ht="15" hidden="false" customHeight="false" outlineLevel="0" collapsed="false">
      <c r="A5" s="0" t="s">
        <v>43</v>
      </c>
      <c r="B5" s="11" t="n">
        <v>6</v>
      </c>
    </row>
    <row r="6" customFormat="false" ht="15" hidden="false" customHeight="false" outlineLevel="0" collapsed="false">
      <c r="A6" s="0" t="s">
        <v>23</v>
      </c>
      <c r="B6" s="11" t="n">
        <v>60</v>
      </c>
    </row>
    <row r="7" customFormat="false" ht="15" hidden="false" customHeight="false" outlineLevel="0" collapsed="false">
      <c r="A7" s="0" t="s">
        <v>20</v>
      </c>
      <c r="B7" s="10" t="n">
        <v>80</v>
      </c>
    </row>
    <row r="8" customFormat="false" ht="15" hidden="false" customHeight="false" outlineLevel="0" collapsed="false">
      <c r="A8" s="0" t="s">
        <v>44</v>
      </c>
      <c r="B8" s="11" t="n">
        <v>2</v>
      </c>
    </row>
    <row r="9" customFormat="false" ht="15" hidden="false" customHeight="false" outlineLevel="0" collapsed="false">
      <c r="A9" s="0" t="s">
        <v>45</v>
      </c>
      <c r="B9" s="11" t="n">
        <v>2</v>
      </c>
    </row>
    <row r="10" customFormat="false" ht="15" hidden="false" customHeight="false" outlineLevel="0" collapsed="false">
      <c r="A10" s="0" t="s">
        <v>24</v>
      </c>
      <c r="B10" s="12" t="n">
        <v>0.1</v>
      </c>
    </row>
    <row r="11" customFormat="false" ht="15" hidden="false" customHeight="false" outlineLevel="0" collapsed="false">
      <c r="A11" s="0" t="s">
        <v>26</v>
      </c>
      <c r="B11" s="10" t="n">
        <v>45</v>
      </c>
    </row>
    <row r="12" customFormat="false" ht="15" hidden="false" customHeight="false" outlineLevel="0" collapsed="false">
      <c r="A12" s="0" t="s">
        <v>46</v>
      </c>
      <c r="B12" s="12" t="n">
        <v>0.0725</v>
      </c>
    </row>
    <row r="13" customFormat="false" ht="15" hidden="false" customHeight="false" outlineLevel="0" collapsed="false">
      <c r="A13" s="0" t="s">
        <v>47</v>
      </c>
      <c r="B13" s="12" t="n">
        <v>0.085</v>
      </c>
    </row>
    <row r="14" customFormat="false" ht="15" hidden="false" customHeight="false" outlineLevel="0" collapsed="false">
      <c r="A14" s="0" t="s">
        <v>48</v>
      </c>
      <c r="B14" s="10" t="n">
        <v>118</v>
      </c>
    </row>
    <row r="16" customFormat="false" ht="15" hidden="false" customHeight="false" outlineLevel="0" collapsed="false">
      <c r="A16" s="0" t="s">
        <v>29</v>
      </c>
      <c r="B16" s="14" t="n">
        <f aca="false">(B8+B6)/4</f>
        <v>15.5</v>
      </c>
    </row>
    <row r="17" customFormat="false" ht="15" hidden="false" customHeight="false" outlineLevel="0" collapsed="false">
      <c r="A17" s="0" t="s">
        <v>30</v>
      </c>
      <c r="B17" s="14" t="n">
        <f aca="false">(B6-B9)/4</f>
        <v>14.5</v>
      </c>
    </row>
    <row r="18" customFormat="false" ht="15" hidden="false" customHeight="false" outlineLevel="0" collapsed="false">
      <c r="A18" s="0" t="s">
        <v>36</v>
      </c>
      <c r="B18" s="13" t="n">
        <f aca="false">B3*B17*(1-'2. The test'!B12)-B11*B8/4-B7-B10*B3</f>
        <v>1059.875</v>
      </c>
    </row>
    <row r="19" customFormat="false" ht="15" hidden="false" customHeight="false" outlineLevel="0" collapsed="false">
      <c r="A19" s="0" t="s">
        <v>37</v>
      </c>
      <c r="B19" s="13" t="n">
        <f aca="false">B18/B16</f>
        <v>68.3790322580645</v>
      </c>
    </row>
    <row r="20" customFormat="false" ht="15" hidden="false" customHeight="false" outlineLevel="0" collapsed="false">
      <c r="A20" s="0" t="s">
        <v>49</v>
      </c>
      <c r="B20" s="18" t="n">
        <f aca="false">B19/B12*'2. The test'!B3</f>
        <v>5611796.44048943</v>
      </c>
    </row>
    <row r="21" customFormat="false" ht="15" hidden="false" customHeight="false" outlineLevel="0" collapsed="false">
      <c r="A21" s="0" t="s">
        <v>50</v>
      </c>
      <c r="B21" s="18" t="n">
        <f aca="false">B20/(1+((1+B13)^0.25-1))^B5</f>
        <v>4965435.0097068</v>
      </c>
    </row>
    <row r="22" customFormat="false" ht="15" hidden="false" customHeight="false" outlineLevel="0" collapsed="false">
      <c r="A22" s="0" t="s">
        <v>51</v>
      </c>
      <c r="B22" s="18" t="n">
        <f aca="false">-'2. The test'!B3*B4</f>
        <v>-2558500</v>
      </c>
    </row>
    <row r="23" customFormat="false" ht="15" hidden="false" customHeight="false" outlineLevel="0" collapsed="false">
      <c r="A23" s="0" t="s">
        <v>52</v>
      </c>
      <c r="B23" s="18" t="n">
        <f aca="false">-'2. The test'!B3*B14*B5/4</f>
        <v>-1053150</v>
      </c>
    </row>
    <row r="24" customFormat="false" ht="15" hidden="false" customHeight="false" outlineLevel="0" collapsed="false">
      <c r="A24" s="0" t="s">
        <v>53</v>
      </c>
      <c r="B24" s="16" t="n">
        <f aca="false">B21+B22+B23</f>
        <v>1353785.0097068</v>
      </c>
    </row>
    <row r="25" customFormat="false" ht="15" hidden="false" customHeight="false" outlineLevel="0" collapsed="false">
      <c r="A25" s="0" t="s">
        <v>54</v>
      </c>
      <c r="B25" s="16" t="n">
        <f aca="false">B24-'2. The test'!B26</f>
        <v>2382263.54506034</v>
      </c>
    </row>
    <row r="27" customFormat="false" ht="15" hidden="false" customHeight="false" outlineLevel="0" collapsed="false">
      <c r="A27" s="0" t="s">
        <v>55</v>
      </c>
      <c r="B27" s="13" t="n">
        <f aca="false">(('2. The test'!B26+'2. The test'!B3*(B4+B14*B5/4))*B12*B16*(1+((1+B13)^0.25-1))^B5/'2. The test'!B3+B11*B8/4+B7)/(B17*(1-'2. The test'!B12)-B10)</f>
        <v>47.81568236414</v>
      </c>
    </row>
    <row r="28" customFormat="false" ht="22.35" hidden="false" customHeight="false" outlineLevel="0" collapsed="false">
      <c r="A28" s="17" t="s">
        <v>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18"/>
  </cols>
  <sheetData>
    <row r="1" customFormat="false" ht="16.15" hidden="false" customHeight="false" outlineLevel="0" collapsed="false">
      <c r="A1" s="6" t="s">
        <v>57</v>
      </c>
    </row>
    <row r="2" customFormat="false" ht="57.75" hidden="false" customHeight="true" outlineLevel="0" collapsed="false">
      <c r="A2" s="17" t="s">
        <v>58</v>
      </c>
    </row>
    <row r="4" customFormat="false" ht="15" hidden="false" customHeight="false" outlineLevel="0" collapsed="false">
      <c r="A4" s="0" t="s">
        <v>59</v>
      </c>
      <c r="B4" s="18" t="n">
        <v>44583440.6468144</v>
      </c>
    </row>
    <row r="5" customFormat="false" ht="15" hidden="false" customHeight="false" outlineLevel="0" collapsed="false">
      <c r="A5" s="0" t="s">
        <v>60</v>
      </c>
      <c r="B5" s="18" t="n">
        <v>42535852.5161919</v>
      </c>
    </row>
    <row r="6" customFormat="false" ht="15" hidden="false" customHeight="false" outlineLevel="0" collapsed="false">
      <c r="A6" s="0" t="s">
        <v>61</v>
      </c>
      <c r="B6" s="16" t="n">
        <f aca="false">B4-B5</f>
        <v>2047588.13062248</v>
      </c>
    </row>
    <row r="8" customFormat="false" ht="15" hidden="false" customHeight="false" outlineLevel="0" collapsed="false">
      <c r="A8" s="0" t="s">
        <v>62</v>
      </c>
      <c r="B8" s="18" t="n">
        <v>466430.12939478</v>
      </c>
    </row>
    <row r="9" customFormat="false" ht="15" hidden="false" customHeight="false" outlineLevel="0" collapsed="false">
      <c r="A9" s="0" t="s">
        <v>63</v>
      </c>
      <c r="B9" s="18" t="n">
        <v>1814870.67521822</v>
      </c>
    </row>
    <row r="10" customFormat="false" ht="15" hidden="false" customHeight="false" outlineLevel="0" collapsed="false">
      <c r="A10" s="0" t="s">
        <v>64</v>
      </c>
      <c r="B10" s="18" t="n">
        <v>640292.462652823</v>
      </c>
    </row>
    <row r="11" customFormat="false" ht="15" hidden="false" customHeight="false" outlineLevel="0" collapsed="false">
      <c r="A11" s="0" t="s">
        <v>65</v>
      </c>
      <c r="B11" s="16" t="n">
        <f aca="false">(B8+B9+B10)/(1+B18)</f>
        <v>2743280.0631604</v>
      </c>
    </row>
    <row r="13" customFormat="false" ht="15" hidden="false" customHeight="false" outlineLevel="0" collapsed="false">
      <c r="A13" s="0" t="s">
        <v>66</v>
      </c>
      <c r="B13" s="16" t="n">
        <f aca="false">B11-B6</f>
        <v>695691.932537924</v>
      </c>
    </row>
    <row r="14" customFormat="false" ht="15" hidden="false" customHeight="false" outlineLevel="0" collapsed="false">
      <c r="A14" s="0" t="s">
        <v>67</v>
      </c>
      <c r="B14" s="16" t="n">
        <f aca="false">B4+B13</f>
        <v>45279132.5793523</v>
      </c>
    </row>
    <row r="18" customFormat="false" ht="15" hidden="false" customHeight="false" outlineLevel="0" collapsed="false">
      <c r="A18" s="0" t="s">
        <v>68</v>
      </c>
      <c r="B18" s="12" t="n">
        <v>0.065</v>
      </c>
    </row>
    <row r="20" customFormat="false" ht="32.8" hidden="false" customHeight="false" outlineLevel="0" collapsed="false">
      <c r="A20" s="17" t="s">
        <v>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
    <col collapsed="false" customWidth="true" hidden="false" outlineLevel="0" max="2" min="2" style="0" width="62"/>
    <col collapsed="false" customWidth="true" hidden="false" outlineLevel="0" max="6" min="3" style="0" width="13"/>
    <col collapsed="false" customWidth="true" hidden="false" outlineLevel="0" max="7" min="7" style="0" width="2"/>
    <col collapsed="false" customWidth="true" hidden="false" outlineLevel="0" max="8" min="8" style="0" width="60"/>
  </cols>
  <sheetData>
    <row r="1" customFormat="false" ht="16.15" hidden="false" customHeight="false" outlineLevel="0" collapsed="false">
      <c r="A1" s="6" t="s">
        <v>70</v>
      </c>
    </row>
    <row r="2" customFormat="false" ht="15" hidden="false" customHeight="false" outlineLevel="0" collapsed="false">
      <c r="A2" s="2" t="s">
        <v>71</v>
      </c>
    </row>
    <row r="3" customFormat="false" ht="15" hidden="false" customHeight="false" outlineLevel="0" collapsed="false">
      <c r="A3" s="2" t="s">
        <v>72</v>
      </c>
    </row>
    <row r="5" customFormat="false" ht="15" hidden="false" customHeight="false" outlineLevel="0" collapsed="false">
      <c r="A5" s="19" t="s">
        <v>73</v>
      </c>
      <c r="B5" s="19" t="s">
        <v>74</v>
      </c>
      <c r="C5" s="19" t="s">
        <v>75</v>
      </c>
      <c r="D5" s="19" t="s">
        <v>76</v>
      </c>
      <c r="E5" s="19" t="s">
        <v>77</v>
      </c>
      <c r="F5" s="19" t="s">
        <v>78</v>
      </c>
      <c r="H5" s="20" t="s">
        <v>79</v>
      </c>
    </row>
    <row r="6" customFormat="false" ht="15" hidden="false" customHeight="false" outlineLevel="0" collapsed="false">
      <c r="A6" s="0" t="s">
        <v>80</v>
      </c>
      <c r="B6" s="3" t="s">
        <v>81</v>
      </c>
      <c r="C6" s="0" t="n">
        <v>51.5</v>
      </c>
      <c r="D6" s="13" t="n">
        <f aca="false">'2. The test'!B16</f>
        <v>51.5</v>
      </c>
      <c r="E6" s="21" t="n">
        <f aca="false">D6-C6</f>
        <v>0</v>
      </c>
      <c r="F6" s="0" t="str">
        <f aca="false">IF(ABS(E6)&lt;=0.01,"reproduced",IF(ABS(E6)&lt;=0.01*3,"rounding","to check"))</f>
        <v>reproduced</v>
      </c>
      <c r="H6" s="3" t="s">
        <v>82</v>
      </c>
    </row>
    <row r="7" customFormat="false" ht="15" hidden="false" customHeight="false" outlineLevel="0" collapsed="false">
      <c r="A7" s="0" t="s">
        <v>80</v>
      </c>
      <c r="B7" s="3" t="s">
        <v>83</v>
      </c>
      <c r="C7" s="0" t="n">
        <v>-14.26</v>
      </c>
      <c r="D7" s="13" t="n">
        <f aca="false">'2. The test'!B25</f>
        <v>-14.2604166666667</v>
      </c>
      <c r="E7" s="21" t="n">
        <f aca="false">D7-C7</f>
        <v>-0.000416666666650301</v>
      </c>
      <c r="F7" s="0" t="str">
        <f aca="false">IF(ABS(E7)&lt;=0.01,"reproduced",IF(ABS(E7)&lt;=0.01*3,"rounding","to check"))</f>
        <v>reproduced</v>
      </c>
    </row>
    <row r="8" customFormat="false" ht="15" hidden="false" customHeight="false" outlineLevel="0" collapsed="false">
      <c r="A8" s="0" t="s">
        <v>80</v>
      </c>
      <c r="B8" s="3" t="s">
        <v>84</v>
      </c>
      <c r="C8" s="0" t="n">
        <v>-1028479</v>
      </c>
      <c r="D8" s="18" t="n">
        <f aca="false">'2. The test'!B26</f>
        <v>-1028478.53535353</v>
      </c>
      <c r="E8" s="21" t="n">
        <f aca="false">D8-C8</f>
        <v>0.464646465959959</v>
      </c>
      <c r="F8" s="0" t="str">
        <f aca="false">IF(ABS(E8)&lt;=2,"reproduced",IF(ABS(E8)&lt;=2*3,"rounding","to check"))</f>
        <v>reproduced</v>
      </c>
    </row>
    <row r="9" customFormat="false" ht="15" hidden="false" customHeight="false" outlineLevel="0" collapsed="false">
      <c r="A9" s="0" t="s">
        <v>85</v>
      </c>
      <c r="B9" s="3" t="s">
        <v>86</v>
      </c>
      <c r="C9" s="0" t="n">
        <v>68.38</v>
      </c>
      <c r="D9" s="13" t="n">
        <f aca="false">'3. The alternative'!B19</f>
        <v>68.3790322580645</v>
      </c>
      <c r="E9" s="21" t="n">
        <f aca="false">D9-C9</f>
        <v>-0.000967741935482991</v>
      </c>
      <c r="F9" s="0" t="str">
        <f aca="false">IF(ABS(E9)&lt;=0.01,"reproduced",IF(ABS(E9)&lt;=0.01*3,"rounding","to check"))</f>
        <v>reproduced</v>
      </c>
    </row>
    <row r="10" customFormat="false" ht="15" hidden="false" customHeight="false" outlineLevel="0" collapsed="false">
      <c r="A10" s="0" t="s">
        <v>85</v>
      </c>
      <c r="B10" s="3" t="s">
        <v>87</v>
      </c>
      <c r="C10" s="0" t="n">
        <v>5611796</v>
      </c>
      <c r="D10" s="18" t="n">
        <f aca="false">'3. The alternative'!B20</f>
        <v>5611796.44048943</v>
      </c>
      <c r="E10" s="21" t="n">
        <f aca="false">D10-C10</f>
        <v>0.440489432774484</v>
      </c>
      <c r="F10" s="0" t="str">
        <f aca="false">IF(ABS(E10)&lt;=5,"reproduced",IF(ABS(E10)&lt;=5*3,"rounding","to check"))</f>
        <v>reproduced</v>
      </c>
    </row>
    <row r="11" customFormat="false" ht="15" hidden="false" customHeight="false" outlineLevel="0" collapsed="false">
      <c r="A11" s="0" t="s">
        <v>85</v>
      </c>
      <c r="B11" s="3" t="s">
        <v>88</v>
      </c>
      <c r="C11" s="0" t="n">
        <v>1053150</v>
      </c>
      <c r="D11" s="21" t="n">
        <f aca="false">-'3. The alternative'!B23</f>
        <v>1053150</v>
      </c>
      <c r="E11" s="21" t="n">
        <f aca="false">D11-C11</f>
        <v>0</v>
      </c>
      <c r="F11" s="0" t="str">
        <f aca="false">IF(ABS(E11)&lt;=5,"reproduced",IF(ABS(E11)&lt;=5*3,"rounding","to check"))</f>
        <v>reproduced</v>
      </c>
    </row>
    <row r="12" customFormat="false" ht="15" hidden="false" customHeight="false" outlineLevel="0" collapsed="false">
      <c r="A12" s="0" t="s">
        <v>85</v>
      </c>
      <c r="B12" s="3" t="s">
        <v>89</v>
      </c>
      <c r="C12" s="0" t="n">
        <v>1353785</v>
      </c>
      <c r="D12" s="18" t="n">
        <f aca="false">'3. The alternative'!B24</f>
        <v>1353785.0097068</v>
      </c>
      <c r="E12" s="21" t="n">
        <f aca="false">D12-C12</f>
        <v>0.00970680173486471</v>
      </c>
      <c r="F12" s="0" t="str">
        <f aca="false">IF(ABS(E12)&lt;=5,"reproduced",IF(ABS(E12)&lt;=5*3,"rounding","to check"))</f>
        <v>reproduced</v>
      </c>
    </row>
    <row r="13" customFormat="false" ht="15" hidden="false" customHeight="false" outlineLevel="0" collapsed="false">
      <c r="A13" s="0" t="s">
        <v>85</v>
      </c>
      <c r="B13" s="3" t="s">
        <v>90</v>
      </c>
      <c r="C13" s="0" t="n">
        <v>2382264</v>
      </c>
      <c r="D13" s="18" t="n">
        <f aca="false">'3. The alternative'!B25</f>
        <v>2382263.54506034</v>
      </c>
      <c r="E13" s="21" t="n">
        <f aca="false">D13-C13</f>
        <v>-0.454939664341509</v>
      </c>
      <c r="F13" s="0" t="str">
        <f aca="false">IF(ABS(E13)&lt;=5,"reproduced",IF(ABS(E13)&lt;=5*3,"rounding","to check"))</f>
        <v>reproduced</v>
      </c>
    </row>
    <row r="14" customFormat="false" ht="15" hidden="false" customHeight="false" outlineLevel="0" collapsed="false">
      <c r="A14" s="0" t="s">
        <v>85</v>
      </c>
      <c r="B14" s="3" t="s">
        <v>91</v>
      </c>
      <c r="C14" s="0" t="n">
        <v>2047588</v>
      </c>
      <c r="D14" s="18" t="n">
        <f aca="false">'4. The decision'!B6</f>
        <v>2047588.13062248</v>
      </c>
      <c r="E14" s="21" t="n">
        <f aca="false">D14-C14</f>
        <v>0.13062247633934</v>
      </c>
      <c r="F14" s="0" t="str">
        <f aca="false">IF(ABS(E14)&lt;=5,"reproduced",IF(ABS(E14)&lt;=5*3,"rounding","to check"))</f>
        <v>reproduced</v>
      </c>
    </row>
    <row r="15" customFormat="false" ht="15" hidden="false" customHeight="false" outlineLevel="0" collapsed="false">
      <c r="A15" s="0" t="s">
        <v>85</v>
      </c>
      <c r="B15" s="3" t="s">
        <v>92</v>
      </c>
      <c r="C15" s="0" t="n">
        <v>2743280</v>
      </c>
      <c r="D15" s="18" t="n">
        <f aca="false">'4. The decision'!B11</f>
        <v>2743280.0631604</v>
      </c>
      <c r="E15" s="21" t="n">
        <f aca="false">D15-C15</f>
        <v>0.0631603999063373</v>
      </c>
      <c r="F15" s="0" t="str">
        <f aca="false">IF(ABS(E15)&lt;=5,"reproduced",IF(ABS(E15)&lt;=5*3,"rounding","to check"))</f>
        <v>reproduced</v>
      </c>
    </row>
    <row r="16" customFormat="false" ht="15" hidden="false" customHeight="false" outlineLevel="0" collapsed="false">
      <c r="A16" s="0" t="s">
        <v>85</v>
      </c>
      <c r="B16" s="3" t="s">
        <v>93</v>
      </c>
      <c r="C16" s="0" t="n">
        <v>695692</v>
      </c>
      <c r="D16" s="18" t="n">
        <f aca="false">'4. The decision'!B13</f>
        <v>695691.932537924</v>
      </c>
      <c r="E16" s="21" t="n">
        <f aca="false">D16-C16</f>
        <v>-0.067462076433003</v>
      </c>
      <c r="F16" s="0" t="str">
        <f aca="false">IF(ABS(E16)&lt;=5,"reproduced",IF(ABS(E16)&lt;=5*3,"rounding","to check"))</f>
        <v>reproduced</v>
      </c>
    </row>
    <row r="17" customFormat="false" ht="15" hidden="false" customHeight="false" outlineLevel="0" collapsed="false">
      <c r="A17" s="0" t="s">
        <v>85</v>
      </c>
      <c r="B17" s="3" t="s">
        <v>94</v>
      </c>
      <c r="C17" s="0" t="n">
        <v>45279133</v>
      </c>
      <c r="D17" s="18" t="n">
        <f aca="false">'4. The decision'!B14</f>
        <v>45279132.5793523</v>
      </c>
      <c r="E17" s="21" t="n">
        <f aca="false">D17-C17</f>
        <v>-0.420647665858269</v>
      </c>
      <c r="F17" s="0" t="str">
        <f aca="false">IF(ABS(E17)&lt;=5,"reproduced",IF(ABS(E17)&lt;=5*3,"rounding","to check"))</f>
        <v>reproduced</v>
      </c>
    </row>
    <row r="18" customFormat="false" ht="15" hidden="false" customHeight="false" outlineLevel="0" collapsed="false">
      <c r="A18" s="0" t="s">
        <v>85</v>
      </c>
      <c r="B18" s="3" t="s">
        <v>95</v>
      </c>
      <c r="C18" s="13" t="n">
        <v>48</v>
      </c>
      <c r="D18" s="13" t="n">
        <f aca="false">'3. The alternative'!B27</f>
        <v>47.81568236414</v>
      </c>
      <c r="E18" s="13" t="n">
        <f aca="false">D18-C18</f>
        <v>-0.184317635859962</v>
      </c>
      <c r="F18" s="0" t="str">
        <f aca="false">IF(ABS(E18)&lt;=0.5,"reproduced",IF(ABS(E18)&lt;=0.5*3,"rounding","to check"))</f>
        <v>reproduced</v>
      </c>
      <c r="H18" s="3" t="s">
        <v>96</v>
      </c>
    </row>
    <row r="19" customFormat="false" ht="15" hidden="false" customHeight="false" outlineLevel="0" collapsed="false">
      <c r="A19" s="0" t="s">
        <v>85</v>
      </c>
      <c r="B19" s="3" t="s">
        <v>97</v>
      </c>
      <c r="C19" s="22" t="n">
        <v>0.016</v>
      </c>
      <c r="D19" s="22" t="n">
        <f aca="false">'4. The decision'!B13/'4. The decision'!B4</f>
        <v>0.015604267468927</v>
      </c>
      <c r="E19" s="22" t="n">
        <f aca="false">D19-C19</f>
        <v>-0.000395732531073008</v>
      </c>
      <c r="F19" s="0" t="str">
        <f aca="false">IF(ABS(E19)&lt;=0.0005,"reproduced",IF(ABS(E19)&lt;=0.0005*3,"rounding","to check"))</f>
        <v>reproduced</v>
      </c>
    </row>
    <row r="20" customFormat="false" ht="15" hidden="false" customHeight="false" outlineLevel="0" collapsed="false">
      <c r="A20" s="0" t="s">
        <v>85</v>
      </c>
      <c r="B20" s="3" t="s">
        <v>98</v>
      </c>
      <c r="C20" s="18" t="n">
        <v>2558500</v>
      </c>
      <c r="D20" s="18" t="n">
        <f aca="false">'2. The test'!B3*'3. The alternative'!B4</f>
        <v>2558500</v>
      </c>
      <c r="E20" s="18" t="n">
        <f aca="false">D20-C20</f>
        <v>0</v>
      </c>
      <c r="F20" s="0" t="str">
        <f aca="false">IF(ABS(E20)&lt;=1,"reproduced",IF(ABS(E20)&lt;=1*3,"rounding","to check"))</f>
        <v>reproduced</v>
      </c>
      <c r="H20" s="3" t="s">
        <v>99</v>
      </c>
    </row>
    <row r="21" customFormat="false" ht="15" hidden="false" customHeight="false" outlineLevel="0" collapsed="false">
      <c r="A21" s="0" t="s">
        <v>85</v>
      </c>
      <c r="B21" s="3" t="s">
        <v>100</v>
      </c>
      <c r="C21" s="23" t="n">
        <v>2.6</v>
      </c>
      <c r="D21" s="23" t="n">
        <f aca="false">'3. The alternative'!B16/'2. The test'!B17</f>
        <v>2.58333333333333</v>
      </c>
      <c r="E21" s="23" t="n">
        <f aca="false">D21-C21</f>
        <v>-0.0166666666666666</v>
      </c>
      <c r="F21" s="0" t="str">
        <f aca="false">IF(ABS(E21)&lt;=0.05,"reproduced",IF(ABS(E21)&lt;=0.05*3,"rounding","to check"))</f>
        <v>reproduced</v>
      </c>
    </row>
    <row r="22" customFormat="false" ht="28.35" hidden="false" customHeight="false" outlineLevel="0" collapsed="false">
      <c r="A22" s="0" t="s">
        <v>101</v>
      </c>
      <c r="B22" s="3" t="s">
        <v>102</v>
      </c>
      <c r="C22" s="24" t="n">
        <v>0</v>
      </c>
      <c r="D22" s="24" t="n">
        <f aca="false">(('3. The alternative'!B27*'3. The alternative'!B17*(1-'2. The test'!B12)-'3. The alternative'!B11*'3. The alternative'!B8/4-'3. The alternative'!B7-'3. The alternative'!B10*'3. The alternative'!B27)/'3. The alternative'!B16/'3. The alternative'!B12*'2. The test'!B3/(1+((1+'3. The alternative'!B13)^0.25-1))^'3. The alternative'!B5-'2. The test'!B3*'3. The alternative'!B4-'2. The test'!B3*'3. The alternative'!B14*'3. The alternative'!B5/4)-'2. The test'!B26</f>
        <v>0</v>
      </c>
      <c r="E22" s="24" t="n">
        <f aca="false">D22-C22</f>
        <v>0</v>
      </c>
      <c r="F22" s="0" t="str">
        <f aca="false">IF(ABS(E22)&lt;=0.001,"reproduced",IF(ABS(E22)&lt;=0.001*3,"rounding","to check"))</f>
        <v>reproduced</v>
      </c>
      <c r="H22" s="3" t="s">
        <v>103</v>
      </c>
    </row>
    <row r="24" customFormat="false" ht="15" hidden="false" customHeight="false" outlineLevel="0" collapsed="false">
      <c r="A24" s="20" t="s">
        <v>104</v>
      </c>
      <c r="C24" s="20" t="n">
        <f aca="false">COUNTIF(F6:F22,"reproduced")</f>
        <v>17</v>
      </c>
    </row>
    <row r="25" customFormat="false" ht="15" hidden="false" customHeight="false" outlineLevel="0" collapsed="false">
      <c r="A25" s="20" t="s">
        <v>105</v>
      </c>
      <c r="C25" s="20" t="n">
        <f aca="false">COUNTIF(F6:F22,"rounding")</f>
        <v>0</v>
      </c>
    </row>
    <row r="26" customFormat="false" ht="15" hidden="false" customHeight="false" outlineLevel="0" collapsed="false">
      <c r="A26" s="20" t="s">
        <v>106</v>
      </c>
      <c r="C26" s="20" t="n">
        <f aca="false">COUNTIF(F6:F22,"to check")</f>
        <v>0</v>
      </c>
    </row>
    <row r="27" customFormat="false" ht="15" hidden="false" customHeight="false" outlineLevel="0" collapsed="false">
      <c r="A27" s="20" t="s">
        <v>107</v>
      </c>
      <c r="C27" s="20" t="str">
        <f aca="false">IF(COUNTIF(F6:F22,"reproduced")+COUNTIF(F6:F22,"rounding")=17,"ALL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2026-08-25T14:58:44Z</dcterms:created>
  <dc:creator>openpyxl</dc:creator>
  <dc:description/>
  <dc:language>en-US</dc:language>
  <cp:lastModifiedBy/>
  <dcterms:modified xsi:type="dcterms:W3CDTF">2026-09-23T22:40:44Z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