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Vertical Slice" sheetId="3" state="visible" r:id="rId5"/>
    <sheet name="Liquid First" sheetId="4" state="visible" r:id="rId6"/>
    <sheet name="The Comparison" sheetId="5" state="visible" r:id="rId7"/>
    <sheet name="Checks" sheetId="6" state="visible" r:id="rId8"/>
  </sheets>
  <definedNames>
    <definedName function="false" hidden="false" name="DSELL" vbProcedure="false">Inputs!$E$15:$E$18</definedName>
    <definedName function="false" hidden="false" name="HSR" vbProcedure="false">Inputs!$F$15:$F$18</definedName>
    <definedName function="false" hidden="false" name="IKR" vbProcedure="false">Inputs!$B$19:$E$19</definedName>
    <definedName function="false" hidden="false" name="MIMPACT" vbProcedure="false">Inputs!$B$8</definedName>
    <definedName function="false" hidden="false" name="MSPREAD" vbProcedure="false">Inputs!$B$7</definedName>
    <definedName function="false" hidden="false" name="NAV" vbProcedure="false">Inputs!$B$5</definedName>
    <definedName function="false" hidden="false" name="NAVB" vbProcedure="false">Inputs!$B$28</definedName>
    <definedName function="false" hidden="false" name="NAVUB" vbProcedure="false">Inputs!$B$29</definedName>
    <definedName function="false" hidden="false" name="RED1" vbProcedure="false">Inputs!$B$9</definedName>
    <definedName function="false" hidden="false" name="REDN" vbProcedure="false">Inputs!$B$10</definedName>
    <definedName function="false" hidden="false" name="UNITS" vbProcedure="false">Inputs!$B$6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<sst xmlns="http://schemas.openxmlformats.org/spreadsheetml/2006/main" count="273" uniqueCount="143">
  <si>
    <t xml:space="preserve">Workbook 4 - Liquidity and the Redemption</t>
  </si>
  <si>
    <t xml:space="preserve">Companion to Financial Risk Management by Julian R. Sterling</t>
  </si>
  <si>
    <t xml:space="preserve">What this workbook does</t>
  </si>
  <si>
    <t xml:space="preserve">It runs the same fund through six successive redemptions under two selling policies, and reports both what each one costs and what each one leaves behind.</t>
  </si>
  <si>
    <t xml:space="preserve">How to use it</t>
  </si>
  <si>
    <t xml:space="preserve">1.  Inputs. The sleeves, the shock, the stress multipliers and the redemption sizes.</t>
  </si>
  <si>
    <t xml:space="preserve">2.  Vertical Slice and Liquid First. One block per round: opening, sold, closing, cost, and the share still liquidable within a week.</t>
  </si>
  <si>
    <t xml:space="preserve">3.  The Comparison. The two cumulative cost paths side by side, what each policy leaves behind, and the queue.</t>
  </si>
  <si>
    <t xml:space="preserve">4.  Checks. Seventeen controls: the figures printed in Chapters 9 to 15, and the identities that hold for any inputs.</t>
  </si>
  <si>
    <t xml:space="preserve">The result the book turns on</t>
  </si>
  <si>
    <t xml:space="preserve">Liquid-first is cheaper in money at every round - there is no crossover. What it spends is one-week liquidity, which falls from 31.2 per cent to 8.3 per cent after a single redemption of 25 per cent, and to 5.7 per cent after three redemptions of 10. That cost appears in no risk report, because a risk report is denominated in money and this cost is not.</t>
  </si>
  <si>
    <t xml:space="preserve">The book</t>
  </si>
  <si>
    <t xml:space="preserve">Financial Risk Management - A Practitioner's Guide to Measuring What Actually Breaks a Fund, by Julian R. Sterling.</t>
  </si>
  <si>
    <t xml:space="preserve">All four companion workbooks: julianrsterling.com/risk</t>
  </si>
  <si>
    <t xml:space="preserve">Revised 24 September 2026</t>
  </si>
  <si>
    <t xml:space="preserve">The queue is corrected. The first edition carried the second and third redemptions forward from the portfolio before costs, so the cost of each earlier exit vanished from the net asset value of the next: the investors who stay were charged only for the last one. Carried forward properly, the net asset value left to the last investor in is 88.6344, not 88.8151, and the first-mover advantage is 0.2611 per unit, not 0.0804. The selling-policy choice of 0.4897 is 1.88 times it, not six times. A check now closes the queue: net asset value times units after three redemptions equals the portfolio less the three costs.</t>
  </si>
  <si>
    <t xml:space="preserve">The read-me no longer runs two sequences together: 8.3 per cent is what is left after a single redemption of 25 per cent; 5.7 per cent is what is left after three of 10.</t>
  </si>
  <si>
    <t xml:space="preserve">The Comparison sheet now carries the swing factor each policy implies, 2.733 per cent for the vertical slice and 1.080 for liquid-first, and shows that once swung the investors who stay lose nothing under either. Seven checks added, seventeen in all.</t>
  </si>
  <si>
    <t xml:space="preserve">Inputs</t>
  </si>
  <si>
    <t xml:space="preserve">Yellow cells only.</t>
  </si>
  <si>
    <t xml:space="preserve">Net assets before the shock</t>
  </si>
  <si>
    <t xml:space="preserve">Units in issue</t>
  </si>
  <si>
    <t xml:space="preserve">Stress multiplier on spreads</t>
  </si>
  <si>
    <t xml:space="preserve">Stress multiplier on impact</t>
  </si>
  <si>
    <t xml:space="preserve">First redemption, share of net assets</t>
  </si>
  <si>
    <t xml:space="preserve">Each later redemption, share</t>
  </si>
  <si>
    <t xml:space="preserve">The four sleeves</t>
  </si>
  <si>
    <t xml:space="preserve">Sleeve</t>
  </si>
  <si>
    <t xml:space="preserve">Market value</t>
  </si>
  <si>
    <t xml:space="preserve">Spread duration</t>
  </si>
  <si>
    <t xml:space="preserve">Shock, bp</t>
  </si>
  <si>
    <t xml:space="preserve">Days to sell</t>
  </si>
  <si>
    <t xml:space="preserve">Half-spread</t>
  </si>
  <si>
    <t xml:space="preserve">Investment-grade credit</t>
  </si>
  <si>
    <t xml:space="preserve">High yield</t>
  </si>
  <si>
    <t xml:space="preserve">Leveraged loans</t>
  </si>
  <si>
    <t xml:space="preserve">Structured credit</t>
  </si>
  <si>
    <t xml:space="preserve">Impact coefficients</t>
  </si>
  <si>
    <t xml:space="preserve">After the shock</t>
  </si>
  <si>
    <t xml:space="preserve">Value after the shock</t>
  </si>
  <si>
    <t xml:space="preserve">Total</t>
  </si>
  <si>
    <t xml:space="preserve">Net asset value per unit</t>
  </si>
  <si>
    <t xml:space="preserve">Vertical Slice</t>
  </si>
  <si>
    <t xml:space="preserve">Six successive redemptions of 10 per cent, selling a slice of every sleeve.</t>
  </si>
  <si>
    <t xml:space="preserve">Round</t>
  </si>
  <si>
    <t xml:space="preserve">Investment-grade</t>
  </si>
  <si>
    <t xml:space="preserve">High</t>
  </si>
  <si>
    <t xml:space="preserve">Leveraged</t>
  </si>
  <si>
    <t xml:space="preserve">Structured</t>
  </si>
  <si>
    <t xml:space="preserve">Round 1 opening</t>
  </si>
  <si>
    <t xml:space="preserve">   redemption</t>
  </si>
  <si>
    <t xml:space="preserve">   sold</t>
  </si>
  <si>
    <t xml:space="preserve">   closing</t>
  </si>
  <si>
    <t xml:space="preserve">   cost of selling</t>
  </si>
  <si>
    <t xml:space="preserve">   liquidable in 7 days</t>
  </si>
  <si>
    <t xml:space="preserve">Round 2 opening</t>
  </si>
  <si>
    <t xml:space="preserve">Round 3 opening</t>
  </si>
  <si>
    <t xml:space="preserve">Round 4 opening</t>
  </si>
  <si>
    <t xml:space="preserve">Round 5 opening</t>
  </si>
  <si>
    <t xml:space="preserve">Round 6 opening</t>
  </si>
  <si>
    <t xml:space="preserve">Cumulative</t>
  </si>
  <si>
    <t xml:space="preserve">Cost</t>
  </si>
  <si>
    <t xml:space="preserve">Cumulative cost</t>
  </si>
  <si>
    <t xml:space="preserve">Liquidable in 7 days</t>
  </si>
  <si>
    <t xml:space="preserve">Round 1</t>
  </si>
  <si>
    <t xml:space="preserve">Round 2</t>
  </si>
  <si>
    <t xml:space="preserve">Round 3</t>
  </si>
  <si>
    <t xml:space="preserve">Round 4</t>
  </si>
  <si>
    <t xml:space="preserve">Round 5</t>
  </si>
  <si>
    <t xml:space="preserve">Round 6</t>
  </si>
  <si>
    <t xml:space="preserve">Liquid First</t>
  </si>
  <si>
    <t xml:space="preserve">Six successive redemptions of 10 per cent, exhausting the cheapest sleeve first.</t>
  </si>
  <si>
    <t xml:space="preserve">The decision nobody logs as a risk decision</t>
  </si>
  <si>
    <t xml:space="preserve">Chapter 14. Six redemptions, two policies, and what each one leaves behind.</t>
  </si>
  <si>
    <t xml:space="preserve">One redemption of 25 per cent, the case of Chapters 12 to 14</t>
  </si>
  <si>
    <t xml:space="preserve">Vertical slice sells</t>
  </si>
  <si>
    <t xml:space="preserve">Liquid-first sells</t>
  </si>
  <si>
    <t xml:space="preserve">Cost of selling</t>
  </si>
  <si>
    <t xml:space="preserve">Left, vertical slice</t>
  </si>
  <si>
    <t xml:space="preserve">Left, liquid-first</t>
  </si>
  <si>
    <t xml:space="preserve">One-week liquidity afterwards</t>
  </si>
  <si>
    <t xml:space="preserve">Six redemptions of 10 per cent</t>
  </si>
  <si>
    <t xml:space="preserve">Vertical slice, cumulative</t>
  </si>
  <si>
    <t xml:space="preserve">Liquid-first, cumulative</t>
  </si>
  <si>
    <t xml:space="preserve">Difference</t>
  </si>
  <si>
    <t xml:space="preserve">Is there a crossover?</t>
  </si>
  <si>
    <t xml:space="preserve">What each policy leaves behind</t>
  </si>
  <si>
    <t xml:space="preserve">After round</t>
  </si>
  <si>
    <t xml:space="preserve">Vertical slice</t>
  </si>
  <si>
    <t xml:space="preserve">Liquid-first</t>
  </si>
  <si>
    <t xml:space="preserve">The cheap policy never presents a bill, because what it spends is not money. It spends the fund's ability to survive the redemption after this one.</t>
  </si>
  <si>
    <t xml:space="preserve">The two decisions, per unit</t>
  </si>
  <si>
    <t xml:space="preserve">Units remaining after the first redemption</t>
  </si>
  <si>
    <t xml:space="preserve">Selling-policy choice, per unit</t>
  </si>
  <si>
    <t xml:space="preserve">First-mover advantage, per unit (see below)</t>
  </si>
  <si>
    <t xml:space="preserve">Ratio</t>
  </si>
  <si>
    <t xml:space="preserve">The queue: three 10 per cent redemptions, no swing pricing</t>
  </si>
  <si>
    <t xml:space="preserve">Redemption</t>
  </si>
  <si>
    <t xml:space="preserve">Portfolio before</t>
  </si>
  <si>
    <t xml:space="preserve">Net asset value after</t>
  </si>
  <si>
    <t xml:space="preserve">Units after</t>
  </si>
  <si>
    <t xml:space="preserve">Number 1</t>
  </si>
  <si>
    <t xml:space="preserve">Number 2</t>
  </si>
  <si>
    <t xml:space="preserve">Number 3</t>
  </si>
  <si>
    <t xml:space="preserve">Net asset value served to the first out</t>
  </si>
  <si>
    <t xml:space="preserve">Net asset value left to the last in</t>
  </si>
  <si>
    <t xml:space="preserve">First-mover advantage, per unit</t>
  </si>
  <si>
    <t xml:space="preserve">Smaller than the selling-policy choice above, which is 1.88 times it, and the only one of the two the industry writes rules about: it has a villain.</t>
  </si>
  <si>
    <t xml:space="preserve">The swing factor each policy implies</t>
  </si>
  <si>
    <t xml:space="preserve">The swing that makes the investors who leave, not those who stay, bear the cost of their own exit: the cost of selling over the redemption.</t>
  </si>
  <si>
    <t xml:space="preserve">Neutralising swing factor</t>
  </si>
  <si>
    <t xml:space="preserve">Net asset value paid to the investor who leaves, swung</t>
  </si>
  <si>
    <t xml:space="preserve">Loss per remaining unit, once swung</t>
  </si>
  <si>
    <t xml:space="preserve">Swung, the transfer is nought under either policy; what the swing cannot price is the one-week liquidity the cheap policy leaves behind.</t>
  </si>
  <si>
    <t xml:space="preserve">Checks against the printed book</t>
  </si>
  <si>
    <t xml:space="preserve">Every line reproduces a figure printed in Chapters 9 to 15; a printed value of nought marks an identity that holds for any inputs.</t>
  </si>
  <si>
    <t xml:space="preserve">Ch.</t>
  </si>
  <si>
    <t xml:space="preserve">Figure as printed in the book</t>
  </si>
  <si>
    <t xml:space="preserve">Printed</t>
  </si>
  <si>
    <t xml:space="preserve">Workbook</t>
  </si>
  <si>
    <t xml:space="preserve">Result</t>
  </si>
  <si>
    <t xml:space="preserve">9</t>
  </si>
  <si>
    <t xml:space="preserve">Net assets after the shock</t>
  </si>
  <si>
    <t xml:space="preserve">Net asset value per unit after</t>
  </si>
  <si>
    <t xml:space="preserve">12</t>
  </si>
  <si>
    <t xml:space="preserve">Cost of a 25 per cent redemption, vertical slice</t>
  </si>
  <si>
    <t xml:space="preserve">Cost of a 25 per cent redemption, liquid-first</t>
  </si>
  <si>
    <t xml:space="preserve">14</t>
  </si>
  <si>
    <t xml:space="preserve">One-week liquidity after 25 per cent, vertical</t>
  </si>
  <si>
    <t xml:space="preserve">One-week liquidity after 25 per cent, liquid-first</t>
  </si>
  <si>
    <t xml:space="preserve">One-week liquidity after three, liquid-first</t>
  </si>
  <si>
    <t xml:space="preserve">Cumulative cost over six rounds, vertical</t>
  </si>
  <si>
    <t xml:space="preserve">Cumulative cost over six rounds, liquid-first</t>
  </si>
  <si>
    <t xml:space="preserve">The selling-policy choice, per unit</t>
  </si>
  <si>
    <t xml:space="preserve">15</t>
  </si>
  <si>
    <t xml:space="preserve">Neutralising swing, vertical slice</t>
  </si>
  <si>
    <t xml:space="preserve">Neutralising swing, liquid-first</t>
  </si>
  <si>
    <t xml:space="preserve">Once swung, the investors who stay lose nothing, both policies</t>
  </si>
  <si>
    <t xml:space="preserve">Rounds in which liquid-first costs more, cumulatively</t>
  </si>
  <si>
    <t xml:space="preserve">The queue closes: NAV x units after three = portfolio less the three costs</t>
  </si>
  <si>
    <t xml:space="preserve">First-mover advantage, per unit (revised)</t>
  </si>
  <si>
    <t xml:space="preserve">Selling-policy choice over first-mover advantage (revised)</t>
  </si>
  <si>
    <t xml:space="preserve">Checks passing</t>
  </si>
</sst>
</file>

<file path=xl/styles.xml><?xml version="1.0" encoding="utf-8"?>
<styleSheet xmlns="http://schemas.openxmlformats.org/spreadsheetml/2006/main">
  <numFmts count="14">
    <numFmt numFmtId="164" formatCode="General"/>
    <numFmt numFmtId="165" formatCode="#,##0;\-#,##0"/>
    <numFmt numFmtId="166" formatCode="#,##0"/>
    <numFmt numFmtId="167" formatCode="0.0\x"/>
    <numFmt numFmtId="168" formatCode="0.0%;\-0.0%"/>
    <numFmt numFmtId="169" formatCode="0.00"/>
    <numFmt numFmtId="170" formatCode="0&quot; bp&quot;"/>
    <numFmt numFmtId="171" formatCode="0&quot; d&quot;"/>
    <numFmt numFmtId="172" formatCode="0.00%;\-0.00%"/>
    <numFmt numFmtId="173" formatCode="0.0000"/>
    <numFmt numFmtId="174" formatCode="@"/>
    <numFmt numFmtId="175" formatCode="0.00\x"/>
    <numFmt numFmtId="176" formatCode="0.000%;\-0.000%"/>
    <numFmt numFmtId="177" formatCode="0"/>
  </numFmts>
  <fonts count="14">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
      <b val="true"/>
      <sz val="10"/>
      <color rgb="FFFFFFFF"/>
      <name val="Cambria"/>
      <family val="0"/>
      <charset val="1"/>
    </font>
    <font>
      <b val="true"/>
      <sz val="11"/>
      <color rgb="FF1E7A3C"/>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72" fontId="8" fillId="2" borderId="3" xfId="0" applyFont="true" applyBorder="tru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8" fillId="4" borderId="3" xfId="0" applyFont="true" applyBorder="true" applyAlignment="false" applyProtection="false">
      <alignment horizontal="general" vertical="bottom" textRotation="0" wrapText="false" indent="0" shrinkToFit="false"/>
      <protection locked="true" hidden="false"/>
    </xf>
    <xf numFmtId="169" fontId="8" fillId="4" borderId="3" xfId="0" applyFont="true" applyBorder="true" applyAlignment="false" applyProtection="false">
      <alignment horizontal="general" vertical="bottom" textRotation="0" wrapText="false" indent="0" shrinkToFit="false"/>
      <protection locked="true" hidden="false"/>
    </xf>
    <xf numFmtId="170" fontId="8" fillId="4" borderId="3" xfId="0" applyFont="true" applyBorder="true" applyAlignment="false" applyProtection="false">
      <alignment horizontal="general" vertical="bottom" textRotation="0" wrapText="false" indent="0" shrinkToFit="false"/>
      <protection locked="true" hidden="false"/>
    </xf>
    <xf numFmtId="171" fontId="8" fillId="4" borderId="3" xfId="0" applyFont="true" applyBorder="true" applyAlignment="false" applyProtection="false">
      <alignment horizontal="general" vertical="bottom" textRotation="0" wrapText="false" indent="0" shrinkToFit="false"/>
      <protection locked="true" hidden="false"/>
    </xf>
    <xf numFmtId="172" fontId="8" fillId="4" borderId="3"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4" fontId="10" fillId="0" borderId="0" xfId="0" applyFont="true" applyBorder="false" applyAlignment="true" applyProtection="false">
      <alignment horizontal="lef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3" fontId="10" fillId="0" borderId="0" xfId="0" applyFont="true" applyBorder="false" applyAlignment="false" applyProtection="false">
      <alignment horizontal="general" vertical="bottom" textRotation="0" wrapText="false" indent="0" shrinkToFit="false"/>
      <protection locked="true" hidden="false"/>
    </xf>
    <xf numFmtId="175" fontId="10" fillId="0"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left" vertical="bottom" textRotation="0" wrapText="true" indent="0" shrinkToFit="false"/>
      <protection locked="true" hidden="false"/>
    </xf>
    <xf numFmtId="164" fontId="9" fillId="3" borderId="0" xfId="0" applyFont="true" applyBorder="false" applyAlignment="true" applyProtection="false">
      <alignment horizontal="right" vertical="bottom" textRotation="0" wrapText="true" indent="0" shrinkToFit="false"/>
      <protection locked="true" hidden="false"/>
    </xf>
    <xf numFmtId="176" fontId="1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true" applyProtection="false">
      <alignment horizontal="left"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E7A3C"/>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15" hidden="false" customHeight="true" outlineLevel="0" collapsed="false">
      <c r="A11" s="5" t="s">
        <v>5</v>
      </c>
    </row>
    <row r="12" customFormat="false" ht="30" hidden="false" customHeight="true" outlineLevel="0" collapsed="false">
      <c r="A12" s="5" t="s">
        <v>6</v>
      </c>
    </row>
    <row r="13" customFormat="false" ht="30" hidden="false" customHeight="true" outlineLevel="0" collapsed="false">
      <c r="A13" s="5" t="s">
        <v>7</v>
      </c>
    </row>
    <row r="14" customFormat="false" ht="15" hidden="false" customHeight="true" outlineLevel="0" collapsed="false">
      <c r="A14" s="5" t="s">
        <v>8</v>
      </c>
    </row>
    <row r="16" customFormat="false" ht="15" hidden="false" customHeight="false" outlineLevel="0" collapsed="false">
      <c r="A16" s="4" t="s">
        <v>9</v>
      </c>
    </row>
    <row r="18" customFormat="false" ht="60" hidden="false" customHeight="true" outlineLevel="0" collapsed="false">
      <c r="A18" s="5" t="s">
        <v>10</v>
      </c>
    </row>
    <row r="20" customFormat="false" ht="15" hidden="false" customHeight="false" outlineLevel="0" collapsed="false">
      <c r="A20" s="4" t="s">
        <v>11</v>
      </c>
    </row>
    <row r="22" customFormat="false" ht="30" hidden="false" customHeight="true" outlineLevel="0" collapsed="false">
      <c r="A22" s="5" t="s">
        <v>12</v>
      </c>
    </row>
    <row r="23" customFormat="false" ht="15" hidden="false" customHeight="true" outlineLevel="0" collapsed="false">
      <c r="A23" s="5" t="s">
        <v>13</v>
      </c>
    </row>
    <row r="25" customFormat="false" ht="15" hidden="false" customHeight="false" outlineLevel="0" collapsed="false">
      <c r="A25" s="6" t="s">
        <v>14</v>
      </c>
    </row>
    <row r="27" customFormat="false" ht="68.65" hidden="false" customHeight="false" outlineLevel="0" collapsed="false">
      <c r="A27" s="5" t="s">
        <v>15</v>
      </c>
    </row>
    <row r="28" customFormat="false" ht="28.35" hidden="false" customHeight="false" outlineLevel="0" collapsed="false">
      <c r="A28" s="5" t="s">
        <v>16</v>
      </c>
    </row>
    <row r="29" customFormat="false" ht="28.35" hidden="false" customHeight="false" outlineLevel="0" collapsed="false">
      <c r="A29" s="5"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5"/>
    <col collapsed="false" customWidth="true" hidden="false" outlineLevel="0" max="6" min="3" style="0" width="13"/>
    <col collapsed="false" customWidth="true" hidden="false" outlineLevel="0" max="7" min="7" style="0" width="4"/>
    <col collapsed="false" customWidth="true" hidden="false" outlineLevel="0" max="8" min="8" style="0" width="46"/>
  </cols>
  <sheetData>
    <row r="1" customFormat="false" ht="24" hidden="false" customHeight="true" outlineLevel="0" collapsed="false">
      <c r="A1" s="1" t="s">
        <v>18</v>
      </c>
    </row>
    <row r="2" customFormat="false" ht="15" hidden="false" customHeight="false" outlineLevel="0" collapsed="false">
      <c r="A2" s="2" t="s">
        <v>19</v>
      </c>
    </row>
    <row r="3" customFormat="false" ht="15" hidden="false" customHeight="false" outlineLevel="0" collapsed="false">
      <c r="A3" s="3"/>
      <c r="B3" s="3"/>
      <c r="C3" s="3"/>
      <c r="D3" s="3"/>
      <c r="E3" s="3"/>
      <c r="F3" s="3"/>
    </row>
    <row r="5" customFormat="false" ht="15" hidden="false" customHeight="false" outlineLevel="0" collapsed="false">
      <c r="A5" s="7" t="s">
        <v>20</v>
      </c>
      <c r="B5" s="8" t="n">
        <v>840000000</v>
      </c>
    </row>
    <row r="6" customFormat="false" ht="15" hidden="false" customHeight="false" outlineLevel="0" collapsed="false">
      <c r="A6" s="7" t="s">
        <v>21</v>
      </c>
      <c r="B6" s="9" t="n">
        <v>8400000</v>
      </c>
    </row>
    <row r="7" customFormat="false" ht="15" hidden="false" customHeight="false" outlineLevel="0" collapsed="false">
      <c r="A7" s="7" t="s">
        <v>22</v>
      </c>
      <c r="B7" s="10" t="n">
        <v>4</v>
      </c>
    </row>
    <row r="8" customFormat="false" ht="15" hidden="false" customHeight="false" outlineLevel="0" collapsed="false">
      <c r="A8" s="7" t="s">
        <v>23</v>
      </c>
      <c r="B8" s="10" t="n">
        <v>3</v>
      </c>
    </row>
    <row r="9" customFormat="false" ht="15" hidden="false" customHeight="false" outlineLevel="0" collapsed="false">
      <c r="A9" s="7" t="s">
        <v>24</v>
      </c>
      <c r="B9" s="11" t="n">
        <v>0.25</v>
      </c>
    </row>
    <row r="10" customFormat="false" ht="15" hidden="false" customHeight="false" outlineLevel="0" collapsed="false">
      <c r="A10" s="7" t="s">
        <v>25</v>
      </c>
      <c r="B10" s="11" t="n">
        <v>0.1</v>
      </c>
    </row>
    <row r="12" customFormat="false" ht="15" hidden="false" customHeight="false" outlineLevel="0" collapsed="false">
      <c r="A12" s="4" t="s">
        <v>26</v>
      </c>
      <c r="B12" s="12"/>
      <c r="C12" s="12"/>
      <c r="D12" s="12"/>
      <c r="E12" s="12"/>
      <c r="F12" s="12"/>
    </row>
    <row r="14" customFormat="false" ht="30" hidden="false" customHeight="true" outlineLevel="0" collapsed="false">
      <c r="A14" s="13" t="s">
        <v>27</v>
      </c>
      <c r="B14" s="14" t="s">
        <v>28</v>
      </c>
      <c r="C14" s="14" t="s">
        <v>29</v>
      </c>
      <c r="D14" s="14" t="s">
        <v>30</v>
      </c>
      <c r="E14" s="14" t="s">
        <v>31</v>
      </c>
      <c r="F14" s="14" t="s">
        <v>32</v>
      </c>
    </row>
    <row r="15" customFormat="false" ht="15" hidden="false" customHeight="false" outlineLevel="0" collapsed="false">
      <c r="A15" s="7" t="s">
        <v>33</v>
      </c>
      <c r="B15" s="8" t="n">
        <v>252000000</v>
      </c>
      <c r="C15" s="15" t="n">
        <v>6.2</v>
      </c>
      <c r="D15" s="16" t="n">
        <v>120</v>
      </c>
      <c r="E15" s="17" t="n">
        <v>2</v>
      </c>
      <c r="F15" s="18" t="n">
        <v>0.0015</v>
      </c>
    </row>
    <row r="16" customFormat="false" ht="15" hidden="false" customHeight="false" outlineLevel="0" collapsed="false">
      <c r="A16" s="19" t="s">
        <v>34</v>
      </c>
      <c r="B16" s="20" t="n">
        <v>294000000</v>
      </c>
      <c r="C16" s="21" t="n">
        <v>3.8</v>
      </c>
      <c r="D16" s="22" t="n">
        <v>450</v>
      </c>
      <c r="E16" s="23" t="n">
        <v>8</v>
      </c>
      <c r="F16" s="24" t="n">
        <v>0.0045</v>
      </c>
    </row>
    <row r="17" customFormat="false" ht="15" hidden="false" customHeight="false" outlineLevel="0" collapsed="false">
      <c r="A17" s="7" t="s">
        <v>35</v>
      </c>
      <c r="B17" s="8" t="n">
        <v>210000000</v>
      </c>
      <c r="C17" s="15" t="n">
        <v>0.25</v>
      </c>
      <c r="D17" s="16" t="n">
        <v>300</v>
      </c>
      <c r="E17" s="17" t="n">
        <v>20</v>
      </c>
      <c r="F17" s="18" t="n">
        <v>0.008</v>
      </c>
    </row>
    <row r="18" customFormat="false" ht="15" hidden="false" customHeight="false" outlineLevel="0" collapsed="false">
      <c r="A18" s="19" t="s">
        <v>36</v>
      </c>
      <c r="B18" s="20" t="n">
        <v>84000000</v>
      </c>
      <c r="C18" s="21" t="n">
        <v>4.5</v>
      </c>
      <c r="D18" s="22" t="n">
        <v>600</v>
      </c>
      <c r="E18" s="23" t="n">
        <v>30</v>
      </c>
      <c r="F18" s="24" t="n">
        <v>0.014</v>
      </c>
    </row>
    <row r="19" customFormat="false" ht="15" hidden="false" customHeight="false" outlineLevel="0" collapsed="false">
      <c r="A19" s="7" t="s">
        <v>37</v>
      </c>
      <c r="B19" s="18" t="n">
        <v>0.001</v>
      </c>
      <c r="C19" s="18" t="n">
        <v>0.0035</v>
      </c>
      <c r="D19" s="18" t="n">
        <v>0.006</v>
      </c>
      <c r="E19" s="18" t="n">
        <v>0.011</v>
      </c>
    </row>
    <row r="21" customFormat="false" ht="15" hidden="false" customHeight="false" outlineLevel="0" collapsed="false">
      <c r="A21" s="4" t="s">
        <v>38</v>
      </c>
      <c r="B21" s="12"/>
      <c r="C21" s="12"/>
      <c r="D21" s="12"/>
      <c r="E21" s="12"/>
      <c r="F21" s="12"/>
    </row>
    <row r="23" customFormat="false" ht="30" hidden="false" customHeight="true" outlineLevel="0" collapsed="false">
      <c r="A23" s="13" t="s">
        <v>27</v>
      </c>
      <c r="B23" s="14" t="s">
        <v>39</v>
      </c>
      <c r="C23" s="14"/>
      <c r="D23" s="14"/>
      <c r="E23" s="14"/>
      <c r="F23" s="14"/>
    </row>
    <row r="24" customFormat="false" ht="15" hidden="false" customHeight="false" outlineLevel="0" collapsed="false">
      <c r="A24" s="7" t="s">
        <v>33</v>
      </c>
      <c r="B24" s="25" t="n">
        <f aca="false">B15-B15*C15*D15/10000</f>
        <v>233251200</v>
      </c>
    </row>
    <row r="25" customFormat="false" ht="15" hidden="false" customHeight="false" outlineLevel="0" collapsed="false">
      <c r="A25" s="7" t="s">
        <v>34</v>
      </c>
      <c r="B25" s="25" t="n">
        <f aca="false">B16-B16*C16*D16/10000</f>
        <v>243726000</v>
      </c>
    </row>
    <row r="26" customFormat="false" ht="15" hidden="false" customHeight="false" outlineLevel="0" collapsed="false">
      <c r="A26" s="7" t="s">
        <v>35</v>
      </c>
      <c r="B26" s="25" t="n">
        <f aca="false">B17-B17*C17*D17/10000</f>
        <v>208425000</v>
      </c>
    </row>
    <row r="27" customFormat="false" ht="15" hidden="false" customHeight="false" outlineLevel="0" collapsed="false">
      <c r="A27" s="7" t="s">
        <v>36</v>
      </c>
      <c r="B27" s="25" t="n">
        <f aca="false">B18-B18*C18*D18/10000</f>
        <v>61320000</v>
      </c>
    </row>
    <row r="28" customFormat="false" ht="15" hidden="false" customHeight="false" outlineLevel="0" collapsed="false">
      <c r="A28" s="26" t="s">
        <v>40</v>
      </c>
      <c r="B28" s="27" t="n">
        <f aca="false">SUM(B24:B27)</f>
        <v>746722200</v>
      </c>
    </row>
    <row r="29" customFormat="false" ht="15" hidden="false" customHeight="false" outlineLevel="0" collapsed="false">
      <c r="A29" s="7" t="s">
        <v>41</v>
      </c>
      <c r="B29" s="28" t="n">
        <f aca="false">B28/UNITS</f>
        <v>88.8955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6" min="2" style="0" width="15"/>
    <col collapsed="false" customWidth="true" hidden="false" outlineLevel="0" max="7" min="7" style="0" width="4"/>
    <col collapsed="false" customWidth="true" hidden="false" outlineLevel="0" max="8" min="8" style="0" width="46"/>
  </cols>
  <sheetData>
    <row r="1" customFormat="false" ht="24" hidden="false" customHeight="true" outlineLevel="0" collapsed="false">
      <c r="A1" s="1" t="s">
        <v>42</v>
      </c>
    </row>
    <row r="2" customFormat="false" ht="15" hidden="false" customHeight="false" outlineLevel="0" collapsed="false">
      <c r="A2" s="2" t="s">
        <v>43</v>
      </c>
    </row>
    <row r="3" customFormat="false" ht="15" hidden="false" customHeight="false" outlineLevel="0" collapsed="false">
      <c r="A3" s="3"/>
      <c r="B3" s="3"/>
      <c r="C3" s="3"/>
      <c r="D3" s="3"/>
      <c r="E3" s="3"/>
      <c r="F3" s="3"/>
    </row>
    <row r="5" customFormat="false" ht="30" hidden="false" customHeight="true" outlineLevel="0" collapsed="false">
      <c r="A5" s="13" t="s">
        <v>44</v>
      </c>
      <c r="B5" s="14" t="s">
        <v>45</v>
      </c>
      <c r="C5" s="14" t="s">
        <v>46</v>
      </c>
      <c r="D5" s="14" t="s">
        <v>47</v>
      </c>
      <c r="E5" s="14" t="s">
        <v>48</v>
      </c>
      <c r="F5" s="14" t="s">
        <v>40</v>
      </c>
    </row>
    <row r="6" customFormat="false" ht="15" hidden="false" customHeight="false" outlineLevel="0" collapsed="false">
      <c r="A6" s="29" t="s">
        <v>49</v>
      </c>
      <c r="B6" s="30" t="n">
        <f aca="false">Inputs!B24</f>
        <v>233251200</v>
      </c>
      <c r="C6" s="30" t="n">
        <f aca="false">Inputs!B25</f>
        <v>243726000</v>
      </c>
      <c r="D6" s="30" t="n">
        <f aca="false">Inputs!B26</f>
        <v>208425000</v>
      </c>
      <c r="E6" s="30" t="n">
        <f aca="false">Inputs!B27</f>
        <v>61320000</v>
      </c>
      <c r="F6" s="30" t="n">
        <f aca="false">SUM(B6:E6)</f>
        <v>746722200</v>
      </c>
    </row>
    <row r="7" customFormat="false" ht="15" hidden="false" customHeight="false" outlineLevel="0" collapsed="false">
      <c r="A7" s="7" t="s">
        <v>50</v>
      </c>
      <c r="F7" s="25" t="n">
        <f aca="false">F6*REDN</f>
        <v>74672220</v>
      </c>
    </row>
    <row r="8" customFormat="false" ht="15" hidden="false" customHeight="false" outlineLevel="0" collapsed="false">
      <c r="A8" s="7" t="s">
        <v>51</v>
      </c>
      <c r="B8" s="25" t="n">
        <f aca="false">B6*$F$7/$F$6</f>
        <v>23325120</v>
      </c>
      <c r="C8" s="25" t="n">
        <f aca="false">C6*$F$7/$F$6</f>
        <v>24372600</v>
      </c>
      <c r="D8" s="25" t="n">
        <f aca="false">D6*$F$7/$F$6</f>
        <v>20842500</v>
      </c>
      <c r="E8" s="25" t="n">
        <f aca="false">E6*$F$7/$F$6</f>
        <v>6132000</v>
      </c>
      <c r="F8" s="25" t="n">
        <f aca="false">SUM(B8:E8)</f>
        <v>74672220</v>
      </c>
    </row>
    <row r="9" customFormat="false" ht="15" hidden="false" customHeight="false" outlineLevel="0" collapsed="false">
      <c r="A9" s="7" t="s">
        <v>52</v>
      </c>
      <c r="B9" s="25" t="n">
        <f aca="false">B6-B8</f>
        <v>209926080</v>
      </c>
      <c r="C9" s="25" t="n">
        <f aca="false">C6-C8</f>
        <v>219353400</v>
      </c>
      <c r="D9" s="25" t="n">
        <f aca="false">D6-D8</f>
        <v>187582500</v>
      </c>
      <c r="E9" s="25" t="n">
        <f aca="false">E6-E8</f>
        <v>55188000</v>
      </c>
      <c r="F9" s="25" t="n">
        <f aca="false">SUM(B9:E9)</f>
        <v>672049980</v>
      </c>
    </row>
    <row r="10" customFormat="false" ht="15" hidden="false" customHeight="false" outlineLevel="0" collapsed="false">
      <c r="A10" s="7" t="s">
        <v>53</v>
      </c>
      <c r="B10" s="25" t="n">
        <f aca="false">IF(B8=0,0,B8*(INDEX(HSR,1)*MSPREAD+INDEX(IKR,1)*MIMPACT*2*B8/B6))</f>
        <v>153945.792</v>
      </c>
      <c r="C10" s="25" t="n">
        <f aca="false">IF(C8=0,0,C8*(INDEX(HSR,2)*MSPREAD+INDEX(IKR,2)*MIMPACT*2*C8/C6))</f>
        <v>489889.26</v>
      </c>
      <c r="D10" s="25" t="n">
        <f aca="false">IF(D8=0,0,D8*(INDEX(HSR,3)*MSPREAD+INDEX(IKR,3)*MIMPACT*2*D8/D6))</f>
        <v>741993</v>
      </c>
      <c r="E10" s="25" t="n">
        <f aca="false">IF(E8=0,0,E8*(INDEX(HSR,4)*MSPREAD+INDEX(IKR,4)*MIMPACT*2*E8/E6))</f>
        <v>383863.2</v>
      </c>
      <c r="F10" s="27" t="n">
        <f aca="false">SUM(B10:E10)</f>
        <v>1769691.252</v>
      </c>
    </row>
    <row r="11" customFormat="false" ht="15" hidden="false" customHeight="false" outlineLevel="0" collapsed="false">
      <c r="A11" s="26" t="s">
        <v>54</v>
      </c>
      <c r="F11" s="31" t="n">
        <f aca="false">(B9*(INDEX(DSELL,1)&lt;=7)+C9*(INDEX(DSELL,2)&lt;=7)+D9*(INDEX(DSELL,3)&lt;=7)+E9*(INDEX(DSELL,4)&lt;=7))/F9</f>
        <v>0.312366767721651</v>
      </c>
    </row>
    <row r="13" customFormat="false" ht="15" hidden="false" customHeight="false" outlineLevel="0" collapsed="false">
      <c r="A13" s="29" t="s">
        <v>55</v>
      </c>
      <c r="B13" s="30" t="n">
        <f aca="false">B9</f>
        <v>209926080</v>
      </c>
      <c r="C13" s="30" t="n">
        <f aca="false">C9</f>
        <v>219353400</v>
      </c>
      <c r="D13" s="30" t="n">
        <f aca="false">D9</f>
        <v>187582500</v>
      </c>
      <c r="E13" s="30" t="n">
        <f aca="false">E9</f>
        <v>55188000</v>
      </c>
      <c r="F13" s="30" t="n">
        <f aca="false">SUM(B13:E13)</f>
        <v>672049980</v>
      </c>
    </row>
    <row r="14" customFormat="false" ht="15" hidden="false" customHeight="false" outlineLevel="0" collapsed="false">
      <c r="A14" s="7" t="s">
        <v>50</v>
      </c>
      <c r="F14" s="25" t="n">
        <f aca="false">F13*REDN</f>
        <v>67204998</v>
      </c>
    </row>
    <row r="15" customFormat="false" ht="15" hidden="false" customHeight="false" outlineLevel="0" collapsed="false">
      <c r="A15" s="7" t="s">
        <v>51</v>
      </c>
      <c r="B15" s="25" t="n">
        <f aca="false">B13*$F$14/$F$13</f>
        <v>20992608</v>
      </c>
      <c r="C15" s="25" t="n">
        <f aca="false">C13*$F$14/$F$13</f>
        <v>21935340</v>
      </c>
      <c r="D15" s="25" t="n">
        <f aca="false">D13*$F$14/$F$13</f>
        <v>18758250</v>
      </c>
      <c r="E15" s="25" t="n">
        <f aca="false">E13*$F$14/$F$13</f>
        <v>5518800</v>
      </c>
      <c r="F15" s="25" t="n">
        <f aca="false">SUM(B15:E15)</f>
        <v>67204998</v>
      </c>
    </row>
    <row r="16" customFormat="false" ht="15" hidden="false" customHeight="false" outlineLevel="0" collapsed="false">
      <c r="A16" s="7" t="s">
        <v>52</v>
      </c>
      <c r="B16" s="25" t="n">
        <f aca="false">B13-B15</f>
        <v>188933472</v>
      </c>
      <c r="C16" s="25" t="n">
        <f aca="false">C13-C15</f>
        <v>197418060</v>
      </c>
      <c r="D16" s="25" t="n">
        <f aca="false">D13-D15</f>
        <v>168824250</v>
      </c>
      <c r="E16" s="25" t="n">
        <f aca="false">E13-E15</f>
        <v>49669200</v>
      </c>
      <c r="F16" s="25" t="n">
        <f aca="false">SUM(B16:E16)</f>
        <v>604844982</v>
      </c>
    </row>
    <row r="17" customFormat="false" ht="15" hidden="false" customHeight="false" outlineLevel="0" collapsed="false">
      <c r="A17" s="7" t="s">
        <v>53</v>
      </c>
      <c r="B17" s="25" t="n">
        <f aca="false">IF(B15=0,0,B15*(INDEX(HSR,1)*MSPREAD+INDEX(IKR,1)*MIMPACT*2*B15/B13))</f>
        <v>138551.2128</v>
      </c>
      <c r="C17" s="25" t="n">
        <f aca="false">IF(C15=0,0,C15*(INDEX(HSR,2)*MSPREAD+INDEX(IKR,2)*MIMPACT*2*C15/C13))</f>
        <v>440900.334</v>
      </c>
      <c r="D17" s="25" t="n">
        <f aca="false">IF(D15=0,0,D15*(INDEX(HSR,3)*MSPREAD+INDEX(IKR,3)*MIMPACT*2*D15/D13))</f>
        <v>667793.7</v>
      </c>
      <c r="E17" s="25" t="n">
        <f aca="false">IF(E15=0,0,E15*(INDEX(HSR,4)*MSPREAD+INDEX(IKR,4)*MIMPACT*2*E15/E13))</f>
        <v>345476.88</v>
      </c>
      <c r="F17" s="27" t="n">
        <f aca="false">SUM(B17:E17)</f>
        <v>1592722.1268</v>
      </c>
    </row>
    <row r="18" customFormat="false" ht="15" hidden="false" customHeight="false" outlineLevel="0" collapsed="false">
      <c r="A18" s="26" t="s">
        <v>54</v>
      </c>
      <c r="F18" s="31" t="n">
        <f aca="false">(B16*(INDEX(DSELL,1)&lt;=7)+C16*(INDEX(DSELL,2)&lt;=7)+D16*(INDEX(DSELL,3)&lt;=7)+E16*(INDEX(DSELL,4)&lt;=7))/F16</f>
        <v>0.312366767721651</v>
      </c>
    </row>
    <row r="20" customFormat="false" ht="15" hidden="false" customHeight="false" outlineLevel="0" collapsed="false">
      <c r="A20" s="29" t="s">
        <v>56</v>
      </c>
      <c r="B20" s="30" t="n">
        <f aca="false">B16</f>
        <v>188933472</v>
      </c>
      <c r="C20" s="30" t="n">
        <f aca="false">C16</f>
        <v>197418060</v>
      </c>
      <c r="D20" s="30" t="n">
        <f aca="false">D16</f>
        <v>168824250</v>
      </c>
      <c r="E20" s="30" t="n">
        <f aca="false">E16</f>
        <v>49669200</v>
      </c>
      <c r="F20" s="30" t="n">
        <f aca="false">SUM(B20:E20)</f>
        <v>604844982</v>
      </c>
    </row>
    <row r="21" customFormat="false" ht="15" hidden="false" customHeight="false" outlineLevel="0" collapsed="false">
      <c r="A21" s="7" t="s">
        <v>50</v>
      </c>
      <c r="F21" s="25" t="n">
        <f aca="false">F20*REDN</f>
        <v>60484498.2</v>
      </c>
    </row>
    <row r="22" customFormat="false" ht="15" hidden="false" customHeight="false" outlineLevel="0" collapsed="false">
      <c r="A22" s="7" t="s">
        <v>51</v>
      </c>
      <c r="B22" s="25" t="n">
        <f aca="false">B20*$F$21/$F$20</f>
        <v>18893347.2</v>
      </c>
      <c r="C22" s="25" t="n">
        <f aca="false">C20*$F$21/$F$20</f>
        <v>19741806</v>
      </c>
      <c r="D22" s="25" t="n">
        <f aca="false">D20*$F$21/$F$20</f>
        <v>16882425</v>
      </c>
      <c r="E22" s="25" t="n">
        <f aca="false">E20*$F$21/$F$20</f>
        <v>4966920</v>
      </c>
      <c r="F22" s="25" t="n">
        <f aca="false">SUM(B22:E22)</f>
        <v>60484498.2</v>
      </c>
    </row>
    <row r="23" customFormat="false" ht="15" hidden="false" customHeight="false" outlineLevel="0" collapsed="false">
      <c r="A23" s="7" t="s">
        <v>52</v>
      </c>
      <c r="B23" s="25" t="n">
        <f aca="false">B20-B22</f>
        <v>170040124.8</v>
      </c>
      <c r="C23" s="25" t="n">
        <f aca="false">C20-C22</f>
        <v>177676254</v>
      </c>
      <c r="D23" s="25" t="n">
        <f aca="false">D20-D22</f>
        <v>151941825</v>
      </c>
      <c r="E23" s="25" t="n">
        <f aca="false">E20-E22</f>
        <v>44702280</v>
      </c>
      <c r="F23" s="25" t="n">
        <f aca="false">SUM(B23:E23)</f>
        <v>544360483.8</v>
      </c>
    </row>
    <row r="24" customFormat="false" ht="15" hidden="false" customHeight="false" outlineLevel="0" collapsed="false">
      <c r="A24" s="7" t="s">
        <v>53</v>
      </c>
      <c r="B24" s="25" t="n">
        <f aca="false">IF(B22=0,0,B22*(INDEX(HSR,1)*MSPREAD+INDEX(IKR,1)*MIMPACT*2*B22/B20))</f>
        <v>124696.09152</v>
      </c>
      <c r="C24" s="25" t="n">
        <f aca="false">IF(C22=0,0,C22*(INDEX(HSR,2)*MSPREAD+INDEX(IKR,2)*MIMPACT*2*C22/C20))</f>
        <v>396810.3006</v>
      </c>
      <c r="D24" s="25" t="n">
        <f aca="false">IF(D22=0,0,D22*(INDEX(HSR,3)*MSPREAD+INDEX(IKR,3)*MIMPACT*2*D22/D20))</f>
        <v>601014.33</v>
      </c>
      <c r="E24" s="25" t="n">
        <f aca="false">IF(E22=0,0,E22*(INDEX(HSR,4)*MSPREAD+INDEX(IKR,4)*MIMPACT*2*E22/E20))</f>
        <v>310929.192</v>
      </c>
      <c r="F24" s="27" t="n">
        <f aca="false">SUM(B24:E24)</f>
        <v>1433449.91412</v>
      </c>
    </row>
    <row r="25" customFormat="false" ht="15" hidden="false" customHeight="false" outlineLevel="0" collapsed="false">
      <c r="A25" s="26" t="s">
        <v>54</v>
      </c>
      <c r="F25" s="31" t="n">
        <f aca="false">(B23*(INDEX(DSELL,1)&lt;=7)+C23*(INDEX(DSELL,2)&lt;=7)+D23*(INDEX(DSELL,3)&lt;=7)+E23*(INDEX(DSELL,4)&lt;=7))/F23</f>
        <v>0.312366767721651</v>
      </c>
    </row>
    <row r="27" customFormat="false" ht="15" hidden="false" customHeight="false" outlineLevel="0" collapsed="false">
      <c r="A27" s="29" t="s">
        <v>57</v>
      </c>
      <c r="B27" s="30" t="n">
        <f aca="false">B23</f>
        <v>170040124.8</v>
      </c>
      <c r="C27" s="30" t="n">
        <f aca="false">C23</f>
        <v>177676254</v>
      </c>
      <c r="D27" s="30" t="n">
        <f aca="false">D23</f>
        <v>151941825</v>
      </c>
      <c r="E27" s="30" t="n">
        <f aca="false">E23</f>
        <v>44702280</v>
      </c>
      <c r="F27" s="30" t="n">
        <f aca="false">SUM(B27:E27)</f>
        <v>544360483.8</v>
      </c>
    </row>
    <row r="28" customFormat="false" ht="15" hidden="false" customHeight="false" outlineLevel="0" collapsed="false">
      <c r="A28" s="7" t="s">
        <v>50</v>
      </c>
      <c r="F28" s="25" t="n">
        <f aca="false">F27*REDN</f>
        <v>54436048.38</v>
      </c>
    </row>
    <row r="29" customFormat="false" ht="15" hidden="false" customHeight="false" outlineLevel="0" collapsed="false">
      <c r="A29" s="7" t="s">
        <v>51</v>
      </c>
      <c r="B29" s="25" t="n">
        <f aca="false">B27*$F$28/$F$27</f>
        <v>17004012.48</v>
      </c>
      <c r="C29" s="25" t="n">
        <f aca="false">C27*$F$28/$F$27</f>
        <v>17767625.4</v>
      </c>
      <c r="D29" s="25" t="n">
        <f aca="false">D27*$F$28/$F$27</f>
        <v>15194182.5</v>
      </c>
      <c r="E29" s="25" t="n">
        <f aca="false">E27*$F$28/$F$27</f>
        <v>4470228</v>
      </c>
      <c r="F29" s="25" t="n">
        <f aca="false">SUM(B29:E29)</f>
        <v>54436048.38</v>
      </c>
    </row>
    <row r="30" customFormat="false" ht="15" hidden="false" customHeight="false" outlineLevel="0" collapsed="false">
      <c r="A30" s="7" t="s">
        <v>52</v>
      </c>
      <c r="B30" s="25" t="n">
        <f aca="false">B27-B29</f>
        <v>153036112.32</v>
      </c>
      <c r="C30" s="25" t="n">
        <f aca="false">C27-C29</f>
        <v>159908628.6</v>
      </c>
      <c r="D30" s="25" t="n">
        <f aca="false">D27-D29</f>
        <v>136747642.5</v>
      </c>
      <c r="E30" s="25" t="n">
        <f aca="false">E27-E29</f>
        <v>40232052</v>
      </c>
      <c r="F30" s="25" t="n">
        <f aca="false">SUM(B30:E30)</f>
        <v>489924435.42</v>
      </c>
    </row>
    <row r="31" customFormat="false" ht="15" hidden="false" customHeight="false" outlineLevel="0" collapsed="false">
      <c r="A31" s="7" t="s">
        <v>53</v>
      </c>
      <c r="B31" s="25" t="n">
        <f aca="false">IF(B29=0,0,B29*(INDEX(HSR,1)*MSPREAD+INDEX(IKR,1)*MIMPACT*2*B29/B27))</f>
        <v>112226.482368</v>
      </c>
      <c r="C31" s="25" t="n">
        <f aca="false">IF(C29=0,0,C29*(INDEX(HSR,2)*MSPREAD+INDEX(IKR,2)*MIMPACT*2*C29/C27))</f>
        <v>357129.27054</v>
      </c>
      <c r="D31" s="25" t="n">
        <f aca="false">IF(D29=0,0,D29*(INDEX(HSR,3)*MSPREAD+INDEX(IKR,3)*MIMPACT*2*D29/D27))</f>
        <v>540912.897</v>
      </c>
      <c r="E31" s="25" t="n">
        <f aca="false">IF(E29=0,0,E29*(INDEX(HSR,4)*MSPREAD+INDEX(IKR,4)*MIMPACT*2*E29/E27))</f>
        <v>279836.2728</v>
      </c>
      <c r="F31" s="27" t="n">
        <f aca="false">SUM(B31:E31)</f>
        <v>1290104.922708</v>
      </c>
    </row>
    <row r="32" customFormat="false" ht="15" hidden="false" customHeight="false" outlineLevel="0" collapsed="false">
      <c r="A32" s="26" t="s">
        <v>54</v>
      </c>
      <c r="F32" s="31" t="n">
        <f aca="false">(B30*(INDEX(DSELL,1)&lt;=7)+C30*(INDEX(DSELL,2)&lt;=7)+D30*(INDEX(DSELL,3)&lt;=7)+E30*(INDEX(DSELL,4)&lt;=7))/F30</f>
        <v>0.312366767721651</v>
      </c>
    </row>
    <row r="34" customFormat="false" ht="15" hidden="false" customHeight="false" outlineLevel="0" collapsed="false">
      <c r="A34" s="29" t="s">
        <v>58</v>
      </c>
      <c r="B34" s="30" t="n">
        <f aca="false">B30</f>
        <v>153036112.32</v>
      </c>
      <c r="C34" s="30" t="n">
        <f aca="false">C30</f>
        <v>159908628.6</v>
      </c>
      <c r="D34" s="30" t="n">
        <f aca="false">D30</f>
        <v>136747642.5</v>
      </c>
      <c r="E34" s="30" t="n">
        <f aca="false">E30</f>
        <v>40232052</v>
      </c>
      <c r="F34" s="30" t="n">
        <f aca="false">SUM(B34:E34)</f>
        <v>489924435.42</v>
      </c>
    </row>
    <row r="35" customFormat="false" ht="15" hidden="false" customHeight="false" outlineLevel="0" collapsed="false">
      <c r="A35" s="7" t="s">
        <v>50</v>
      </c>
      <c r="F35" s="25" t="n">
        <f aca="false">F34*REDN</f>
        <v>48992443.542</v>
      </c>
    </row>
    <row r="36" customFormat="false" ht="15" hidden="false" customHeight="false" outlineLevel="0" collapsed="false">
      <c r="A36" s="7" t="s">
        <v>51</v>
      </c>
      <c r="B36" s="25" t="n">
        <f aca="false">B34*$F$35/$F$34</f>
        <v>15303611.232</v>
      </c>
      <c r="C36" s="25" t="n">
        <f aca="false">C34*$F$35/$F$34</f>
        <v>15990862.86</v>
      </c>
      <c r="D36" s="25" t="n">
        <f aca="false">D34*$F$35/$F$34</f>
        <v>13674764.25</v>
      </c>
      <c r="E36" s="25" t="n">
        <f aca="false">E34*$F$35/$F$34</f>
        <v>4023205.2</v>
      </c>
      <c r="F36" s="25" t="n">
        <f aca="false">SUM(B36:E36)</f>
        <v>48992443.542</v>
      </c>
    </row>
    <row r="37" customFormat="false" ht="15" hidden="false" customHeight="false" outlineLevel="0" collapsed="false">
      <c r="A37" s="7" t="s">
        <v>52</v>
      </c>
      <c r="B37" s="25" t="n">
        <f aca="false">B34-B36</f>
        <v>137732501.088</v>
      </c>
      <c r="C37" s="25" t="n">
        <f aca="false">C34-C36</f>
        <v>143917765.74</v>
      </c>
      <c r="D37" s="25" t="n">
        <f aca="false">D34-D36</f>
        <v>123072878.25</v>
      </c>
      <c r="E37" s="25" t="n">
        <f aca="false">E34-E36</f>
        <v>36208846.8</v>
      </c>
      <c r="F37" s="25" t="n">
        <f aca="false">SUM(B37:E37)</f>
        <v>440931991.878</v>
      </c>
    </row>
    <row r="38" customFormat="false" ht="15" hidden="false" customHeight="false" outlineLevel="0" collapsed="false">
      <c r="A38" s="7" t="s">
        <v>53</v>
      </c>
      <c r="B38" s="25" t="n">
        <f aca="false">IF(B36=0,0,B36*(INDEX(HSR,1)*MSPREAD+INDEX(IKR,1)*MIMPACT*2*B36/B34))</f>
        <v>101003.8341312</v>
      </c>
      <c r="C38" s="25" t="n">
        <f aca="false">IF(C36=0,0,C36*(INDEX(HSR,2)*MSPREAD+INDEX(IKR,2)*MIMPACT*2*C36/C34))</f>
        <v>321416.343486</v>
      </c>
      <c r="D38" s="25" t="n">
        <f aca="false">IF(D36=0,0,D36*(INDEX(HSR,3)*MSPREAD+INDEX(IKR,3)*MIMPACT*2*D36/D34))</f>
        <v>486821.6073</v>
      </c>
      <c r="E38" s="25" t="n">
        <f aca="false">IF(E36=0,0,E36*(INDEX(HSR,4)*MSPREAD+INDEX(IKR,4)*MIMPACT*2*E36/E34))</f>
        <v>251852.64552</v>
      </c>
      <c r="F38" s="27" t="n">
        <f aca="false">SUM(B38:E38)</f>
        <v>1161094.4304372</v>
      </c>
    </row>
    <row r="39" customFormat="false" ht="15" hidden="false" customHeight="false" outlineLevel="0" collapsed="false">
      <c r="A39" s="26" t="s">
        <v>54</v>
      </c>
      <c r="F39" s="31" t="n">
        <f aca="false">(B37*(INDEX(DSELL,1)&lt;=7)+C37*(INDEX(DSELL,2)&lt;=7)+D37*(INDEX(DSELL,3)&lt;=7)+E37*(INDEX(DSELL,4)&lt;=7))/F37</f>
        <v>0.312366767721651</v>
      </c>
    </row>
    <row r="41" customFormat="false" ht="15" hidden="false" customHeight="false" outlineLevel="0" collapsed="false">
      <c r="A41" s="29" t="s">
        <v>59</v>
      </c>
      <c r="B41" s="30" t="n">
        <f aca="false">B37</f>
        <v>137732501.088</v>
      </c>
      <c r="C41" s="30" t="n">
        <f aca="false">C37</f>
        <v>143917765.74</v>
      </c>
      <c r="D41" s="30" t="n">
        <f aca="false">D37</f>
        <v>123072878.25</v>
      </c>
      <c r="E41" s="30" t="n">
        <f aca="false">E37</f>
        <v>36208846.8</v>
      </c>
      <c r="F41" s="30" t="n">
        <f aca="false">SUM(B41:E41)</f>
        <v>440931991.878</v>
      </c>
    </row>
    <row r="42" customFormat="false" ht="15" hidden="false" customHeight="false" outlineLevel="0" collapsed="false">
      <c r="A42" s="7" t="s">
        <v>50</v>
      </c>
      <c r="F42" s="25" t="n">
        <f aca="false">F41*REDN</f>
        <v>44093199.1878</v>
      </c>
    </row>
    <row r="43" customFormat="false" ht="15" hidden="false" customHeight="false" outlineLevel="0" collapsed="false">
      <c r="A43" s="7" t="s">
        <v>51</v>
      </c>
      <c r="B43" s="25" t="n">
        <f aca="false">B41*$F$42/$F$41</f>
        <v>13773250.1088</v>
      </c>
      <c r="C43" s="25" t="n">
        <f aca="false">C41*$F$42/$F$41</f>
        <v>14391776.574</v>
      </c>
      <c r="D43" s="25" t="n">
        <f aca="false">D41*$F$42/$F$41</f>
        <v>12307287.825</v>
      </c>
      <c r="E43" s="25" t="n">
        <f aca="false">E41*$F$42/$F$41</f>
        <v>3620884.68</v>
      </c>
      <c r="F43" s="25" t="n">
        <f aca="false">SUM(B43:E43)</f>
        <v>44093199.1878</v>
      </c>
    </row>
    <row r="44" customFormat="false" ht="15" hidden="false" customHeight="false" outlineLevel="0" collapsed="false">
      <c r="A44" s="7" t="s">
        <v>52</v>
      </c>
      <c r="B44" s="25" t="n">
        <f aca="false">B41-B43</f>
        <v>123959250.9792</v>
      </c>
      <c r="C44" s="25" t="n">
        <f aca="false">C41-C43</f>
        <v>129525989.166</v>
      </c>
      <c r="D44" s="25" t="n">
        <f aca="false">D41-D43</f>
        <v>110765590.425</v>
      </c>
      <c r="E44" s="25" t="n">
        <f aca="false">E41-E43</f>
        <v>32587962.12</v>
      </c>
      <c r="F44" s="25" t="n">
        <f aca="false">SUM(B44:E44)</f>
        <v>396838792.6902</v>
      </c>
    </row>
    <row r="45" customFormat="false" ht="15" hidden="false" customHeight="false" outlineLevel="0" collapsed="false">
      <c r="A45" s="7" t="s">
        <v>53</v>
      </c>
      <c r="B45" s="25" t="n">
        <f aca="false">IF(B43=0,0,B43*(INDEX(HSR,1)*MSPREAD+INDEX(IKR,1)*MIMPACT*2*B43/B41))</f>
        <v>90903.45071808</v>
      </c>
      <c r="C45" s="25" t="n">
        <f aca="false">IF(C43=0,0,C43*(INDEX(HSR,2)*MSPREAD+INDEX(IKR,2)*MIMPACT*2*C43/C41))</f>
        <v>289274.7091374</v>
      </c>
      <c r="D45" s="25" t="n">
        <f aca="false">IF(D43=0,0,D43*(INDEX(HSR,3)*MSPREAD+INDEX(IKR,3)*MIMPACT*2*D43/D41))</f>
        <v>438139.44657</v>
      </c>
      <c r="E45" s="25" t="n">
        <f aca="false">IF(E43=0,0,E43*(INDEX(HSR,4)*MSPREAD+INDEX(IKR,4)*MIMPACT*2*E43/E41))</f>
        <v>226667.380968</v>
      </c>
      <c r="F45" s="27" t="n">
        <f aca="false">SUM(B45:E45)</f>
        <v>1044984.98739348</v>
      </c>
    </row>
    <row r="46" customFormat="false" ht="15" hidden="false" customHeight="false" outlineLevel="0" collapsed="false">
      <c r="A46" s="26" t="s">
        <v>54</v>
      </c>
      <c r="F46" s="31" t="n">
        <f aca="false">(B44*(INDEX(DSELL,1)&lt;=7)+C44*(INDEX(DSELL,2)&lt;=7)+D44*(INDEX(DSELL,3)&lt;=7)+E44*(INDEX(DSELL,4)&lt;=7))/F44</f>
        <v>0.312366767721651</v>
      </c>
    </row>
    <row r="48" customFormat="false" ht="15" hidden="false" customHeight="false" outlineLevel="0" collapsed="false">
      <c r="A48" s="4" t="s">
        <v>60</v>
      </c>
      <c r="B48" s="12"/>
      <c r="C48" s="12"/>
      <c r="D48" s="12"/>
      <c r="E48" s="12"/>
      <c r="F48" s="12"/>
    </row>
    <row r="50" customFormat="false" ht="30" hidden="false" customHeight="true" outlineLevel="0" collapsed="false">
      <c r="A50" s="13" t="s">
        <v>44</v>
      </c>
      <c r="B50" s="14" t="s">
        <v>61</v>
      </c>
      <c r="C50" s="14" t="s">
        <v>62</v>
      </c>
      <c r="D50" s="14" t="s">
        <v>63</v>
      </c>
      <c r="E50" s="14"/>
      <c r="F50" s="14"/>
    </row>
    <row r="51" customFormat="false" ht="15" hidden="false" customHeight="false" outlineLevel="0" collapsed="false">
      <c r="A51" s="7" t="s">
        <v>64</v>
      </c>
      <c r="B51" s="25" t="n">
        <f aca="false">F10</f>
        <v>1769691.252</v>
      </c>
      <c r="C51" s="25" t="n">
        <f aca="false">SUM($B$51:B51)</f>
        <v>1769691.252</v>
      </c>
      <c r="D51" s="32" t="n">
        <f aca="false">F11</f>
        <v>0.312366767721651</v>
      </c>
    </row>
    <row r="52" customFormat="false" ht="15" hidden="false" customHeight="false" outlineLevel="0" collapsed="false">
      <c r="A52" s="19" t="s">
        <v>65</v>
      </c>
      <c r="B52" s="30" t="n">
        <f aca="false">F17</f>
        <v>1592722.1268</v>
      </c>
      <c r="C52" s="30" t="n">
        <f aca="false">SUM($B$51:B52)</f>
        <v>3362413.3788</v>
      </c>
      <c r="D52" s="33" t="n">
        <f aca="false">F18</f>
        <v>0.312366767721651</v>
      </c>
    </row>
    <row r="53" customFormat="false" ht="15" hidden="false" customHeight="false" outlineLevel="0" collapsed="false">
      <c r="A53" s="7" t="s">
        <v>66</v>
      </c>
      <c r="B53" s="25" t="n">
        <f aca="false">F24</f>
        <v>1433449.91412</v>
      </c>
      <c r="C53" s="25" t="n">
        <f aca="false">SUM($B$51:B53)</f>
        <v>4795863.29292</v>
      </c>
      <c r="D53" s="32" t="n">
        <f aca="false">F25</f>
        <v>0.312366767721651</v>
      </c>
    </row>
    <row r="54" customFormat="false" ht="15" hidden="false" customHeight="false" outlineLevel="0" collapsed="false">
      <c r="A54" s="19" t="s">
        <v>67</v>
      </c>
      <c r="B54" s="30" t="n">
        <f aca="false">F31</f>
        <v>1290104.922708</v>
      </c>
      <c r="C54" s="30" t="n">
        <f aca="false">SUM($B$51:B54)</f>
        <v>6085968.215628</v>
      </c>
      <c r="D54" s="33" t="n">
        <f aca="false">F32</f>
        <v>0.312366767721651</v>
      </c>
    </row>
    <row r="55" customFormat="false" ht="15" hidden="false" customHeight="false" outlineLevel="0" collapsed="false">
      <c r="A55" s="7" t="s">
        <v>68</v>
      </c>
      <c r="B55" s="25" t="n">
        <f aca="false">F38</f>
        <v>1161094.4304372</v>
      </c>
      <c r="C55" s="25" t="n">
        <f aca="false">SUM($B$51:B55)</f>
        <v>7247062.6460652</v>
      </c>
      <c r="D55" s="32" t="n">
        <f aca="false">F39</f>
        <v>0.312366767721651</v>
      </c>
    </row>
    <row r="56" customFormat="false" ht="15" hidden="false" customHeight="false" outlineLevel="0" collapsed="false">
      <c r="A56" s="19" t="s">
        <v>69</v>
      </c>
      <c r="B56" s="30" t="n">
        <f aca="false">F45</f>
        <v>1044984.98739348</v>
      </c>
      <c r="C56" s="30" t="n">
        <f aca="false">SUM($B$51:B56)</f>
        <v>8292047.63345868</v>
      </c>
      <c r="D56" s="33" t="n">
        <f aca="false">F46</f>
        <v>0.312366767721651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6" min="2" style="0" width="15"/>
    <col collapsed="false" customWidth="true" hidden="false" outlineLevel="0" max="7" min="7" style="0" width="4"/>
    <col collapsed="false" customWidth="true" hidden="false" outlineLevel="0" max="8" min="8" style="0" width="46"/>
  </cols>
  <sheetData>
    <row r="1" customFormat="false" ht="24" hidden="false" customHeight="true" outlineLevel="0" collapsed="false">
      <c r="A1" s="1" t="s">
        <v>70</v>
      </c>
    </row>
    <row r="2" customFormat="false" ht="15" hidden="false" customHeight="false" outlineLevel="0" collapsed="false">
      <c r="A2" s="2" t="s">
        <v>71</v>
      </c>
    </row>
    <row r="3" customFormat="false" ht="15" hidden="false" customHeight="false" outlineLevel="0" collapsed="false">
      <c r="A3" s="3"/>
      <c r="B3" s="3"/>
      <c r="C3" s="3"/>
      <c r="D3" s="3"/>
      <c r="E3" s="3"/>
      <c r="F3" s="3"/>
    </row>
    <row r="5" customFormat="false" ht="30" hidden="false" customHeight="true" outlineLevel="0" collapsed="false">
      <c r="A5" s="13" t="s">
        <v>44</v>
      </c>
      <c r="B5" s="14" t="s">
        <v>45</v>
      </c>
      <c r="C5" s="14" t="s">
        <v>46</v>
      </c>
      <c r="D5" s="14" t="s">
        <v>47</v>
      </c>
      <c r="E5" s="14" t="s">
        <v>48</v>
      </c>
      <c r="F5" s="14" t="s">
        <v>40</v>
      </c>
    </row>
    <row r="6" customFormat="false" ht="15" hidden="false" customHeight="false" outlineLevel="0" collapsed="false">
      <c r="A6" s="29" t="s">
        <v>49</v>
      </c>
      <c r="B6" s="30" t="n">
        <f aca="false">Inputs!B24</f>
        <v>233251200</v>
      </c>
      <c r="C6" s="30" t="n">
        <f aca="false">Inputs!B25</f>
        <v>243726000</v>
      </c>
      <c r="D6" s="30" t="n">
        <f aca="false">Inputs!B26</f>
        <v>208425000</v>
      </c>
      <c r="E6" s="30" t="n">
        <f aca="false">Inputs!B27</f>
        <v>61320000</v>
      </c>
      <c r="F6" s="30" t="n">
        <f aca="false">SUM(B6:E6)</f>
        <v>746722200</v>
      </c>
    </row>
    <row r="7" customFormat="false" ht="15" hidden="false" customHeight="false" outlineLevel="0" collapsed="false">
      <c r="A7" s="7" t="s">
        <v>50</v>
      </c>
      <c r="F7" s="25" t="n">
        <f aca="false">F6*REDN</f>
        <v>74672220</v>
      </c>
    </row>
    <row r="8" customFormat="false" ht="15" hidden="false" customHeight="false" outlineLevel="0" collapsed="false">
      <c r="A8" s="7" t="s">
        <v>51</v>
      </c>
      <c r="B8" s="25" t="n">
        <f aca="false">MIN(B6,$F$7)</f>
        <v>74672220</v>
      </c>
      <c r="C8" s="25" t="n">
        <f aca="false">MIN(C6,MAX(0,$F$7-(B8)))</f>
        <v>0</v>
      </c>
      <c r="D8" s="25" t="n">
        <f aca="false">MIN(D6,MAX(0,$F$7-(B8+C8)))</f>
        <v>0</v>
      </c>
      <c r="E8" s="25" t="n">
        <f aca="false">MIN(E6,MAX(0,$F$7-(B8+C8+D8)))</f>
        <v>0</v>
      </c>
      <c r="F8" s="25" t="n">
        <f aca="false">SUM(B8:E8)</f>
        <v>74672220</v>
      </c>
    </row>
    <row r="9" customFormat="false" ht="15" hidden="false" customHeight="false" outlineLevel="0" collapsed="false">
      <c r="A9" s="7" t="s">
        <v>52</v>
      </c>
      <c r="B9" s="25" t="n">
        <f aca="false">B6-B8</f>
        <v>158578980</v>
      </c>
      <c r="C9" s="25" t="n">
        <f aca="false">C6-C8</f>
        <v>243726000</v>
      </c>
      <c r="D9" s="25" t="n">
        <f aca="false">D6-D8</f>
        <v>208425000</v>
      </c>
      <c r="E9" s="25" t="n">
        <f aca="false">E6-E8</f>
        <v>61320000</v>
      </c>
      <c r="F9" s="25" t="n">
        <f aca="false">SUM(B9:E9)</f>
        <v>672049980</v>
      </c>
    </row>
    <row r="10" customFormat="false" ht="15" hidden="false" customHeight="false" outlineLevel="0" collapsed="false">
      <c r="A10" s="7" t="s">
        <v>53</v>
      </c>
      <c r="B10" s="25" t="n">
        <f aca="false">IF(B8=0,0,B8*(INDEX(HSR,1)*MSPREAD+INDEX(IKR,1)*MIMPACT*2*B8/B6))</f>
        <v>591465.1335914</v>
      </c>
      <c r="C10" s="25" t="n">
        <f aca="false">IF(C8=0,0,C8*(INDEX(HSR,2)*MSPREAD+INDEX(IKR,2)*MIMPACT*2*C8/C6))</f>
        <v>0</v>
      </c>
      <c r="D10" s="25" t="n">
        <f aca="false">IF(D8=0,0,D8*(INDEX(HSR,3)*MSPREAD+INDEX(IKR,3)*MIMPACT*2*D8/D6))</f>
        <v>0</v>
      </c>
      <c r="E10" s="25" t="n">
        <f aca="false">IF(E8=0,0,E8*(INDEX(HSR,4)*MSPREAD+INDEX(IKR,4)*MIMPACT*2*E8/E6))</f>
        <v>0</v>
      </c>
      <c r="F10" s="27" t="n">
        <f aca="false">SUM(B10:E10)</f>
        <v>591465.1335914</v>
      </c>
    </row>
    <row r="11" customFormat="false" ht="15" hidden="false" customHeight="false" outlineLevel="0" collapsed="false">
      <c r="A11" s="26" t="s">
        <v>54</v>
      </c>
      <c r="F11" s="31" t="n">
        <f aca="false">(B9*(INDEX(DSELL,1)&lt;=7)+C9*(INDEX(DSELL,2)&lt;=7)+D9*(INDEX(DSELL,3)&lt;=7)+E9*(INDEX(DSELL,4)&lt;=7))/F9</f>
        <v>0.235963075246279</v>
      </c>
    </row>
    <row r="13" customFormat="false" ht="15" hidden="false" customHeight="false" outlineLevel="0" collapsed="false">
      <c r="A13" s="29" t="s">
        <v>55</v>
      </c>
      <c r="B13" s="30" t="n">
        <f aca="false">B9</f>
        <v>158578980</v>
      </c>
      <c r="C13" s="30" t="n">
        <f aca="false">C9</f>
        <v>243726000</v>
      </c>
      <c r="D13" s="30" t="n">
        <f aca="false">D9</f>
        <v>208425000</v>
      </c>
      <c r="E13" s="30" t="n">
        <f aca="false">E9</f>
        <v>61320000</v>
      </c>
      <c r="F13" s="30" t="n">
        <f aca="false">SUM(B13:E13)</f>
        <v>672049980</v>
      </c>
    </row>
    <row r="14" customFormat="false" ht="15" hidden="false" customHeight="false" outlineLevel="0" collapsed="false">
      <c r="A14" s="7" t="s">
        <v>50</v>
      </c>
      <c r="F14" s="25" t="n">
        <f aca="false">F13*REDN</f>
        <v>67204998</v>
      </c>
    </row>
    <row r="15" customFormat="false" ht="15" hidden="false" customHeight="false" outlineLevel="0" collapsed="false">
      <c r="A15" s="7" t="s">
        <v>51</v>
      </c>
      <c r="B15" s="25" t="n">
        <f aca="false">MIN(B13,$F$14)</f>
        <v>67204998</v>
      </c>
      <c r="C15" s="25" t="n">
        <f aca="false">MIN(C13,MAX(0,$F$14-(B15)))</f>
        <v>0</v>
      </c>
      <c r="D15" s="25" t="n">
        <f aca="false">MIN(D13,MAX(0,$F$14-(B15+C15)))</f>
        <v>0</v>
      </c>
      <c r="E15" s="25" t="n">
        <f aca="false">MIN(E13,MAX(0,$F$14-(B15+C15+D15)))</f>
        <v>0</v>
      </c>
      <c r="F15" s="25" t="n">
        <f aca="false">SUM(B15:E15)</f>
        <v>67204998</v>
      </c>
    </row>
    <row r="16" customFormat="false" ht="15" hidden="false" customHeight="false" outlineLevel="0" collapsed="false">
      <c r="A16" s="7" t="s">
        <v>52</v>
      </c>
      <c r="B16" s="25" t="n">
        <f aca="false">B13-B15</f>
        <v>91373982</v>
      </c>
      <c r="C16" s="25" t="n">
        <f aca="false">C13-C15</f>
        <v>243726000</v>
      </c>
      <c r="D16" s="25" t="n">
        <f aca="false">D13-D15</f>
        <v>208425000</v>
      </c>
      <c r="E16" s="25" t="n">
        <f aca="false">E13-E15</f>
        <v>61320000</v>
      </c>
      <c r="F16" s="25" t="n">
        <f aca="false">SUM(B16:E16)</f>
        <v>604844982</v>
      </c>
    </row>
    <row r="17" customFormat="false" ht="15" hidden="false" customHeight="false" outlineLevel="0" collapsed="false">
      <c r="A17" s="7" t="s">
        <v>53</v>
      </c>
      <c r="B17" s="25" t="n">
        <f aca="false">IF(B15=0,0,B15*(INDEX(HSR,1)*MSPREAD+INDEX(IKR,1)*MIMPACT*2*B15/B13))</f>
        <v>574116.889511663</v>
      </c>
      <c r="C17" s="25" t="n">
        <f aca="false">IF(C15=0,0,C15*(INDEX(HSR,2)*MSPREAD+INDEX(IKR,2)*MIMPACT*2*C15/C13))</f>
        <v>0</v>
      </c>
      <c r="D17" s="25" t="n">
        <f aca="false">IF(D15=0,0,D15*(INDEX(HSR,3)*MSPREAD+INDEX(IKR,3)*MIMPACT*2*D15/D13))</f>
        <v>0</v>
      </c>
      <c r="E17" s="25" t="n">
        <f aca="false">IF(E15=0,0,E15*(INDEX(HSR,4)*MSPREAD+INDEX(IKR,4)*MIMPACT*2*E15/E13))</f>
        <v>0</v>
      </c>
      <c r="F17" s="27" t="n">
        <f aca="false">SUM(B17:E17)</f>
        <v>574116.889511663</v>
      </c>
    </row>
    <row r="18" customFormat="false" ht="15" hidden="false" customHeight="false" outlineLevel="0" collapsed="false">
      <c r="A18" s="26" t="s">
        <v>54</v>
      </c>
      <c r="F18" s="31" t="n">
        <f aca="false">(B16*(INDEX(DSELL,1)&lt;=7)+C16*(INDEX(DSELL,2)&lt;=7)+D16*(INDEX(DSELL,3)&lt;=7)+E16*(INDEX(DSELL,4)&lt;=7))/F16</f>
        <v>0.151070083606976</v>
      </c>
    </row>
    <row r="20" customFormat="false" ht="15" hidden="false" customHeight="false" outlineLevel="0" collapsed="false">
      <c r="A20" s="29" t="s">
        <v>56</v>
      </c>
      <c r="B20" s="30" t="n">
        <f aca="false">B16</f>
        <v>91373982</v>
      </c>
      <c r="C20" s="30" t="n">
        <f aca="false">C16</f>
        <v>243726000</v>
      </c>
      <c r="D20" s="30" t="n">
        <f aca="false">D16</f>
        <v>208425000</v>
      </c>
      <c r="E20" s="30" t="n">
        <f aca="false">E16</f>
        <v>61320000</v>
      </c>
      <c r="F20" s="30" t="n">
        <f aca="false">SUM(B20:E20)</f>
        <v>604844982</v>
      </c>
    </row>
    <row r="21" customFormat="false" ht="15" hidden="false" customHeight="false" outlineLevel="0" collapsed="false">
      <c r="A21" s="7" t="s">
        <v>50</v>
      </c>
      <c r="F21" s="25" t="n">
        <f aca="false">F20*REDN</f>
        <v>60484498.2</v>
      </c>
    </row>
    <row r="22" customFormat="false" ht="15" hidden="false" customHeight="false" outlineLevel="0" collapsed="false">
      <c r="A22" s="7" t="s">
        <v>51</v>
      </c>
      <c r="B22" s="25" t="n">
        <f aca="false">MIN(B20,$F$21)</f>
        <v>60484498.2</v>
      </c>
      <c r="C22" s="25" t="n">
        <f aca="false">MIN(C20,MAX(0,$F$21-(B22)))</f>
        <v>0</v>
      </c>
      <c r="D22" s="25" t="n">
        <f aca="false">MIN(D20,MAX(0,$F$21-(B22+C22)))</f>
        <v>0</v>
      </c>
      <c r="E22" s="25" t="n">
        <f aca="false">MIN(E20,MAX(0,$F$21-(B22+C22+D22)))</f>
        <v>0</v>
      </c>
      <c r="F22" s="25" t="n">
        <f aca="false">SUM(B22:E22)</f>
        <v>60484498.2</v>
      </c>
    </row>
    <row r="23" customFormat="false" ht="15" hidden="false" customHeight="false" outlineLevel="0" collapsed="false">
      <c r="A23" s="7" t="s">
        <v>52</v>
      </c>
      <c r="B23" s="25" t="n">
        <f aca="false">B20-B22</f>
        <v>30889483.8</v>
      </c>
      <c r="C23" s="25" t="n">
        <f aca="false">C20-C22</f>
        <v>243726000</v>
      </c>
      <c r="D23" s="25" t="n">
        <f aca="false">D20-D22</f>
        <v>208425000</v>
      </c>
      <c r="E23" s="25" t="n">
        <f aca="false">E20-E22</f>
        <v>61320000</v>
      </c>
      <c r="F23" s="25" t="n">
        <f aca="false">SUM(B23:E23)</f>
        <v>544360483.8</v>
      </c>
    </row>
    <row r="24" customFormat="false" ht="15" hidden="false" customHeight="false" outlineLevel="0" collapsed="false">
      <c r="A24" s="7" t="s">
        <v>53</v>
      </c>
      <c r="B24" s="25" t="n">
        <f aca="false">IF(B22=0,0,B22*(INDEX(HSR,1)*MSPREAD+INDEX(IKR,1)*MIMPACT*2*B22/B20))</f>
        <v>603131.248388298</v>
      </c>
      <c r="C24" s="25" t="n">
        <f aca="false">IF(C22=0,0,C22*(INDEX(HSR,2)*MSPREAD+INDEX(IKR,2)*MIMPACT*2*C22/C20))</f>
        <v>0</v>
      </c>
      <c r="D24" s="25" t="n">
        <f aca="false">IF(D22=0,0,D22*(INDEX(HSR,3)*MSPREAD+INDEX(IKR,3)*MIMPACT*2*D22/D20))</f>
        <v>0</v>
      </c>
      <c r="E24" s="25" t="n">
        <f aca="false">IF(E22=0,0,E22*(INDEX(HSR,4)*MSPREAD+INDEX(IKR,4)*MIMPACT*2*E22/E20))</f>
        <v>0</v>
      </c>
      <c r="F24" s="27" t="n">
        <f aca="false">SUM(B24:E24)</f>
        <v>603131.248388298</v>
      </c>
    </row>
    <row r="25" customFormat="false" ht="15" hidden="false" customHeight="false" outlineLevel="0" collapsed="false">
      <c r="A25" s="26" t="s">
        <v>54</v>
      </c>
      <c r="F25" s="31" t="n">
        <f aca="false">(B23*(INDEX(DSELL,1)&lt;=7)+C23*(INDEX(DSELL,2)&lt;=7)+D23*(INDEX(DSELL,3)&lt;=7)+E23*(INDEX(DSELL,4)&lt;=7))/F23</f>
        <v>0.0567445373410846</v>
      </c>
    </row>
    <row r="27" customFormat="false" ht="15" hidden="false" customHeight="false" outlineLevel="0" collapsed="false">
      <c r="A27" s="29" t="s">
        <v>57</v>
      </c>
      <c r="B27" s="30" t="n">
        <f aca="false">B23</f>
        <v>30889483.8</v>
      </c>
      <c r="C27" s="30" t="n">
        <f aca="false">C23</f>
        <v>243726000</v>
      </c>
      <c r="D27" s="30" t="n">
        <f aca="false">D23</f>
        <v>208425000</v>
      </c>
      <c r="E27" s="30" t="n">
        <f aca="false">E23</f>
        <v>61320000</v>
      </c>
      <c r="F27" s="30" t="n">
        <f aca="false">SUM(B27:E27)</f>
        <v>544360483.8</v>
      </c>
    </row>
    <row r="28" customFormat="false" ht="15" hidden="false" customHeight="false" outlineLevel="0" collapsed="false">
      <c r="A28" s="7" t="s">
        <v>50</v>
      </c>
      <c r="F28" s="25" t="n">
        <f aca="false">F27*REDN</f>
        <v>54436048.38</v>
      </c>
    </row>
    <row r="29" customFormat="false" ht="15" hidden="false" customHeight="false" outlineLevel="0" collapsed="false">
      <c r="A29" s="7" t="s">
        <v>51</v>
      </c>
      <c r="B29" s="25" t="n">
        <f aca="false">MIN(B27,$F$28)</f>
        <v>30889483.8</v>
      </c>
      <c r="C29" s="25" t="n">
        <f aca="false">MIN(C27,MAX(0,$F$28-(B29)))</f>
        <v>23546564.58</v>
      </c>
      <c r="D29" s="25" t="n">
        <f aca="false">MIN(D27,MAX(0,$F$28-(B29+C29)))</f>
        <v>0</v>
      </c>
      <c r="E29" s="25" t="n">
        <f aca="false">MIN(E27,MAX(0,$F$28-(B29+C29+D29)))</f>
        <v>0</v>
      </c>
      <c r="F29" s="25" t="n">
        <f aca="false">SUM(B29:E29)</f>
        <v>54436048.38</v>
      </c>
    </row>
    <row r="30" customFormat="false" ht="15" hidden="false" customHeight="false" outlineLevel="0" collapsed="false">
      <c r="A30" s="7" t="s">
        <v>52</v>
      </c>
      <c r="B30" s="25" t="n">
        <f aca="false">B27-B29</f>
        <v>0</v>
      </c>
      <c r="C30" s="25" t="n">
        <f aca="false">C27-C29</f>
        <v>220179435.42</v>
      </c>
      <c r="D30" s="25" t="n">
        <f aca="false">D27-D29</f>
        <v>208425000</v>
      </c>
      <c r="E30" s="25" t="n">
        <f aca="false">E27-E29</f>
        <v>61320000</v>
      </c>
      <c r="F30" s="25" t="n">
        <f aca="false">SUM(B30:E30)</f>
        <v>489924435.42</v>
      </c>
    </row>
    <row r="31" customFormat="false" ht="15" hidden="false" customHeight="false" outlineLevel="0" collapsed="false">
      <c r="A31" s="7" t="s">
        <v>53</v>
      </c>
      <c r="B31" s="25" t="n">
        <f aca="false">IF(B29=0,0,B29*(INDEX(HSR,1)*MSPREAD+INDEX(IKR,1)*MIMPACT*2*B29/B27))</f>
        <v>370673.8056</v>
      </c>
      <c r="C31" s="25" t="n">
        <f aca="false">IF(C29=0,0,C29*(INDEX(HSR,2)*MSPREAD+INDEX(IKR,2)*MIMPACT*2*C29/C27))</f>
        <v>471610.065207544</v>
      </c>
      <c r="D31" s="25" t="n">
        <f aca="false">IF(D29=0,0,D29*(INDEX(HSR,3)*MSPREAD+INDEX(IKR,3)*MIMPACT*2*D29/D27))</f>
        <v>0</v>
      </c>
      <c r="E31" s="25" t="n">
        <f aca="false">IF(E29=0,0,E29*(INDEX(HSR,4)*MSPREAD+INDEX(IKR,4)*MIMPACT*2*E29/E27))</f>
        <v>0</v>
      </c>
      <c r="F31" s="27" t="n">
        <f aca="false">SUM(B31:E31)</f>
        <v>842283.870807544</v>
      </c>
    </row>
    <row r="32" customFormat="false" ht="15" hidden="false" customHeight="false" outlineLevel="0" collapsed="false">
      <c r="A32" s="26" t="s">
        <v>54</v>
      </c>
      <c r="F32" s="31" t="n">
        <f aca="false">(B30*(INDEX(DSELL,1)&lt;=7)+C30*(INDEX(DSELL,2)&lt;=7)+D30*(INDEX(DSELL,3)&lt;=7)+E30*(INDEX(DSELL,4)&lt;=7))/F30</f>
        <v>0</v>
      </c>
    </row>
    <row r="34" customFormat="false" ht="15" hidden="false" customHeight="false" outlineLevel="0" collapsed="false">
      <c r="A34" s="29" t="s">
        <v>58</v>
      </c>
      <c r="B34" s="30" t="n">
        <f aca="false">B30</f>
        <v>0</v>
      </c>
      <c r="C34" s="30" t="n">
        <f aca="false">C30</f>
        <v>220179435.42</v>
      </c>
      <c r="D34" s="30" t="n">
        <f aca="false">D30</f>
        <v>208425000</v>
      </c>
      <c r="E34" s="30" t="n">
        <f aca="false">E30</f>
        <v>61320000</v>
      </c>
      <c r="F34" s="30" t="n">
        <f aca="false">SUM(B34:E34)</f>
        <v>489924435.42</v>
      </c>
    </row>
    <row r="35" customFormat="false" ht="15" hidden="false" customHeight="false" outlineLevel="0" collapsed="false">
      <c r="A35" s="7" t="s">
        <v>50</v>
      </c>
      <c r="F35" s="25" t="n">
        <f aca="false">F34*REDN</f>
        <v>48992443.542</v>
      </c>
    </row>
    <row r="36" customFormat="false" ht="15" hidden="false" customHeight="false" outlineLevel="0" collapsed="false">
      <c r="A36" s="7" t="s">
        <v>51</v>
      </c>
      <c r="B36" s="25" t="n">
        <f aca="false">MIN(B34,$F$35)</f>
        <v>0</v>
      </c>
      <c r="C36" s="25" t="n">
        <f aca="false">MIN(C34,MAX(0,$F$35-(B36)))</f>
        <v>48992443.542</v>
      </c>
      <c r="D36" s="25" t="n">
        <f aca="false">MIN(D34,MAX(0,$F$35-(B36+C36)))</f>
        <v>0</v>
      </c>
      <c r="E36" s="25" t="n">
        <f aca="false">MIN(E34,MAX(0,$F$35-(B36+C36+D36)))</f>
        <v>0</v>
      </c>
      <c r="F36" s="25" t="n">
        <f aca="false">SUM(B36:E36)</f>
        <v>48992443.542</v>
      </c>
    </row>
    <row r="37" customFormat="false" ht="15" hidden="false" customHeight="false" outlineLevel="0" collapsed="false">
      <c r="A37" s="7" t="s">
        <v>52</v>
      </c>
      <c r="B37" s="25" t="n">
        <f aca="false">B34-B36</f>
        <v>0</v>
      </c>
      <c r="C37" s="25" t="n">
        <f aca="false">C34-C36</f>
        <v>171186991.878</v>
      </c>
      <c r="D37" s="25" t="n">
        <f aca="false">D34-D36</f>
        <v>208425000</v>
      </c>
      <c r="E37" s="25" t="n">
        <f aca="false">E34-E36</f>
        <v>61320000</v>
      </c>
      <c r="F37" s="25" t="n">
        <f aca="false">SUM(B37:E37)</f>
        <v>440931991.878</v>
      </c>
    </row>
    <row r="38" customFormat="false" ht="15" hidden="false" customHeight="false" outlineLevel="0" collapsed="false">
      <c r="A38" s="7" t="s">
        <v>53</v>
      </c>
      <c r="B38" s="25" t="n">
        <f aca="false">IF(B36=0,0,B36*(INDEX(HSR,1)*MSPREAD+INDEX(IKR,1)*MIMPACT*2*B36/B34))</f>
        <v>0</v>
      </c>
      <c r="C38" s="25" t="n">
        <f aca="false">IF(C36=0,0,C36*(INDEX(HSR,2)*MSPREAD+INDEX(IKR,2)*MIMPACT*2*C36/C34))</f>
        <v>1110792.94759128</v>
      </c>
      <c r="D38" s="25" t="n">
        <f aca="false">IF(D36=0,0,D36*(INDEX(HSR,3)*MSPREAD+INDEX(IKR,3)*MIMPACT*2*D36/D34))</f>
        <v>0</v>
      </c>
      <c r="E38" s="25" t="n">
        <f aca="false">IF(E36=0,0,E36*(INDEX(HSR,4)*MSPREAD+INDEX(IKR,4)*MIMPACT*2*E36/E34))</f>
        <v>0</v>
      </c>
      <c r="F38" s="27" t="n">
        <f aca="false">SUM(B38:E38)</f>
        <v>1110792.94759128</v>
      </c>
    </row>
    <row r="39" customFormat="false" ht="15" hidden="false" customHeight="false" outlineLevel="0" collapsed="false">
      <c r="A39" s="26" t="s">
        <v>54</v>
      </c>
      <c r="F39" s="31" t="n">
        <f aca="false">(B37*(INDEX(DSELL,1)&lt;=7)+C37*(INDEX(DSELL,2)&lt;=7)+D37*(INDEX(DSELL,3)&lt;=7)+E37*(INDEX(DSELL,4)&lt;=7))/F37</f>
        <v>0</v>
      </c>
    </row>
    <row r="41" customFormat="false" ht="15" hidden="false" customHeight="false" outlineLevel="0" collapsed="false">
      <c r="A41" s="29" t="s">
        <v>59</v>
      </c>
      <c r="B41" s="30" t="n">
        <f aca="false">B37</f>
        <v>0</v>
      </c>
      <c r="C41" s="30" t="n">
        <f aca="false">C37</f>
        <v>171186991.878</v>
      </c>
      <c r="D41" s="30" t="n">
        <f aca="false">D37</f>
        <v>208425000</v>
      </c>
      <c r="E41" s="30" t="n">
        <f aca="false">E37</f>
        <v>61320000</v>
      </c>
      <c r="F41" s="30" t="n">
        <f aca="false">SUM(B41:E41)</f>
        <v>440931991.878</v>
      </c>
    </row>
    <row r="42" customFormat="false" ht="15" hidden="false" customHeight="false" outlineLevel="0" collapsed="false">
      <c r="A42" s="7" t="s">
        <v>50</v>
      </c>
      <c r="F42" s="25" t="n">
        <f aca="false">F41*REDN</f>
        <v>44093199.1878</v>
      </c>
    </row>
    <row r="43" customFormat="false" ht="15" hidden="false" customHeight="false" outlineLevel="0" collapsed="false">
      <c r="A43" s="7" t="s">
        <v>51</v>
      </c>
      <c r="B43" s="25" t="n">
        <f aca="false">MIN(B41,$F$42)</f>
        <v>0</v>
      </c>
      <c r="C43" s="25" t="n">
        <f aca="false">MIN(C41,MAX(0,$F$42-(B43)))</f>
        <v>44093199.1878</v>
      </c>
      <c r="D43" s="25" t="n">
        <f aca="false">MIN(D41,MAX(0,$F$42-(B43+C43)))</f>
        <v>0</v>
      </c>
      <c r="E43" s="25" t="n">
        <f aca="false">MIN(E41,MAX(0,$F$42-(B43+C43+D43)))</f>
        <v>0</v>
      </c>
      <c r="F43" s="25" t="n">
        <f aca="false">SUM(B43:E43)</f>
        <v>44093199.1878</v>
      </c>
    </row>
    <row r="44" customFormat="false" ht="15" hidden="false" customHeight="false" outlineLevel="0" collapsed="false">
      <c r="A44" s="7" t="s">
        <v>52</v>
      </c>
      <c r="B44" s="25" t="n">
        <f aca="false">B41-B43</f>
        <v>0</v>
      </c>
      <c r="C44" s="25" t="n">
        <f aca="false">C41-C43</f>
        <v>127093792.6902</v>
      </c>
      <c r="D44" s="25" t="n">
        <f aca="false">D41-D43</f>
        <v>208425000</v>
      </c>
      <c r="E44" s="25" t="n">
        <f aca="false">E41-E43</f>
        <v>61320000</v>
      </c>
      <c r="F44" s="25" t="n">
        <f aca="false">SUM(B44:E44)</f>
        <v>396838792.6902</v>
      </c>
    </row>
    <row r="45" customFormat="false" ht="15" hidden="false" customHeight="false" outlineLevel="0" collapsed="false">
      <c r="A45" s="7" t="s">
        <v>53</v>
      </c>
      <c r="B45" s="25" t="n">
        <f aca="false">IF(B43=0,0,B43*(INDEX(HSR,1)*MSPREAD+INDEX(IKR,1)*MIMPACT*2*B43/B41))</f>
        <v>0</v>
      </c>
      <c r="C45" s="25" t="n">
        <f aca="false">IF(C43=0,0,C43*(INDEX(HSR,2)*MSPREAD+INDEX(IKR,2)*MIMPACT*2*C43/C41))</f>
        <v>1032179.43682956</v>
      </c>
      <c r="D45" s="25" t="n">
        <f aca="false">IF(D43=0,0,D43*(INDEX(HSR,3)*MSPREAD+INDEX(IKR,3)*MIMPACT*2*D43/D41))</f>
        <v>0</v>
      </c>
      <c r="E45" s="25" t="n">
        <f aca="false">IF(E43=0,0,E43*(INDEX(HSR,4)*MSPREAD+INDEX(IKR,4)*MIMPACT*2*E43/E41))</f>
        <v>0</v>
      </c>
      <c r="F45" s="27" t="n">
        <f aca="false">SUM(B45:E45)</f>
        <v>1032179.43682956</v>
      </c>
    </row>
    <row r="46" customFormat="false" ht="15" hidden="false" customHeight="false" outlineLevel="0" collapsed="false">
      <c r="A46" s="26" t="s">
        <v>54</v>
      </c>
      <c r="F46" s="31" t="n">
        <f aca="false">(B44*(INDEX(DSELL,1)&lt;=7)+C44*(INDEX(DSELL,2)&lt;=7)+D44*(INDEX(DSELL,3)&lt;=7)+E44*(INDEX(DSELL,4)&lt;=7))/F44</f>
        <v>0</v>
      </c>
    </row>
    <row r="48" customFormat="false" ht="15" hidden="false" customHeight="false" outlineLevel="0" collapsed="false">
      <c r="A48" s="4" t="s">
        <v>60</v>
      </c>
      <c r="B48" s="12"/>
      <c r="C48" s="12"/>
      <c r="D48" s="12"/>
      <c r="E48" s="12"/>
      <c r="F48" s="12"/>
    </row>
    <row r="50" customFormat="false" ht="30" hidden="false" customHeight="true" outlineLevel="0" collapsed="false">
      <c r="A50" s="13" t="s">
        <v>44</v>
      </c>
      <c r="B50" s="14" t="s">
        <v>61</v>
      </c>
      <c r="C50" s="14" t="s">
        <v>62</v>
      </c>
      <c r="D50" s="14" t="s">
        <v>63</v>
      </c>
      <c r="E50" s="14"/>
      <c r="F50" s="14"/>
    </row>
    <row r="51" customFormat="false" ht="15" hidden="false" customHeight="false" outlineLevel="0" collapsed="false">
      <c r="A51" s="7" t="s">
        <v>64</v>
      </c>
      <c r="B51" s="25" t="n">
        <f aca="false">F10</f>
        <v>591465.1335914</v>
      </c>
      <c r="C51" s="25" t="n">
        <f aca="false">SUM($B$51:B51)</f>
        <v>591465.1335914</v>
      </c>
      <c r="D51" s="32" t="n">
        <f aca="false">F11</f>
        <v>0.235963075246279</v>
      </c>
    </row>
    <row r="52" customFormat="false" ht="15" hidden="false" customHeight="false" outlineLevel="0" collapsed="false">
      <c r="A52" s="19" t="s">
        <v>65</v>
      </c>
      <c r="B52" s="30" t="n">
        <f aca="false">F17</f>
        <v>574116.889511663</v>
      </c>
      <c r="C52" s="30" t="n">
        <f aca="false">SUM($B$51:B52)</f>
        <v>1165582.02310306</v>
      </c>
      <c r="D52" s="33" t="n">
        <f aca="false">F18</f>
        <v>0.151070083606976</v>
      </c>
    </row>
    <row r="53" customFormat="false" ht="15" hidden="false" customHeight="false" outlineLevel="0" collapsed="false">
      <c r="A53" s="7" t="s">
        <v>66</v>
      </c>
      <c r="B53" s="25" t="n">
        <f aca="false">F24</f>
        <v>603131.248388298</v>
      </c>
      <c r="C53" s="25" t="n">
        <f aca="false">SUM($B$51:B53)</f>
        <v>1768713.27149136</v>
      </c>
      <c r="D53" s="32" t="n">
        <f aca="false">F25</f>
        <v>0.0567445373410846</v>
      </c>
    </row>
    <row r="54" customFormat="false" ht="15" hidden="false" customHeight="false" outlineLevel="0" collapsed="false">
      <c r="A54" s="19" t="s">
        <v>67</v>
      </c>
      <c r="B54" s="30" t="n">
        <f aca="false">F31</f>
        <v>842283.870807544</v>
      </c>
      <c r="C54" s="30" t="n">
        <f aca="false">SUM($B$51:B54)</f>
        <v>2610997.1422989</v>
      </c>
      <c r="D54" s="33" t="n">
        <f aca="false">F32</f>
        <v>0</v>
      </c>
    </row>
    <row r="55" customFormat="false" ht="15" hidden="false" customHeight="false" outlineLevel="0" collapsed="false">
      <c r="A55" s="7" t="s">
        <v>68</v>
      </c>
      <c r="B55" s="25" t="n">
        <f aca="false">F38</f>
        <v>1110792.94759128</v>
      </c>
      <c r="C55" s="25" t="n">
        <f aca="false">SUM($B$51:B55)</f>
        <v>3721790.08989018</v>
      </c>
      <c r="D55" s="32" t="n">
        <f aca="false">F39</f>
        <v>0</v>
      </c>
    </row>
    <row r="56" customFormat="false" ht="15" hidden="false" customHeight="false" outlineLevel="0" collapsed="false">
      <c r="A56" s="19" t="s">
        <v>69</v>
      </c>
      <c r="B56" s="30" t="n">
        <f aca="false">F45</f>
        <v>1032179.43682956</v>
      </c>
      <c r="C56" s="30" t="n">
        <f aca="false">SUM($B$51:B56)</f>
        <v>4753969.52671974</v>
      </c>
      <c r="D56" s="33" t="n">
        <f aca="false">F46</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4" min="2" style="0" width="17"/>
    <col collapsed="false" customWidth="true" hidden="false" outlineLevel="0" max="5" min="5" style="0" width="4"/>
    <col collapsed="false" customWidth="true" hidden="false" outlineLevel="0" max="6" min="6" style="0" width="48"/>
  </cols>
  <sheetData>
    <row r="1" customFormat="false" ht="24" hidden="false" customHeight="true" outlineLevel="0" collapsed="false">
      <c r="A1" s="1" t="s">
        <v>72</v>
      </c>
    </row>
    <row r="2" customFormat="false" ht="15" hidden="false" customHeight="false" outlineLevel="0" collapsed="false">
      <c r="A2" s="2" t="s">
        <v>73</v>
      </c>
    </row>
    <row r="3" customFormat="false" ht="15" hidden="false" customHeight="false" outlineLevel="0" collapsed="false">
      <c r="A3" s="3"/>
      <c r="B3" s="3"/>
      <c r="C3" s="3"/>
      <c r="D3" s="3"/>
    </row>
    <row r="5" customFormat="false" ht="15" hidden="false" customHeight="false" outlineLevel="0" collapsed="false">
      <c r="A5" s="4" t="s">
        <v>74</v>
      </c>
      <c r="B5" s="12"/>
      <c r="C5" s="12"/>
      <c r="D5" s="12"/>
    </row>
    <row r="7" customFormat="false" ht="30" hidden="false" customHeight="true" outlineLevel="0" collapsed="false">
      <c r="A7" s="13" t="s">
        <v>27</v>
      </c>
      <c r="B7" s="14" t="s">
        <v>38</v>
      </c>
      <c r="C7" s="14" t="s">
        <v>75</v>
      </c>
      <c r="D7" s="14" t="s">
        <v>76</v>
      </c>
    </row>
    <row r="8" customFormat="false" ht="15" hidden="false" customHeight="false" outlineLevel="0" collapsed="false">
      <c r="A8" s="7" t="s">
        <v>33</v>
      </c>
      <c r="B8" s="25" t="n">
        <f aca="false">Inputs!B24</f>
        <v>233251200</v>
      </c>
      <c r="C8" s="25" t="n">
        <f aca="false">B8*NAVB*RED1/NAVB</f>
        <v>58312800</v>
      </c>
      <c r="D8" s="25" t="n">
        <f aca="false">MIN(B8,NAVB*RED1)</f>
        <v>186680550</v>
      </c>
    </row>
    <row r="9" customFormat="false" ht="15" hidden="false" customHeight="false" outlineLevel="0" collapsed="false">
      <c r="A9" s="7" t="s">
        <v>34</v>
      </c>
      <c r="B9" s="25" t="n">
        <f aca="false">Inputs!B25</f>
        <v>243726000</v>
      </c>
      <c r="C9" s="25" t="n">
        <f aca="false">B9*NAVB*RED1/NAVB</f>
        <v>60931500</v>
      </c>
      <c r="D9" s="25" t="n">
        <f aca="false">MIN(B9,MAX(0,NAVB*RED1-(D8)))</f>
        <v>0</v>
      </c>
    </row>
    <row r="10" customFormat="false" ht="15" hidden="false" customHeight="false" outlineLevel="0" collapsed="false">
      <c r="A10" s="7" t="s">
        <v>35</v>
      </c>
      <c r="B10" s="25" t="n">
        <f aca="false">Inputs!B26</f>
        <v>208425000</v>
      </c>
      <c r="C10" s="25" t="n">
        <f aca="false">B10*NAVB*RED1/NAVB</f>
        <v>52106250</v>
      </c>
      <c r="D10" s="25" t="n">
        <f aca="false">MIN(B10,MAX(0,NAVB*RED1-(D8+D9)))</f>
        <v>0</v>
      </c>
    </row>
    <row r="11" customFormat="false" ht="15" hidden="false" customHeight="false" outlineLevel="0" collapsed="false">
      <c r="A11" s="7" t="s">
        <v>36</v>
      </c>
      <c r="B11" s="25" t="n">
        <f aca="false">Inputs!B27</f>
        <v>61320000</v>
      </c>
      <c r="C11" s="25" t="n">
        <f aca="false">B11*NAVB*RED1/NAVB</f>
        <v>15330000</v>
      </c>
      <c r="D11" s="25" t="n">
        <f aca="false">MIN(B11,MAX(0,NAVB*RED1-(D8+D9+D10)))</f>
        <v>0</v>
      </c>
    </row>
    <row r="12" customFormat="false" ht="15" hidden="false" customHeight="false" outlineLevel="0" collapsed="false">
      <c r="A12" s="26" t="s">
        <v>40</v>
      </c>
      <c r="B12" s="27" t="n">
        <f aca="false">SUM(B8:B11)</f>
        <v>746722200</v>
      </c>
      <c r="C12" s="27" t="n">
        <f aca="false">SUM(C8:C11)</f>
        <v>186680550</v>
      </c>
      <c r="D12" s="27" t="n">
        <f aca="false">SUM(D8:D11)</f>
        <v>186680550</v>
      </c>
    </row>
    <row r="13" customFormat="false" ht="15" hidden="false" customHeight="false" outlineLevel="0" collapsed="false">
      <c r="A13" s="26" t="s">
        <v>77</v>
      </c>
      <c r="C13" s="27" t="n">
        <f aca="false">IF(C8=0,0,C8*(INDEX(HSR,1)*MSPREAD+INDEX(IKR,1)*MIMPACT*2*C8/B8))+IF(C9=0,0,C9*(INDEX(HSR,2)*MSPREAD+INDEX(IKR,2)*MIMPACT*2*C9/B9))+IF(C10=0,0,C10*(INDEX(HSR,3)*MSPREAD+INDEX(IKR,3)*MIMPACT*2*C10/B10))+IF(C11=0,0,C11*(INDEX(HSR,4)*MSPREAD+INDEX(IKR,4)*MIMPACT*2*C11/B11))</f>
        <v>5101784.625</v>
      </c>
      <c r="D13" s="27" t="n">
        <f aca="false">IF(D8=0,0,D8*(INDEX(HSR,1)*MSPREAD+INDEX(IKR,1)*MIMPACT*2*D8/B8))+IF(D9=0,0,D9*(INDEX(HSR,2)*MSPREAD+INDEX(IKR,2)*MIMPACT*2*D9/B9))+IF(D10=0,0,D10*(INDEX(HSR,3)*MSPREAD+INDEX(IKR,3)*MIMPACT*2*D10/B10))+IF(D11=0,0,D11*(INDEX(HSR,4)*MSPREAD+INDEX(IKR,4)*MIMPACT*2*D11/B11))</f>
        <v>2016532.13494625</v>
      </c>
    </row>
    <row r="15" customFormat="false" ht="30" hidden="false" customHeight="true" outlineLevel="0" collapsed="false">
      <c r="A15" s="13" t="s">
        <v>27</v>
      </c>
      <c r="B15" s="14" t="s">
        <v>31</v>
      </c>
      <c r="C15" s="14" t="s">
        <v>78</v>
      </c>
      <c r="D15" s="14" t="s">
        <v>79</v>
      </c>
    </row>
    <row r="16" customFormat="false" ht="15" hidden="false" customHeight="false" outlineLevel="0" collapsed="false">
      <c r="A16" s="7" t="s">
        <v>33</v>
      </c>
      <c r="B16" s="34" t="n">
        <f aca="false">Inputs!E15</f>
        <v>2</v>
      </c>
      <c r="C16" s="25" t="n">
        <f aca="false">B8-C8</f>
        <v>174938400</v>
      </c>
      <c r="D16" s="25" t="n">
        <f aca="false">B8-D8</f>
        <v>46570650</v>
      </c>
    </row>
    <row r="17" customFormat="false" ht="15" hidden="false" customHeight="false" outlineLevel="0" collapsed="false">
      <c r="A17" s="7" t="s">
        <v>34</v>
      </c>
      <c r="B17" s="34" t="n">
        <f aca="false">Inputs!E16</f>
        <v>8</v>
      </c>
      <c r="C17" s="25" t="n">
        <f aca="false">B9-C9</f>
        <v>182794500</v>
      </c>
      <c r="D17" s="25" t="n">
        <f aca="false">B9-D9</f>
        <v>243726000</v>
      </c>
    </row>
    <row r="18" customFormat="false" ht="15" hidden="false" customHeight="false" outlineLevel="0" collapsed="false">
      <c r="A18" s="7" t="s">
        <v>35</v>
      </c>
      <c r="B18" s="34" t="n">
        <f aca="false">Inputs!E17</f>
        <v>20</v>
      </c>
      <c r="C18" s="25" t="n">
        <f aca="false">B10-C10</f>
        <v>156318750</v>
      </c>
      <c r="D18" s="25" t="n">
        <f aca="false">B10-D10</f>
        <v>208425000</v>
      </c>
    </row>
    <row r="19" customFormat="false" ht="15" hidden="false" customHeight="false" outlineLevel="0" collapsed="false">
      <c r="A19" s="7" t="s">
        <v>36</v>
      </c>
      <c r="B19" s="34" t="n">
        <f aca="false">Inputs!E18</f>
        <v>30</v>
      </c>
      <c r="C19" s="25" t="n">
        <f aca="false">B11-C11</f>
        <v>45990000</v>
      </c>
      <c r="D19" s="25" t="n">
        <f aca="false">B11-D11</f>
        <v>61320000</v>
      </c>
    </row>
    <row r="20" customFormat="false" ht="15" hidden="false" customHeight="false" outlineLevel="0" collapsed="false">
      <c r="A20" s="26" t="s">
        <v>80</v>
      </c>
      <c r="C20" s="31" t="n">
        <f aca="false">SUMPRODUCT(C16:C19,--($B$16:$B$19&lt;=7))/SUM(C16:C19)</f>
        <v>0.312366767721651</v>
      </c>
      <c r="D20" s="31" t="n">
        <f aca="false">SUMPRODUCT(D16:D19,--($B$16:$B$19&lt;=7))/SUM(D16:D19)</f>
        <v>0.0831556902955343</v>
      </c>
    </row>
    <row r="22" customFormat="false" ht="15" hidden="false" customHeight="false" outlineLevel="0" collapsed="false">
      <c r="A22" s="4" t="s">
        <v>81</v>
      </c>
      <c r="B22" s="12"/>
      <c r="C22" s="12"/>
      <c r="D22" s="12"/>
    </row>
    <row r="24" customFormat="false" ht="30" hidden="false" customHeight="true" outlineLevel="0" collapsed="false">
      <c r="A24" s="13" t="s">
        <v>44</v>
      </c>
      <c r="B24" s="14" t="s">
        <v>82</v>
      </c>
      <c r="C24" s="14" t="s">
        <v>83</v>
      </c>
      <c r="D24" s="14" t="s">
        <v>84</v>
      </c>
    </row>
    <row r="25" customFormat="false" ht="15" hidden="false" customHeight="false" outlineLevel="0" collapsed="false">
      <c r="A25" s="7" t="s">
        <v>64</v>
      </c>
      <c r="B25" s="25" t="n">
        <f aca="false">'Vertical Slice'!C51</f>
        <v>1769691.252</v>
      </c>
      <c r="C25" s="25" t="n">
        <f aca="false">'Liquid First'!C51</f>
        <v>591465.1335914</v>
      </c>
      <c r="D25" s="25" t="n">
        <f aca="false">B25-C25</f>
        <v>1178226.1184086</v>
      </c>
    </row>
    <row r="26" customFormat="false" ht="15" hidden="false" customHeight="false" outlineLevel="0" collapsed="false">
      <c r="A26" s="19" t="s">
        <v>65</v>
      </c>
      <c r="B26" s="30" t="n">
        <f aca="false">'Vertical Slice'!C52</f>
        <v>3362413.3788</v>
      </c>
      <c r="C26" s="30" t="n">
        <f aca="false">'Liquid First'!C52</f>
        <v>1165582.02310306</v>
      </c>
      <c r="D26" s="30" t="n">
        <f aca="false">B26-C26</f>
        <v>2196831.35569694</v>
      </c>
    </row>
    <row r="27" customFormat="false" ht="15" hidden="false" customHeight="false" outlineLevel="0" collapsed="false">
      <c r="A27" s="7" t="s">
        <v>66</v>
      </c>
      <c r="B27" s="25" t="n">
        <f aca="false">'Vertical Slice'!C53</f>
        <v>4795863.29292</v>
      </c>
      <c r="C27" s="25" t="n">
        <f aca="false">'Liquid First'!C53</f>
        <v>1768713.27149136</v>
      </c>
      <c r="D27" s="25" t="n">
        <f aca="false">B27-C27</f>
        <v>3027150.02142864</v>
      </c>
    </row>
    <row r="28" customFormat="false" ht="15" hidden="false" customHeight="false" outlineLevel="0" collapsed="false">
      <c r="A28" s="19" t="s">
        <v>67</v>
      </c>
      <c r="B28" s="30" t="n">
        <f aca="false">'Vertical Slice'!C54</f>
        <v>6085968.215628</v>
      </c>
      <c r="C28" s="30" t="n">
        <f aca="false">'Liquid First'!C54</f>
        <v>2610997.1422989</v>
      </c>
      <c r="D28" s="30" t="n">
        <f aca="false">B28-C28</f>
        <v>3474971.0733291</v>
      </c>
    </row>
    <row r="29" customFormat="false" ht="15" hidden="false" customHeight="false" outlineLevel="0" collapsed="false">
      <c r="A29" s="7" t="s">
        <v>68</v>
      </c>
      <c r="B29" s="25" t="n">
        <f aca="false">'Vertical Slice'!C55</f>
        <v>7247062.6460652</v>
      </c>
      <c r="C29" s="25" t="n">
        <f aca="false">'Liquid First'!C55</f>
        <v>3721790.08989018</v>
      </c>
      <c r="D29" s="25" t="n">
        <f aca="false">B29-C29</f>
        <v>3525272.55617502</v>
      </c>
    </row>
    <row r="30" customFormat="false" ht="15" hidden="false" customHeight="false" outlineLevel="0" collapsed="false">
      <c r="A30" s="19" t="s">
        <v>69</v>
      </c>
      <c r="B30" s="30" t="n">
        <f aca="false">'Vertical Slice'!C56</f>
        <v>8292047.63345868</v>
      </c>
      <c r="C30" s="30" t="n">
        <f aca="false">'Liquid First'!C56</f>
        <v>4753969.52671974</v>
      </c>
      <c r="D30" s="30" t="n">
        <f aca="false">B30-C30</f>
        <v>3538078.10673894</v>
      </c>
    </row>
    <row r="32" customFormat="false" ht="15" hidden="false" customHeight="false" outlineLevel="0" collapsed="false">
      <c r="A32" s="26" t="s">
        <v>85</v>
      </c>
      <c r="B32" s="35" t="str">
        <f aca="false">IF(COUNTIF(D25:D30,"&lt;0")&gt;0,"yes","no - liquid-first is cheaper in money every round")</f>
        <v>no - liquid-first is cheaper in money every round</v>
      </c>
    </row>
    <row r="34" customFormat="false" ht="15" hidden="false" customHeight="false" outlineLevel="0" collapsed="false">
      <c r="A34" s="4" t="s">
        <v>86</v>
      </c>
      <c r="B34" s="12"/>
      <c r="C34" s="12"/>
      <c r="D34" s="12"/>
    </row>
    <row r="36" customFormat="false" ht="30" hidden="false" customHeight="true" outlineLevel="0" collapsed="false">
      <c r="A36" s="13" t="s">
        <v>87</v>
      </c>
      <c r="B36" s="14" t="s">
        <v>88</v>
      </c>
      <c r="C36" s="14" t="s">
        <v>89</v>
      </c>
      <c r="D36" s="14"/>
    </row>
    <row r="37" customFormat="false" ht="15" hidden="false" customHeight="false" outlineLevel="0" collapsed="false">
      <c r="A37" s="7" t="s">
        <v>64</v>
      </c>
      <c r="B37" s="32" t="n">
        <f aca="false">'Vertical Slice'!D51</f>
        <v>0.312366767721651</v>
      </c>
      <c r="C37" s="32" t="n">
        <f aca="false">'Liquid First'!D51</f>
        <v>0.235963075246279</v>
      </c>
    </row>
    <row r="38" customFormat="false" ht="15" hidden="false" customHeight="false" outlineLevel="0" collapsed="false">
      <c r="A38" s="19" t="s">
        <v>65</v>
      </c>
      <c r="B38" s="33" t="n">
        <f aca="false">'Vertical Slice'!D52</f>
        <v>0.312366767721651</v>
      </c>
      <c r="C38" s="33" t="n">
        <f aca="false">'Liquid First'!D52</f>
        <v>0.151070083606976</v>
      </c>
    </row>
    <row r="39" customFormat="false" ht="15" hidden="false" customHeight="false" outlineLevel="0" collapsed="false">
      <c r="A39" s="7" t="s">
        <v>66</v>
      </c>
      <c r="B39" s="32" t="n">
        <f aca="false">'Vertical Slice'!D53</f>
        <v>0.312366767721651</v>
      </c>
      <c r="C39" s="32" t="n">
        <f aca="false">'Liquid First'!D53</f>
        <v>0.0567445373410846</v>
      </c>
    </row>
    <row r="40" customFormat="false" ht="15" hidden="false" customHeight="false" outlineLevel="0" collapsed="false">
      <c r="A40" s="19" t="s">
        <v>67</v>
      </c>
      <c r="B40" s="33" t="n">
        <f aca="false">'Vertical Slice'!D54</f>
        <v>0.312366767721651</v>
      </c>
      <c r="C40" s="33" t="n">
        <f aca="false">'Liquid First'!D54</f>
        <v>0</v>
      </c>
    </row>
    <row r="41" customFormat="false" ht="15" hidden="false" customHeight="false" outlineLevel="0" collapsed="false">
      <c r="A41" s="7" t="s">
        <v>68</v>
      </c>
      <c r="B41" s="32" t="n">
        <f aca="false">'Vertical Slice'!D55</f>
        <v>0.312366767721651</v>
      </c>
      <c r="C41" s="32" t="n">
        <f aca="false">'Liquid First'!D55</f>
        <v>0</v>
      </c>
    </row>
    <row r="42" customFormat="false" ht="15" hidden="false" customHeight="false" outlineLevel="0" collapsed="false">
      <c r="A42" s="19" t="s">
        <v>69</v>
      </c>
      <c r="B42" s="33" t="n">
        <f aca="false">'Vertical Slice'!D56</f>
        <v>0.312366767721651</v>
      </c>
      <c r="C42" s="33" t="n">
        <f aca="false">'Liquid First'!D56</f>
        <v>0</v>
      </c>
    </row>
    <row r="44" customFormat="false" ht="15" hidden="false" customHeight="false" outlineLevel="0" collapsed="false">
      <c r="A44" s="36" t="s">
        <v>90</v>
      </c>
    </row>
    <row r="46" customFormat="false" ht="15" hidden="false" customHeight="false" outlineLevel="0" collapsed="false">
      <c r="A46" s="4" t="s">
        <v>91</v>
      </c>
      <c r="B46" s="12"/>
      <c r="C46" s="12"/>
      <c r="D46" s="12"/>
    </row>
    <row r="48" customFormat="false" ht="15" hidden="false" customHeight="false" outlineLevel="0" collapsed="false">
      <c r="A48" s="7" t="s">
        <v>92</v>
      </c>
      <c r="B48" s="37" t="n">
        <f aca="false">UNITS-NAVB*RED1/NAVUB</f>
        <v>6300000</v>
      </c>
    </row>
    <row r="49" customFormat="false" ht="15" hidden="false" customHeight="false" outlineLevel="0" collapsed="false">
      <c r="A49" s="26" t="s">
        <v>93</v>
      </c>
      <c r="B49" s="38" t="n">
        <f aca="false">(C13-D13)/B48</f>
        <v>0.489722617468849</v>
      </c>
    </row>
    <row r="50" customFormat="false" ht="15" hidden="false" customHeight="false" outlineLevel="0" collapsed="false">
      <c r="A50" s="7" t="s">
        <v>94</v>
      </c>
      <c r="B50" s="28" t="n">
        <f aca="false">B62</f>
        <v>0.261147405568266</v>
      </c>
    </row>
    <row r="51" customFormat="false" ht="15" hidden="false" customHeight="false" outlineLevel="0" collapsed="false">
      <c r="A51" s="26" t="s">
        <v>95</v>
      </c>
      <c r="B51" s="39" t="n">
        <f aca="false">B49/B50</f>
        <v>1.8752727655984</v>
      </c>
    </row>
    <row r="53" customFormat="false" ht="15" hidden="false" customHeight="false" outlineLevel="0" collapsed="false">
      <c r="A53" s="4" t="s">
        <v>96</v>
      </c>
      <c r="B53" s="12"/>
      <c r="C53" s="12"/>
      <c r="D53" s="12"/>
    </row>
    <row r="55" customFormat="false" ht="30" hidden="false" customHeight="true" outlineLevel="0" collapsed="false">
      <c r="A55" s="13" t="s">
        <v>97</v>
      </c>
      <c r="B55" s="14" t="s">
        <v>98</v>
      </c>
      <c r="C55" s="14" t="s">
        <v>61</v>
      </c>
      <c r="D55" s="14" t="s">
        <v>99</v>
      </c>
      <c r="E55" s="40" t="s">
        <v>100</v>
      </c>
    </row>
    <row r="56" customFormat="false" ht="15" hidden="false" customHeight="false" outlineLevel="0" collapsed="false">
      <c r="A56" s="7" t="s">
        <v>101</v>
      </c>
      <c r="B56" s="25" t="n">
        <f aca="false">'Liquid First'!F6</f>
        <v>746722200</v>
      </c>
      <c r="C56" s="25" t="n">
        <f aca="false">'Liquid First'!F10</f>
        <v>591465.1335914</v>
      </c>
      <c r="D56" s="28" t="n">
        <f aca="false">(B56*(1-REDN)-C56)/E56</f>
        <v>88.8172638712181</v>
      </c>
      <c r="E56" s="41" t="n">
        <f aca="false">UNITS-B56*REDN/NAVUB</f>
        <v>7560000</v>
      </c>
    </row>
    <row r="57" customFormat="false" ht="15" hidden="false" customHeight="false" outlineLevel="0" collapsed="false">
      <c r="A57" s="7" t="s">
        <v>102</v>
      </c>
      <c r="B57" s="25" t="n">
        <f aca="false">'Liquid First'!F13</f>
        <v>672049980</v>
      </c>
      <c r="C57" s="25" t="n">
        <f aca="false">'Liquid First'!F17</f>
        <v>574116.889511663</v>
      </c>
      <c r="D57" s="28" t="n">
        <f aca="false">(D56*E56-B57*REDN-C57)/E57</f>
        <v>88.7328762924198</v>
      </c>
      <c r="E57" s="41" t="n">
        <f aca="false">E56-B57*REDN/D56</f>
        <v>6803334.06512674</v>
      </c>
    </row>
    <row r="58" customFormat="false" ht="15" hidden="false" customHeight="false" outlineLevel="0" collapsed="false">
      <c r="A58" s="7" t="s">
        <v>103</v>
      </c>
      <c r="B58" s="25" t="n">
        <f aca="false">'Liquid First'!F20</f>
        <v>604844982</v>
      </c>
      <c r="C58" s="25" t="n">
        <f aca="false">'Liquid First'!F24</f>
        <v>603131.248388298</v>
      </c>
      <c r="D58" s="28" t="n">
        <f aca="false">(D57*E57-B58*REDN-C58)/E58</f>
        <v>88.6343525944317</v>
      </c>
      <c r="E58" s="41" t="n">
        <f aca="false">E57-B58*REDN/D57</f>
        <v>6121687.07330972</v>
      </c>
    </row>
    <row r="60" customFormat="false" ht="15" hidden="false" customHeight="false" outlineLevel="0" collapsed="false">
      <c r="A60" s="26" t="s">
        <v>104</v>
      </c>
      <c r="B60" s="38" t="n">
        <f aca="false">NAVUB</f>
        <v>88.8955</v>
      </c>
    </row>
    <row r="61" customFormat="false" ht="15" hidden="false" customHeight="false" outlineLevel="0" collapsed="false">
      <c r="A61" s="26" t="s">
        <v>105</v>
      </c>
      <c r="B61" s="38" t="n">
        <f aca="false">D58</f>
        <v>88.6343525944317</v>
      </c>
    </row>
    <row r="62" customFormat="false" ht="15" hidden="false" customHeight="false" outlineLevel="0" collapsed="false">
      <c r="A62" s="26" t="s">
        <v>106</v>
      </c>
      <c r="B62" s="38" t="n">
        <f aca="false">NAVUB-D58</f>
        <v>0.261147405568266</v>
      </c>
    </row>
    <row r="63" customFormat="false" ht="15" hidden="false" customHeight="false" outlineLevel="0" collapsed="false">
      <c r="A63" s="36" t="s">
        <v>107</v>
      </c>
    </row>
    <row r="65" customFormat="false" ht="15" hidden="false" customHeight="false" outlineLevel="0" collapsed="false">
      <c r="A65" s="6" t="s">
        <v>108</v>
      </c>
    </row>
    <row r="66" customFormat="false" ht="15" hidden="false" customHeight="false" outlineLevel="0" collapsed="false">
      <c r="A66" s="36" t="s">
        <v>109</v>
      </c>
    </row>
    <row r="68" customFormat="false" ht="15" hidden="false" customHeight="false" outlineLevel="0" collapsed="false">
      <c r="A68" s="42"/>
      <c r="B68" s="43" t="s">
        <v>88</v>
      </c>
      <c r="C68" s="43" t="s">
        <v>89</v>
      </c>
    </row>
    <row r="69" customFormat="false" ht="15" hidden="false" customHeight="false" outlineLevel="0" collapsed="false">
      <c r="A69" s="7" t="s">
        <v>97</v>
      </c>
      <c r="B69" s="25" t="n">
        <f aca="false">C12</f>
        <v>186680550</v>
      </c>
      <c r="C69" s="25" t="n">
        <f aca="false">D12</f>
        <v>186680550</v>
      </c>
    </row>
    <row r="70" customFormat="false" ht="15" hidden="false" customHeight="false" outlineLevel="0" collapsed="false">
      <c r="A70" s="7" t="s">
        <v>77</v>
      </c>
      <c r="B70" s="25" t="n">
        <f aca="false">C13</f>
        <v>5101784.625</v>
      </c>
      <c r="C70" s="25" t="n">
        <f aca="false">D13</f>
        <v>2016532.13494625</v>
      </c>
    </row>
    <row r="71" customFormat="false" ht="15" hidden="false" customHeight="false" outlineLevel="0" collapsed="false">
      <c r="A71" s="26" t="s">
        <v>110</v>
      </c>
      <c r="B71" s="44" t="n">
        <f aca="false">B70/B69</f>
        <v>0.0273289564713624</v>
      </c>
      <c r="C71" s="44" t="n">
        <f aca="false">C70/C69</f>
        <v>0.0108020473206569</v>
      </c>
    </row>
    <row r="72" customFormat="false" ht="15" hidden="false" customHeight="false" outlineLevel="0" collapsed="false">
      <c r="A72" s="7" t="s">
        <v>111</v>
      </c>
      <c r="B72" s="28" t="n">
        <f aca="false">NAVUB*(1-B71)</f>
        <v>86.46607875</v>
      </c>
      <c r="C72" s="28" t="n">
        <f aca="false">NAVUB*(1-C71)</f>
        <v>87.9352466024065</v>
      </c>
    </row>
    <row r="73" customFormat="false" ht="15" hidden="false" customHeight="false" outlineLevel="0" collapsed="false">
      <c r="A73" s="7" t="s">
        <v>112</v>
      </c>
      <c r="B73" s="28" t="n">
        <f aca="false">NAVUB-(NAVB-B69*(1-B71)-B70)/B48</f>
        <v>0</v>
      </c>
      <c r="C73" s="28" t="n">
        <f aca="false">NAVUB-(NAVB-C69*(1-C71)-C70)/B48</f>
        <v>0</v>
      </c>
    </row>
    <row r="74" customFormat="false" ht="15" hidden="false" customHeight="false" outlineLevel="0" collapsed="false">
      <c r="A74" s="36"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58"/>
    <col collapsed="false" customWidth="true" hidden="false" outlineLevel="0" max="4" min="3" style="0" width="18"/>
    <col collapsed="false" customWidth="true" hidden="false" outlineLevel="0" max="5" min="5" style="0" width="14"/>
    <col collapsed="false" customWidth="true" hidden="false" outlineLevel="0" max="6" min="6" style="0" width="11"/>
  </cols>
  <sheetData>
    <row r="1" customFormat="false" ht="24" hidden="false" customHeight="true" outlineLevel="0" collapsed="false">
      <c r="A1" s="1" t="s">
        <v>114</v>
      </c>
    </row>
    <row r="2" customFormat="false" ht="15" hidden="false" customHeight="false" outlineLevel="0" collapsed="false">
      <c r="A2" s="2" t="s">
        <v>115</v>
      </c>
    </row>
    <row r="3" customFormat="false" ht="15" hidden="false" customHeight="false" outlineLevel="0" collapsed="false">
      <c r="A3" s="3"/>
      <c r="B3" s="3"/>
      <c r="C3" s="3"/>
      <c r="D3" s="3"/>
      <c r="E3" s="3"/>
      <c r="F3" s="3"/>
    </row>
    <row r="5" customFormat="false" ht="30" hidden="false" customHeight="true" outlineLevel="0" collapsed="false">
      <c r="A5" s="13" t="s">
        <v>116</v>
      </c>
      <c r="B5" s="14" t="s">
        <v>117</v>
      </c>
      <c r="C5" s="14" t="s">
        <v>118</v>
      </c>
      <c r="D5" s="14" t="s">
        <v>119</v>
      </c>
      <c r="E5" s="14" t="s">
        <v>84</v>
      </c>
      <c r="F5" s="14" t="s">
        <v>120</v>
      </c>
    </row>
    <row r="6" customFormat="false" ht="15" hidden="false" customHeight="false" outlineLevel="0" collapsed="false">
      <c r="A6" s="7" t="s">
        <v>121</v>
      </c>
      <c r="B6" s="7" t="s">
        <v>122</v>
      </c>
      <c r="C6" s="45" t="n">
        <v>746722200</v>
      </c>
      <c r="D6" s="25" t="n">
        <f aca="false">NAVB</f>
        <v>746722200</v>
      </c>
      <c r="E6" s="25" t="n">
        <f aca="false">D6-C6</f>
        <v>0</v>
      </c>
      <c r="F6" s="46" t="str">
        <f aca="false">IF(ABS(D6-C6)&lt;=1,"PASS","FAIL")</f>
        <v>PASS</v>
      </c>
    </row>
    <row r="7" customFormat="false" ht="15" hidden="false" customHeight="false" outlineLevel="0" collapsed="false">
      <c r="A7" s="7" t="s">
        <v>121</v>
      </c>
      <c r="B7" s="7" t="s">
        <v>123</v>
      </c>
      <c r="C7" s="47" t="n">
        <v>88.8955</v>
      </c>
      <c r="D7" s="28" t="n">
        <f aca="false">ROUND(NAVUB,4)</f>
        <v>88.8955</v>
      </c>
      <c r="E7" s="28" t="n">
        <f aca="false">D7-C7</f>
        <v>0</v>
      </c>
      <c r="F7" s="46" t="str">
        <f aca="false">IF(ABS(D7-C7)&lt;=0.00005,"PASS","FAIL")</f>
        <v>PASS</v>
      </c>
    </row>
    <row r="8" customFormat="false" ht="15" hidden="false" customHeight="false" outlineLevel="0" collapsed="false">
      <c r="A8" s="7" t="s">
        <v>124</v>
      </c>
      <c r="B8" s="7" t="s">
        <v>125</v>
      </c>
      <c r="C8" s="45" t="n">
        <v>5101785</v>
      </c>
      <c r="D8" s="25" t="n">
        <f aca="false">ROUND('The Comparison'!C13,0)</f>
        <v>5101785</v>
      </c>
      <c r="E8" s="25" t="n">
        <f aca="false">D8-C8</f>
        <v>0</v>
      </c>
      <c r="F8" s="46" t="str">
        <f aca="false">IF(ABS(D8-C8)&lt;=1,"PASS","FAIL")</f>
        <v>PASS</v>
      </c>
    </row>
    <row r="9" customFormat="false" ht="15" hidden="false" customHeight="false" outlineLevel="0" collapsed="false">
      <c r="A9" s="7" t="s">
        <v>124</v>
      </c>
      <c r="B9" s="7" t="s">
        <v>126</v>
      </c>
      <c r="C9" s="45" t="n">
        <v>2016532</v>
      </c>
      <c r="D9" s="25" t="n">
        <f aca="false">ROUND('The Comparison'!D13,0)</f>
        <v>2016532</v>
      </c>
      <c r="E9" s="25" t="n">
        <f aca="false">D9-C9</f>
        <v>0</v>
      </c>
      <c r="F9" s="46" t="str">
        <f aca="false">IF(ABS(D9-C9)&lt;=1,"PASS","FAIL")</f>
        <v>PASS</v>
      </c>
    </row>
    <row r="10" customFormat="false" ht="15" hidden="false" customHeight="false" outlineLevel="0" collapsed="false">
      <c r="A10" s="7" t="s">
        <v>127</v>
      </c>
      <c r="B10" s="7" t="s">
        <v>128</v>
      </c>
      <c r="C10" s="48" t="n">
        <v>0.312</v>
      </c>
      <c r="D10" s="32" t="n">
        <f aca="false">ROUND('The Comparison'!C20,3)</f>
        <v>0.312</v>
      </c>
      <c r="E10" s="32" t="n">
        <f aca="false">D10-C10</f>
        <v>0</v>
      </c>
      <c r="F10" s="46" t="str">
        <f aca="false">IF(ABS(D10-C10)&lt;=0.0005,"PASS","FAIL")</f>
        <v>PASS</v>
      </c>
    </row>
    <row r="11" customFormat="false" ht="15" hidden="false" customHeight="false" outlineLevel="0" collapsed="false">
      <c r="A11" s="7" t="s">
        <v>127</v>
      </c>
      <c r="B11" s="7" t="s">
        <v>129</v>
      </c>
      <c r="C11" s="48" t="n">
        <v>0.083</v>
      </c>
      <c r="D11" s="32" t="n">
        <f aca="false">ROUND('The Comparison'!D20,3)</f>
        <v>0.083</v>
      </c>
      <c r="E11" s="32" t="n">
        <f aca="false">D11-C11</f>
        <v>0</v>
      </c>
      <c r="F11" s="46" t="str">
        <f aca="false">IF(ABS(D11-C11)&lt;=0.0005,"PASS","FAIL")</f>
        <v>PASS</v>
      </c>
    </row>
    <row r="12" customFormat="false" ht="15" hidden="false" customHeight="false" outlineLevel="0" collapsed="false">
      <c r="A12" s="7" t="s">
        <v>127</v>
      </c>
      <c r="B12" s="7" t="s">
        <v>130</v>
      </c>
      <c r="C12" s="48" t="n">
        <v>0.057</v>
      </c>
      <c r="D12" s="32" t="n">
        <f aca="false">ROUND('Liquid First'!F25,3)</f>
        <v>0.057</v>
      </c>
      <c r="E12" s="32" t="n">
        <f aca="false">D12-C12</f>
        <v>0</v>
      </c>
      <c r="F12" s="46" t="str">
        <f aca="false">IF(ABS(D12-C12)&lt;=0.0005,"PASS","FAIL")</f>
        <v>PASS</v>
      </c>
    </row>
    <row r="13" customFormat="false" ht="15" hidden="false" customHeight="false" outlineLevel="0" collapsed="false">
      <c r="A13" s="7" t="s">
        <v>127</v>
      </c>
      <c r="B13" s="7" t="s">
        <v>131</v>
      </c>
      <c r="C13" s="45" t="n">
        <v>8292048</v>
      </c>
      <c r="D13" s="25" t="n">
        <f aca="false">ROUND('Vertical Slice'!C56,0)</f>
        <v>8292048</v>
      </c>
      <c r="E13" s="25" t="n">
        <f aca="false">D13-C13</f>
        <v>0</v>
      </c>
      <c r="F13" s="46" t="str">
        <f aca="false">IF(ABS(D13-C13)&lt;=1,"PASS","FAIL")</f>
        <v>PASS</v>
      </c>
    </row>
    <row r="14" customFormat="false" ht="15" hidden="false" customHeight="false" outlineLevel="0" collapsed="false">
      <c r="A14" s="7" t="s">
        <v>127</v>
      </c>
      <c r="B14" s="7" t="s">
        <v>132</v>
      </c>
      <c r="C14" s="45" t="n">
        <v>4753970</v>
      </c>
      <c r="D14" s="25" t="n">
        <f aca="false">ROUND('Liquid First'!C56,0)</f>
        <v>4753970</v>
      </c>
      <c r="E14" s="25" t="n">
        <f aca="false">D14-C14</f>
        <v>0</v>
      </c>
      <c r="F14" s="46" t="str">
        <f aca="false">IF(ABS(D14-C14)&lt;=1,"PASS","FAIL")</f>
        <v>PASS</v>
      </c>
    </row>
    <row r="15" customFormat="false" ht="15" hidden="false" customHeight="false" outlineLevel="0" collapsed="false">
      <c r="A15" s="7" t="s">
        <v>127</v>
      </c>
      <c r="B15" s="7" t="s">
        <v>133</v>
      </c>
      <c r="C15" s="47" t="n">
        <v>0.4897</v>
      </c>
      <c r="D15" s="28" t="n">
        <f aca="false">ROUND('The Comparison'!B49,4)</f>
        <v>0.4897</v>
      </c>
      <c r="E15" s="28" t="n">
        <f aca="false">D15-C15</f>
        <v>0</v>
      </c>
      <c r="F15" s="46" t="str">
        <f aca="false">IF(ABS(D15-C15)&lt;=0.00005,"PASS","FAIL")</f>
        <v>PASS</v>
      </c>
    </row>
    <row r="16" customFormat="false" ht="15" hidden="false" customHeight="false" outlineLevel="0" collapsed="false">
      <c r="A16" s="7" t="s">
        <v>134</v>
      </c>
      <c r="B16" s="7" t="s">
        <v>135</v>
      </c>
      <c r="C16" s="49" t="n">
        <v>0.02733</v>
      </c>
      <c r="D16" s="49" t="n">
        <f aca="false">ROUND('The Comparison'!B71,5)</f>
        <v>0.02733</v>
      </c>
      <c r="E16" s="49" t="n">
        <f aca="false">D16-C16</f>
        <v>0</v>
      </c>
      <c r="F16" s="46" t="str">
        <f aca="false">IF(ABS(D16-C16)&lt;=0.000005,"PASS","FAIL")</f>
        <v>PASS</v>
      </c>
    </row>
    <row r="17" customFormat="false" ht="15" hidden="false" customHeight="false" outlineLevel="0" collapsed="false">
      <c r="A17" s="7" t="s">
        <v>134</v>
      </c>
      <c r="B17" s="7" t="s">
        <v>136</v>
      </c>
      <c r="C17" s="49" t="n">
        <v>0.0108</v>
      </c>
      <c r="D17" s="50" t="n">
        <f aca="false">ROUND('The Comparison'!C71,5)</f>
        <v>0.0108</v>
      </c>
      <c r="E17" s="49" t="n">
        <f aca="false">D17-C17</f>
        <v>0</v>
      </c>
      <c r="F17" s="46" t="str">
        <f aca="false">IF(ABS(D17-C17)&lt;=0.000005,"PASS","FAIL")</f>
        <v>PASS</v>
      </c>
    </row>
    <row r="18" customFormat="false" ht="15" hidden="false" customHeight="false" outlineLevel="0" collapsed="false">
      <c r="A18" s="7" t="s">
        <v>134</v>
      </c>
      <c r="B18" s="7" t="s">
        <v>137</v>
      </c>
      <c r="C18" s="28" t="n">
        <v>0</v>
      </c>
      <c r="D18" s="28" t="n">
        <f aca="false">ROUND(ABS('The Comparison'!B73)+ABS('The Comparison'!C73),8)</f>
        <v>0</v>
      </c>
      <c r="E18" s="28" t="n">
        <f aca="false">D18-C18</f>
        <v>0</v>
      </c>
      <c r="F18" s="46" t="str">
        <f aca="false">IF(ABS(D18-C18)&lt;=0,"PASS","FAIL")</f>
        <v>PASS</v>
      </c>
    </row>
    <row r="19" customFormat="false" ht="15" hidden="false" customHeight="false" outlineLevel="0" collapsed="false">
      <c r="A19" s="7" t="s">
        <v>127</v>
      </c>
      <c r="B19" s="7" t="s">
        <v>138</v>
      </c>
      <c r="C19" s="51" t="n">
        <v>0</v>
      </c>
      <c r="D19" s="51" t="n">
        <f aca="false">COUNTIF('The Comparison'!D25:D30,"&lt;0")</f>
        <v>0</v>
      </c>
      <c r="E19" s="51" t="n">
        <f aca="false">D19-C19</f>
        <v>0</v>
      </c>
      <c r="F19" s="46" t="str">
        <f aca="false">IF(ABS(D19-C19)&lt;=0,"PASS","FAIL")</f>
        <v>PASS</v>
      </c>
    </row>
    <row r="20" customFormat="false" ht="15" hidden="false" customHeight="false" outlineLevel="0" collapsed="false">
      <c r="A20" s="7" t="s">
        <v>127</v>
      </c>
      <c r="B20" s="7" t="s">
        <v>139</v>
      </c>
      <c r="C20" s="25" t="n">
        <v>0</v>
      </c>
      <c r="D20" s="25" t="n">
        <f aca="false">ROUND('The Comparison'!D58*'The Comparison'!E58-('Liquid First'!F23-SUM('The Comparison'!C56:C58)),2)</f>
        <v>0</v>
      </c>
      <c r="E20" s="25" t="n">
        <f aca="false">D20-C20</f>
        <v>0</v>
      </c>
      <c r="F20" s="46" t="str">
        <f aca="false">IF(ABS(D20-C20)&lt;=0.01,"PASS","FAIL")</f>
        <v>PASS</v>
      </c>
    </row>
    <row r="21" customFormat="false" ht="15" hidden="false" customHeight="false" outlineLevel="0" collapsed="false">
      <c r="A21" s="7" t="s">
        <v>127</v>
      </c>
      <c r="B21" s="7" t="s">
        <v>140</v>
      </c>
      <c r="C21" s="28" t="n">
        <v>0.2611</v>
      </c>
      <c r="D21" s="28" t="n">
        <f aca="false">ROUND('The Comparison'!B62,4)</f>
        <v>0.2611</v>
      </c>
      <c r="E21" s="28" t="n">
        <f aca="false">D21-C21</f>
        <v>0</v>
      </c>
      <c r="F21" s="46" t="str">
        <f aca="false">IF(ABS(D21-C21)&lt;=0.00005,"PASS","FAIL")</f>
        <v>PASS</v>
      </c>
    </row>
    <row r="22" customFormat="false" ht="15" hidden="false" customHeight="false" outlineLevel="0" collapsed="false">
      <c r="A22" s="7" t="s">
        <v>127</v>
      </c>
      <c r="B22" s="7" t="s">
        <v>141</v>
      </c>
      <c r="C22" s="52" t="n">
        <v>1.88</v>
      </c>
      <c r="D22" s="52" t="n">
        <f aca="false">ROUND('The Comparison'!B51,2)</f>
        <v>1.88</v>
      </c>
      <c r="E22" s="52" t="n">
        <f aca="false">D22-C22</f>
        <v>0</v>
      </c>
      <c r="F22" s="46" t="str">
        <f aca="false">IF(ABS(D22-C22)&lt;=0.005,"PASS","FAIL")</f>
        <v>PASS</v>
      </c>
    </row>
    <row r="24" customFormat="false" ht="15" hidden="false" customHeight="false" outlineLevel="0" collapsed="false">
      <c r="B24" s="26" t="s">
        <v>142</v>
      </c>
      <c r="D24" s="35" t="str">
        <f aca="false">COUNTIF(F6:F22,"PASS")&amp;" of "&amp;17</f>
        <v>17 of 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2026-08-28T17:41:52Z</dcterms:created>
  <dc:creator>openpyxl</dc:creator>
  <dc:description/>
  <dc:language>en-US</dc:language>
  <cp:lastModifiedBy/>
  <dcterms:modified xsi:type="dcterms:W3CDTF">2026-09-24T19:57:26Z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