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Inputs" sheetId="2" state="visible" r:id="rId4"/>
    <sheet name="1 - The Model's Number" sheetId="3" state="visible" r:id="rId5"/>
    <sheet name="2 - The Stress Number" sheetId="4" state="visible" r:id="rId6"/>
    <sheet name="3 and 4 - Exit and Transfer" sheetId="5" state="visible" r:id="rId7"/>
    <sheet name="The Fifth Number" sheetId="6" state="visible" r:id="rId8"/>
    <sheet name="Checks" sheetId="7" state="visible" r:id="rId9"/>
  </sheets>
  <definedNames>
    <definedName function="false" hidden="false" name="DSELL" vbProcedure="false">Inputs!$F$14:$F$17</definedName>
    <definedName function="false" hidden="false" name="HCALM" vbProcedure="false">'The Fifth Number'!$B$24</definedName>
    <definedName function="false" hidden="false" name="HS" vbProcedure="false">Inputs!$G$14:$G$17</definedName>
    <definedName function="false" hidden="false" name="HSTR" vbProcedure="false">'The Fifth Number'!$B$25</definedName>
    <definedName function="false" hidden="false" name="IK" vbProcedure="false">Inputs!$B$23:$B$26</definedName>
    <definedName function="false" hidden="false" name="IKSCALE" vbProcedure="false">Inputs!$B$35</definedName>
    <definedName function="false" hidden="false" name="MIMPACT" vbProcedure="false">Inputs!$B$33</definedName>
    <definedName function="false" hidden="false" name="MSPREAD" vbProcedure="false">Inputs!$B$32</definedName>
    <definedName function="false" hidden="false" name="MV" vbProcedure="false">Inputs!$B$14:$B$17</definedName>
    <definedName function="false" hidden="false" name="NAV" vbProcedure="false">Inputs!$B$7</definedName>
    <definedName function="false" hidden="false" name="NAVB" vbProcedure="false">'2 - The Stress Number'!$B$20</definedName>
    <definedName function="false" hidden="false" name="NAVUB" vbProcedure="false">'2 - The Stress Number'!$B$21</definedName>
    <definedName function="false" hidden="false" name="RED" vbProcedure="false">'3 and 4 - Exit and Transfer'!$B$6</definedName>
    <definedName function="false" hidden="false" name="REDPCT" vbProcedure="false">Inputs!$B$34</definedName>
    <definedName function="false" hidden="false" name="REPO" vbProcedure="false">'The Fifth Number'!$B$23</definedName>
    <definedName function="false" hidden="false" name="SDUR" vbProcedure="false">Inputs!$E$14:$E$17</definedName>
    <definedName function="false" hidden="false" name="SHOCK" vbProcedure="false">Inputs!$C$23:$C$26</definedName>
    <definedName function="false" hidden="false" name="STRESS" vbProcedure="false">'2 - The Stress Number'!$B$18</definedName>
    <definedName function="false" hidden="false" name="TDAYS" vbProcedure="false">Inputs!$B$31</definedName>
    <definedName function="false" hidden="false" name="UNITS" vbProcedure="false">Inputs!$B$8</definedName>
    <definedName function="false" hidden="false" name="VAR1D" vbProcedure="false">'1 - The Model''s Number'!$B$28</definedName>
    <definedName function="false" hidden="false" name="VAR20D" vbProcedure="false">'1 - The Model''s Number'!$B$30</definedName>
    <definedName function="false" hidden="false" name="VOL" vbProcedure="false">Inputs!$D$14:$D$17</definedName>
    <definedName function="false" hidden="false" name="WT" vbProcedure="false">Inputs!$C$14:$C$17</definedName>
    <definedName function="false" hidden="false" name="ZSCORE" vbProcedure="false">Inputs!$B$30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<sst xmlns="http://schemas.openxmlformats.org/spreadsheetml/2006/main" count="306" uniqueCount="194">
  <si>
    <t xml:space="preserve">Workbook 1 - The Four Numbers</t>
  </si>
  <si>
    <t xml:space="preserve">Companion to Financial Risk Management by Julian R. Sterling</t>
  </si>
  <si>
    <t xml:space="preserve">What this workbook does</t>
  </si>
  <si>
    <t xml:space="preserve">It puts the book's four numbers on one set of inputs: the model's value at risk, the stress loss, the cost of getting out, and the transfer to the investors who stay. Change a volatility, a correlation, a spread shock or an impact coefficient and all four move together.</t>
  </si>
  <si>
    <t xml:space="preserve">How to use it</t>
  </si>
  <si>
    <t xml:space="preserve">1.  Inputs. The fund, the four sleeves, the impact coefficients with their scale, and the scenario levers.</t>
  </si>
  <si>
    <t xml:space="preserve">2.  The Model's Number. Parametric value at risk built from the correlation grid, with the same book repriced in crisis correlations underneath.</t>
  </si>
  <si>
    <t xml:space="preserve">3.  The Stress Number. The spread shock sleeve by sleeve, totalled, and set against the scaled value at risk.</t>
  </si>
  <si>
    <t xml:space="preserve">4.  Exit and Transfer. The redemption under both selling policies, and who pays for it.</t>
  </si>
  <si>
    <t xml:space="preserve">5.  The Fifth Number. One-week liquidity before and after each policy, and the collateral call that lands the same morning.</t>
  </si>
  <si>
    <t xml:space="preserve">6.  Checks. Forty-five controls: the figures printed in the book, each reproduced by a formula here, and the identities that hold for any inputs.</t>
  </si>
  <si>
    <t xml:space="preserve">The one rule</t>
  </si>
  <si>
    <t xml:space="preserve">No number is typed twice. Every printed figure is a live formula, so if you disagree with an assumption you can change it and watch the whole chain move.</t>
  </si>
  <si>
    <t xml:space="preserve">The book</t>
  </si>
  <si>
    <t xml:space="preserve">Financial Risk Management - A Practitioner's Guide to Measuring What Actually Breaks a Fund, by Julian R. Sterling.</t>
  </si>
  <si>
    <t xml:space="preserve">All four companion workbooks: julianrsterling.com/risk</t>
  </si>
  <si>
    <t xml:space="preserve">Revised 24 September 2026</t>
  </si>
  <si>
    <t xml:space="preserve">The switch the book describes is now in the workbook. The impact coefficients sit on the Inputs sheet with a scale beside them (cell B35): set it to 0.5, 2 or 3 to halve, double or triple every coefficient. The Exit and Transfer sheet also holds the four settings side by side: tripled, the vertical slice costs 7,360,306 rather than 5,101,785, 44 per cent more; the choice of selling policy moves the same cost 153 per cent. The first edition of these files described the switch without carrying it.</t>
  </si>
  <si>
    <t xml:space="preserve">Seven checks added, forty-five in all: the diversification benefit as a reduction (11.5 per cent), the two sensitivities above, the scale at the book's setting, and three identities that close the redemption arithmetic.</t>
  </si>
  <si>
    <t xml:space="preserve">Inputs</t>
  </si>
  <si>
    <t xml:space="preserve">Yellow cells only. Everything else in this workbook is a formula.</t>
  </si>
  <si>
    <t xml:space="preserve">The fund</t>
  </si>
  <si>
    <t xml:space="preserve">Net assets</t>
  </si>
  <si>
    <t xml:space="preserve">Units in issue</t>
  </si>
  <si>
    <t xml:space="preserve">Net asset value per unit</t>
  </si>
  <si>
    <t xml:space="preserve">The four sleeves</t>
  </si>
  <si>
    <t xml:space="preserve">Sleeve</t>
  </si>
  <si>
    <t xml:space="preserve">Market value</t>
  </si>
  <si>
    <t xml:space="preserve">Weight</t>
  </si>
  <si>
    <t xml:space="preserve">Volatility</t>
  </si>
  <si>
    <t xml:space="preserve">Spread duration</t>
  </si>
  <si>
    <t xml:space="preserve">Days to sell</t>
  </si>
  <si>
    <t xml:space="preserve">Half-spread</t>
  </si>
  <si>
    <t xml:space="preserve">Investment-grade credit</t>
  </si>
  <si>
    <t xml:space="preserve">High yield</t>
  </si>
  <si>
    <t xml:space="preserve">Leveraged loans</t>
  </si>
  <si>
    <t xml:space="preserve">Structured credit</t>
  </si>
  <si>
    <t xml:space="preserve">Total</t>
  </si>
  <si>
    <t xml:space="preserve">Impact coefficients and the spread shock</t>
  </si>
  <si>
    <t xml:space="preserve">Impact coefficient</t>
  </si>
  <si>
    <t xml:space="preserve">Spread shock, bp</t>
  </si>
  <si>
    <t xml:space="preserve">Scenario levers</t>
  </si>
  <si>
    <t xml:space="preserve">Confidence multiplier (99%)</t>
  </si>
  <si>
    <t xml:space="preserve">The normal quantile at 99 per cent.</t>
  </si>
  <si>
    <t xml:space="preserve">Trading days in a year</t>
  </si>
  <si>
    <t xml:space="preserve">Used to turn an annual volatility into a daily one.</t>
  </si>
  <si>
    <t xml:space="preserve">Stress multiplier on spreads</t>
  </si>
  <si>
    <t xml:space="preserve">How much wider the bid-ask is in the stressed market.</t>
  </si>
  <si>
    <t xml:space="preserve">Stress multiplier on impact</t>
  </si>
  <si>
    <t xml:space="preserve">How much larger the impact coefficient is.</t>
  </si>
  <si>
    <t xml:space="preserve">Redemption, share of net assets</t>
  </si>
  <si>
    <t xml:space="preserve">Measured on net assets after the shock.</t>
  </si>
  <si>
    <t xml:space="preserve">Impact coefficient scale</t>
  </si>
  <si>
    <t xml:space="preserve">Set 0.5, 2 or 3 to halve, double or triple every impact coefficient. The book is at 1.</t>
  </si>
  <si>
    <t xml:space="preserve">Number one: what the model says</t>
  </si>
  <si>
    <t xml:space="preserve">Chapter 4. Parametric value at risk, built from the sleeve volatilities and the correlation matrix.</t>
  </si>
  <si>
    <t xml:space="preserve">Reported correlations</t>
  </si>
  <si>
    <t xml:space="preserve">Investment-grade</t>
  </si>
  <si>
    <t xml:space="preserve">High</t>
  </si>
  <si>
    <t xml:space="preserve">Leveraged</t>
  </si>
  <si>
    <t xml:space="preserve">Structured</t>
  </si>
  <si>
    <t xml:space="preserve">Contribution grid: weight x volatility x correlation x weight x volatility</t>
  </si>
  <si>
    <t xml:space="preserve">Portfolio variance</t>
  </si>
  <si>
    <t xml:space="preserve">Portfolio volatility, annual</t>
  </si>
  <si>
    <t xml:space="preserve">Volatility if everything correlated at 1</t>
  </si>
  <si>
    <t xml:space="preserve">Diversification benefit, in points</t>
  </si>
  <si>
    <t xml:space="preserve">  as a reduction</t>
  </si>
  <si>
    <t xml:space="preserve">Value at risk</t>
  </si>
  <si>
    <t xml:space="preserve">One-day 99 per cent VaR</t>
  </si>
  <si>
    <t xml:space="preserve">  as a share of net assets</t>
  </si>
  <si>
    <t xml:space="preserve">Twenty-day VaR, root of time</t>
  </si>
  <si>
    <t xml:space="preserve">The same book in crisis correlations</t>
  </si>
  <si>
    <t xml:space="preserve">Volatility in crisis correlations</t>
  </si>
  <si>
    <t xml:space="preserve">VaR in crisis correlations</t>
  </si>
  <si>
    <t xml:space="preserve">  as a multiple of the reported VaR</t>
  </si>
  <si>
    <t xml:space="preserve">Share of the diversification benefit that survives</t>
  </si>
  <si>
    <t xml:space="preserve">Four asset classes, four labels, one risk factor. The benefit is small to begin with, and most of what there is disappears in the months that produce redemptions.</t>
  </si>
  <si>
    <t xml:space="preserve">Number two: what the scenario says</t>
  </si>
  <si>
    <t xml:space="preserve">Chapter 9. A credit spread widening, calibrated sleeve by sleeve.</t>
  </si>
  <si>
    <t xml:space="preserve">Shock, bp</t>
  </si>
  <si>
    <t xml:space="preserve">The loss</t>
  </si>
  <si>
    <t xml:space="preserve">Loss</t>
  </si>
  <si>
    <t xml:space="preserve">As a share of the sleeve</t>
  </si>
  <si>
    <t xml:space="preserve">Total stress loss</t>
  </si>
  <si>
    <t xml:space="preserve">Net assets after the shock</t>
  </si>
  <si>
    <t xml:space="preserve">Net asset value per unit after the shock</t>
  </si>
  <si>
    <t xml:space="preserve">Against the model's number</t>
  </si>
  <si>
    <t xml:space="preserve">Stress / one-day VaR</t>
  </si>
  <si>
    <t xml:space="preserve">Stress / twenty-day VaR</t>
  </si>
  <si>
    <t xml:space="preserve">Root of time understates the event that matters by a factor of nearly three. The VaR is not wrong; the distribution it was fitted to does not contain this.</t>
  </si>
  <si>
    <t xml:space="preserve">Numbers three and four: what the exit costs, and who pays</t>
  </si>
  <si>
    <t xml:space="preserve">Chapters 12 and 13. The same redemption under two selling policies.</t>
  </si>
  <si>
    <t xml:space="preserve">Redemption, share of post-shock net assets</t>
  </si>
  <si>
    <t xml:space="preserve">Redemption amount</t>
  </si>
  <si>
    <t xml:space="preserve">Units redeemed</t>
  </si>
  <si>
    <t xml:space="preserve">Units remaining</t>
  </si>
  <si>
    <t xml:space="preserve">Sleeve values after the shock</t>
  </si>
  <si>
    <t xml:space="preserve">After the shock</t>
  </si>
  <si>
    <t xml:space="preserve">Vertical slice sells</t>
  </si>
  <si>
    <t xml:space="preserve">Liquid-first sells</t>
  </si>
  <si>
    <t xml:space="preserve">The cost of selling, in the stressed market</t>
  </si>
  <si>
    <t xml:space="preserve">cost = amount x ( half-spread x stress multiplier + impact coefficient x scale x stress multiplier x 2 x fraction of the sleeve sold )</t>
  </si>
  <si>
    <t xml:space="preserve">Vertical slice</t>
  </si>
  <si>
    <t xml:space="preserve">As a share</t>
  </si>
  <si>
    <t xml:space="preserve">Liquid-first</t>
  </si>
  <si>
    <t xml:space="preserve">Total cost</t>
  </si>
  <si>
    <t xml:space="preserve">  as a share of the redemption</t>
  </si>
  <si>
    <t xml:space="preserve">Number four: the transfer</t>
  </si>
  <si>
    <t xml:space="preserve">Net asset value before</t>
  </si>
  <si>
    <t xml:space="preserve">Net asset value after</t>
  </si>
  <si>
    <t xml:space="preserve">Loss per remaining unit</t>
  </si>
  <si>
    <t xml:space="preserve">  as a percentage</t>
  </si>
  <si>
    <t xml:space="preserve">Neutralising swing factor</t>
  </si>
  <si>
    <t xml:space="preserve">The selling-policy choice, per unit</t>
  </si>
  <si>
    <t xml:space="preserve">Workbook 4 runs the same engine over six successive redemptions and reports what each policy leaves behind.</t>
  </si>
  <si>
    <t xml:space="preserve">Being wrong about the impact coefficients</t>
  </si>
  <si>
    <t xml:space="preserve">Cost = spread part + impact part x scale. The scale on the Inputs sheet moves the costs above; this table holds four settings side by side.</t>
  </si>
  <si>
    <t xml:space="preserve">Part of the cost</t>
  </si>
  <si>
    <t xml:space="preserve">Spread part: half-spread x stress multiplier</t>
  </si>
  <si>
    <t xml:space="preserve">Impact part, coefficients as entered</t>
  </si>
  <si>
    <t xml:space="preserve">Impact coefficients scaled by</t>
  </si>
  <si>
    <t xml:space="preserve">Change</t>
  </si>
  <si>
    <t xml:space="preserve">Selling policy: vertical slice over liquid-first, less one</t>
  </si>
  <si>
    <t xml:space="preserve">Coefficients tripled: what it does to the vertical slice</t>
  </si>
  <si>
    <t xml:space="preserve">Being wrong by a factor of three moves the answer 44 per cent; the choice of selling policy moves it 153. The parameter everybody argues about is not the one that decides.</t>
  </si>
  <si>
    <t xml:space="preserve">The number that is not in money</t>
  </si>
  <si>
    <t xml:space="preserve">Chapter 14. What the fund can turn into cash inside a week, before and after.</t>
  </si>
  <si>
    <t xml:space="preserve">Sleeve values, before and after each policy</t>
  </si>
  <si>
    <t xml:space="preserve">Before the redemption</t>
  </si>
  <si>
    <t xml:space="preserve">After vertical slice</t>
  </si>
  <si>
    <t xml:space="preserve">After liquid-first</t>
  </si>
  <si>
    <t xml:space="preserve">Portfolio value</t>
  </si>
  <si>
    <t xml:space="preserve">What the fund can still sell</t>
  </si>
  <si>
    <t xml:space="preserve">Liquidable within seven days</t>
  </si>
  <si>
    <t xml:space="preserve">Weighted average days to sell</t>
  </si>
  <si>
    <t xml:space="preserve">The cheap policy costs less money and leaves a quarter of the one-week liquidity. That is the trade, and it is made by whoever is on the desk that morning.</t>
  </si>
  <si>
    <t xml:space="preserve">Financing: the second door</t>
  </si>
  <si>
    <t xml:space="preserve">Repo borrowing</t>
  </si>
  <si>
    <t xml:space="preserve">Haircut, calm market</t>
  </si>
  <si>
    <t xml:space="preserve">Haircut, stressed market</t>
  </si>
  <si>
    <t xml:space="preserve">Collateral required, calm</t>
  </si>
  <si>
    <t xml:space="preserve">Collateral required, stressed</t>
  </si>
  <si>
    <t xml:space="preserve">Collateral call</t>
  </si>
  <si>
    <t xml:space="preserve">Due the same day as the redemptions, and met from the same liquid sleeve.</t>
  </si>
  <si>
    <t xml:space="preserve">Checks against the printed book</t>
  </si>
  <si>
    <t xml:space="preserve">Every line reproduces a figure printed in Financial Risk Management; a printed value of nought marks an identity that holds for any inputs. A FAIL means the model is wrong, not the book.</t>
  </si>
  <si>
    <t xml:space="preserve">Ch.</t>
  </si>
  <si>
    <t xml:space="preserve">Figure as printed in the book</t>
  </si>
  <si>
    <t xml:space="preserve">Printed</t>
  </si>
  <si>
    <t xml:space="preserve">Workbook</t>
  </si>
  <si>
    <t xml:space="preserve">Difference</t>
  </si>
  <si>
    <t xml:space="preserve">Result</t>
  </si>
  <si>
    <t xml:space="preserve">3</t>
  </si>
  <si>
    <t xml:space="preserve">Portfolio volatility</t>
  </si>
  <si>
    <t xml:space="preserve">Volatility if correlation were 1</t>
  </si>
  <si>
    <t xml:space="preserve">4</t>
  </si>
  <si>
    <t xml:space="preserve">One-day 99 per cent value at risk</t>
  </si>
  <si>
    <t xml:space="preserve">7</t>
  </si>
  <si>
    <t xml:space="preserve">Twenty-day value at risk</t>
  </si>
  <si>
    <t xml:space="preserve">Value at risk in crisis correlations</t>
  </si>
  <si>
    <t xml:space="preserve">Diversification benefit surviving</t>
  </si>
  <si>
    <t xml:space="preserve">8</t>
  </si>
  <si>
    <t xml:space="preserve">Loss, investment-grade</t>
  </si>
  <si>
    <t xml:space="preserve">Loss, high yield</t>
  </si>
  <si>
    <t xml:space="preserve">Loss, leveraged loans</t>
  </si>
  <si>
    <t xml:space="preserve">Loss, structured credit</t>
  </si>
  <si>
    <t xml:space="preserve">9</t>
  </si>
  <si>
    <t xml:space="preserve">Net asset value per unit after</t>
  </si>
  <si>
    <t xml:space="preserve">13</t>
  </si>
  <si>
    <t xml:space="preserve">12</t>
  </si>
  <si>
    <t xml:space="preserve">Cost, vertical slice</t>
  </si>
  <si>
    <t xml:space="preserve">Cost, liquid-first</t>
  </si>
  <si>
    <t xml:space="preserve">Net asset value after, vertical slice</t>
  </si>
  <si>
    <t xml:space="preserve">Net asset value after, liquid-first</t>
  </si>
  <si>
    <t xml:space="preserve">Transfer per unit, vertical slice</t>
  </si>
  <si>
    <t xml:space="preserve">Transfer per unit, liquid-first</t>
  </si>
  <si>
    <t xml:space="preserve">15</t>
  </si>
  <si>
    <t xml:space="preserve">Neutralising swing, vertical slice</t>
  </si>
  <si>
    <t xml:space="preserve">Neutralising swing, liquid-first</t>
  </si>
  <si>
    <t xml:space="preserve">14</t>
  </si>
  <si>
    <t xml:space="preserve">11</t>
  </si>
  <si>
    <t xml:space="preserve">One-week liquidity before</t>
  </si>
  <si>
    <t xml:space="preserve">One-week liquidity after liquid-first</t>
  </si>
  <si>
    <t xml:space="preserve">Weighted average days to sell, before</t>
  </si>
  <si>
    <t xml:space="preserve">Weighted average days, after liquid-first</t>
  </si>
  <si>
    <t xml:space="preserve">16</t>
  </si>
  <si>
    <t xml:space="preserve">Diversification benefit, as a reduction</t>
  </si>
  <si>
    <t xml:space="preserve">Impact coefficients tripled: vertical cost rises by</t>
  </si>
  <si>
    <t xml:space="preserve">Selling policy: vertical over liquid-first, less one</t>
  </si>
  <si>
    <t xml:space="preserve">Impact scale at the book's setting</t>
  </si>
  <si>
    <t xml:space="preserve">Units x NAV after + redemption + cost = post-shock NAV, vertical</t>
  </si>
  <si>
    <t xml:space="preserve">Units x NAV after + redemption + cost = post-shock NAV, liquid-first</t>
  </si>
  <si>
    <t xml:space="preserve">Policy choice per unit = cost difference / units remaining</t>
  </si>
  <si>
    <t xml:space="preserve">Checks passing</t>
  </si>
</sst>
</file>

<file path=xl/styles.xml><?xml version="1.0" encoding="utf-8"?>
<styleSheet xmlns="http://schemas.openxmlformats.org/spreadsheetml/2006/main">
  <numFmts count="19">
    <numFmt numFmtId="164" formatCode="General"/>
    <numFmt numFmtId="165" formatCode="#,##0;\-#,##0"/>
    <numFmt numFmtId="166" formatCode="#,##0"/>
    <numFmt numFmtId="167" formatCode="#,##0.00;\-#,##0.00"/>
    <numFmt numFmtId="168" formatCode="0.0%;\-0.0%"/>
    <numFmt numFmtId="169" formatCode="0.00"/>
    <numFmt numFmtId="170" formatCode="0&quot; d&quot;"/>
    <numFmt numFmtId="171" formatCode="0.00%;\-0.00%"/>
    <numFmt numFmtId="172" formatCode="0&quot; bp&quot;"/>
    <numFmt numFmtId="173" formatCode="0.000000"/>
    <numFmt numFmtId="174" formatCode="0"/>
    <numFmt numFmtId="175" formatCode="0.0\x"/>
    <numFmt numFmtId="176" formatCode="0.0000000"/>
    <numFmt numFmtId="177" formatCode="0.00\x"/>
    <numFmt numFmtId="178" formatCode="0.0000"/>
    <numFmt numFmtId="179" formatCode="0.0&quot; d&quot;"/>
    <numFmt numFmtId="180" formatCode="0.0"/>
    <numFmt numFmtId="181" formatCode="0%"/>
    <numFmt numFmtId="182" formatCode="@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5F"/>
      <name val="Calibri"/>
      <family val="0"/>
      <charset val="1"/>
    </font>
    <font>
      <i val="true"/>
      <sz val="10"/>
      <color rgb="FF5A6A70"/>
      <name val="Calibri"/>
      <family val="0"/>
      <charset val="1"/>
    </font>
    <font>
      <b val="true"/>
      <sz val="12"/>
      <color rgb="FF1F4E5F"/>
      <name val="Calibri"/>
      <family val="0"/>
      <charset val="1"/>
    </font>
    <font>
      <sz val="11"/>
      <color rgb="FF1A1A1A"/>
      <name val="Calibri"/>
      <family val="0"/>
      <charset val="1"/>
    </font>
    <font>
      <b val="true"/>
      <sz val="11"/>
      <color rgb="FF0B4FA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1"/>
      <color rgb="FF1A1A1A"/>
      <name val="Calibri"/>
      <family val="0"/>
      <charset val="1"/>
    </font>
    <font>
      <i val="true"/>
      <sz val="9"/>
      <color rgb="FF5A6A70"/>
      <name val="Cambria"/>
      <family val="0"/>
      <charset val="1"/>
    </font>
    <font>
      <i val="true"/>
      <sz val="9"/>
      <color rgb="FF5A6A70"/>
      <name val="Calibri"/>
      <family val="0"/>
      <charset val="1"/>
    </font>
    <font>
      <b val="true"/>
      <sz val="11"/>
      <color rgb="FF1E7A3C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D8"/>
        <bgColor rgb="FFF2F5F7"/>
      </patternFill>
    </fill>
    <fill>
      <patternFill patternType="solid">
        <fgColor rgb="FF1F4E5F"/>
        <bgColor rgb="FF0B4FA0"/>
      </patternFill>
    </fill>
    <fill>
      <patternFill patternType="solid">
        <fgColor rgb="FFF2F5F7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F4E5F"/>
      </bottom>
      <diagonal/>
    </border>
    <border diagonalUp="false" diagonalDown="false">
      <left/>
      <right/>
      <top/>
      <bottom style="thin">
        <color rgb="FFBFC8CC"/>
      </bottom>
      <diagonal/>
    </border>
    <border diagonalUp="false" diagonalDown="false">
      <left style="thin">
        <color rgb="FFBFC8CC"/>
      </left>
      <right style="thin">
        <color rgb="FFBFC8CC"/>
      </right>
      <top style="thin">
        <color rgb="FFBFC8CC"/>
      </top>
      <bottom style="thin">
        <color rgb="FFBFC8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8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75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8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8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8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81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82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A3C"/>
      <rgbColor rgb="FF000080"/>
      <rgbColor rgb="FF808000"/>
      <rgbColor rgb="FF800080"/>
      <rgbColor rgb="FF008080"/>
      <rgbColor rgb="FFBFC8CC"/>
      <rgbColor rgb="FF808080"/>
      <rgbColor rgb="FF9999FF"/>
      <rgbColor rgb="FF993366"/>
      <rgbColor rgb="FFFFF6D8"/>
      <rgbColor rgb="FFF2F5F7"/>
      <rgbColor rgb="FF660066"/>
      <rgbColor rgb="FFFF8080"/>
      <rgbColor rgb="FF0B4FA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A70"/>
      <rgbColor rgb="FF969696"/>
      <rgbColor rgb="FF1F4E5F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10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5" customFormat="false" ht="15" hidden="false" customHeight="false" outlineLevel="0" collapsed="false">
      <c r="A5" s="4" t="s">
        <v>2</v>
      </c>
    </row>
    <row r="7" customFormat="false" ht="45" hidden="false" customHeight="true" outlineLevel="0" collapsed="false">
      <c r="A7" s="5" t="s">
        <v>3</v>
      </c>
    </row>
    <row r="9" customFormat="false" ht="15" hidden="false" customHeight="false" outlineLevel="0" collapsed="false">
      <c r="A9" s="4" t="s">
        <v>4</v>
      </c>
    </row>
    <row r="11" customFormat="false" ht="15" hidden="false" customHeight="true" outlineLevel="0" collapsed="false">
      <c r="A11" s="5" t="s">
        <v>5</v>
      </c>
    </row>
    <row r="12" customFormat="false" ht="30" hidden="false" customHeight="true" outlineLevel="0" collapsed="false">
      <c r="A12" s="5" t="s">
        <v>6</v>
      </c>
    </row>
    <row r="13" customFormat="false" ht="30" hidden="false" customHeight="true" outlineLevel="0" collapsed="false">
      <c r="A13" s="5" t="s">
        <v>7</v>
      </c>
    </row>
    <row r="14" customFormat="false" ht="15" hidden="false" customHeight="true" outlineLevel="0" collapsed="false">
      <c r="A14" s="5" t="s">
        <v>8</v>
      </c>
    </row>
    <row r="15" customFormat="false" ht="30" hidden="false" customHeight="true" outlineLevel="0" collapsed="false">
      <c r="A15" s="5" t="s">
        <v>9</v>
      </c>
    </row>
    <row r="16" customFormat="false" ht="15" hidden="false" customHeight="true" outlineLevel="0" collapsed="false">
      <c r="A16" s="5" t="s">
        <v>10</v>
      </c>
    </row>
    <row r="18" customFormat="false" ht="15" hidden="false" customHeight="false" outlineLevel="0" collapsed="false">
      <c r="A18" s="4" t="s">
        <v>11</v>
      </c>
    </row>
    <row r="20" customFormat="false" ht="30" hidden="false" customHeight="true" outlineLevel="0" collapsed="false">
      <c r="A20" s="5" t="s">
        <v>12</v>
      </c>
    </row>
    <row r="22" customFormat="false" ht="15" hidden="false" customHeight="false" outlineLevel="0" collapsed="false">
      <c r="A22" s="4" t="s">
        <v>13</v>
      </c>
    </row>
    <row r="24" customFormat="false" ht="30" hidden="false" customHeight="true" outlineLevel="0" collapsed="false">
      <c r="A24" s="5" t="s">
        <v>14</v>
      </c>
    </row>
    <row r="25" customFormat="false" ht="15" hidden="false" customHeight="true" outlineLevel="0" collapsed="false">
      <c r="A25" s="5" t="s">
        <v>15</v>
      </c>
    </row>
    <row r="27" customFormat="false" ht="15" hidden="false" customHeight="false" outlineLevel="0" collapsed="false">
      <c r="A27" s="6" t="s">
        <v>16</v>
      </c>
    </row>
    <row r="29" customFormat="false" ht="55.2" hidden="false" customHeight="false" outlineLevel="0" collapsed="false">
      <c r="A29" s="5" t="s">
        <v>17</v>
      </c>
    </row>
    <row r="30" customFormat="false" ht="28.35" hidden="false" customHeight="false" outlineLevel="0" collapsed="false">
      <c r="A30" s="5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7" min="3" style="0" width="12"/>
    <col collapsed="false" customWidth="true" hidden="false" outlineLevel="0" max="8" min="8" style="0" width="4"/>
    <col collapsed="false" customWidth="true" hidden="false" outlineLevel="0" max="9" min="9" style="0" width="46"/>
  </cols>
  <sheetData>
    <row r="1" customFormat="false" ht="24" hidden="false" customHeight="true" outlineLevel="0" collapsed="false">
      <c r="A1" s="1" t="s">
        <v>19</v>
      </c>
    </row>
    <row r="2" customFormat="false" ht="15" hidden="false" customHeight="false" outlineLevel="0" collapsed="false">
      <c r="A2" s="2" t="s">
        <v>20</v>
      </c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</row>
    <row r="5" customFormat="false" ht="15" hidden="false" customHeight="false" outlineLevel="0" collapsed="false">
      <c r="A5" s="4" t="s">
        <v>21</v>
      </c>
      <c r="B5" s="7"/>
      <c r="C5" s="7"/>
      <c r="D5" s="7"/>
      <c r="E5" s="7"/>
      <c r="F5" s="7"/>
      <c r="G5" s="7"/>
    </row>
    <row r="7" customFormat="false" ht="15" hidden="false" customHeight="false" outlineLevel="0" collapsed="false">
      <c r="A7" s="8" t="s">
        <v>22</v>
      </c>
      <c r="B7" s="9" t="n">
        <v>840000000</v>
      </c>
    </row>
    <row r="8" customFormat="false" ht="15" hidden="false" customHeight="false" outlineLevel="0" collapsed="false">
      <c r="A8" s="8" t="s">
        <v>23</v>
      </c>
      <c r="B8" s="10" t="n">
        <v>8400000</v>
      </c>
    </row>
    <row r="9" customFormat="false" ht="15" hidden="false" customHeight="false" outlineLevel="0" collapsed="false">
      <c r="A9" s="8" t="s">
        <v>24</v>
      </c>
      <c r="B9" s="11" t="n">
        <f aca="false">NAV/UNITS</f>
        <v>100</v>
      </c>
    </row>
    <row r="11" customFormat="false" ht="15" hidden="false" customHeight="false" outlineLevel="0" collapsed="false">
      <c r="A11" s="4" t="s">
        <v>25</v>
      </c>
      <c r="B11" s="7"/>
      <c r="C11" s="7"/>
      <c r="D11" s="7"/>
      <c r="E11" s="7"/>
      <c r="F11" s="7"/>
      <c r="G11" s="7"/>
    </row>
    <row r="13" customFormat="false" ht="30" hidden="false" customHeight="true" outlineLevel="0" collapsed="false">
      <c r="A13" s="12" t="s">
        <v>26</v>
      </c>
      <c r="B13" s="13" t="s">
        <v>27</v>
      </c>
      <c r="C13" s="13" t="s">
        <v>28</v>
      </c>
      <c r="D13" s="13" t="s">
        <v>29</v>
      </c>
      <c r="E13" s="13" t="s">
        <v>30</v>
      </c>
      <c r="F13" s="13" t="s">
        <v>31</v>
      </c>
      <c r="G13" s="13" t="s">
        <v>32</v>
      </c>
    </row>
    <row r="14" customFormat="false" ht="15" hidden="false" customHeight="false" outlineLevel="0" collapsed="false">
      <c r="A14" s="8" t="s">
        <v>33</v>
      </c>
      <c r="B14" s="9" t="n">
        <v>252000000</v>
      </c>
      <c r="C14" s="14" t="n">
        <f aca="false">B14/NAV</f>
        <v>0.3</v>
      </c>
      <c r="D14" s="15" t="n">
        <v>0.045</v>
      </c>
      <c r="E14" s="16" t="n">
        <v>6.2</v>
      </c>
      <c r="F14" s="17" t="n">
        <v>2</v>
      </c>
      <c r="G14" s="18" t="n">
        <v>0.0015</v>
      </c>
    </row>
    <row r="15" customFormat="false" ht="15" hidden="false" customHeight="false" outlineLevel="0" collapsed="false">
      <c r="A15" s="19" t="s">
        <v>34</v>
      </c>
      <c r="B15" s="20" t="n">
        <v>294000000</v>
      </c>
      <c r="C15" s="21" t="n">
        <f aca="false">B15/NAV</f>
        <v>0.35</v>
      </c>
      <c r="D15" s="22" t="n">
        <v>0.08</v>
      </c>
      <c r="E15" s="23" t="n">
        <v>3.8</v>
      </c>
      <c r="F15" s="24" t="n">
        <v>8</v>
      </c>
      <c r="G15" s="25" t="n">
        <v>0.0045</v>
      </c>
    </row>
    <row r="16" customFormat="false" ht="15" hidden="false" customHeight="false" outlineLevel="0" collapsed="false">
      <c r="A16" s="8" t="s">
        <v>35</v>
      </c>
      <c r="B16" s="9" t="n">
        <v>210000000</v>
      </c>
      <c r="C16" s="14" t="n">
        <f aca="false">B16/NAV</f>
        <v>0.25</v>
      </c>
      <c r="D16" s="15" t="n">
        <v>0.06</v>
      </c>
      <c r="E16" s="16" t="n">
        <v>0.25</v>
      </c>
      <c r="F16" s="17" t="n">
        <v>20</v>
      </c>
      <c r="G16" s="18" t="n">
        <v>0.008</v>
      </c>
    </row>
    <row r="17" customFormat="false" ht="15" hidden="false" customHeight="false" outlineLevel="0" collapsed="false">
      <c r="A17" s="19" t="s">
        <v>36</v>
      </c>
      <c r="B17" s="20" t="n">
        <v>84000000</v>
      </c>
      <c r="C17" s="21" t="n">
        <f aca="false">B17/NAV</f>
        <v>0.1</v>
      </c>
      <c r="D17" s="22" t="n">
        <v>0.1</v>
      </c>
      <c r="E17" s="23" t="n">
        <v>4.5</v>
      </c>
      <c r="F17" s="24" t="n">
        <v>30</v>
      </c>
      <c r="G17" s="25" t="n">
        <v>0.014</v>
      </c>
    </row>
    <row r="18" customFormat="false" ht="15" hidden="false" customHeight="false" outlineLevel="0" collapsed="false">
      <c r="A18" s="26" t="s">
        <v>37</v>
      </c>
      <c r="B18" s="27" t="n">
        <f aca="false">SUM(B14:B17)</f>
        <v>840000000</v>
      </c>
      <c r="C18" s="28" t="n">
        <f aca="false">B18/NAV</f>
        <v>1</v>
      </c>
    </row>
    <row r="20" customFormat="false" ht="15" hidden="false" customHeight="false" outlineLevel="0" collapsed="false">
      <c r="A20" s="4" t="s">
        <v>38</v>
      </c>
      <c r="B20" s="7"/>
      <c r="C20" s="7"/>
      <c r="D20" s="7"/>
      <c r="E20" s="7"/>
      <c r="F20" s="7"/>
      <c r="G20" s="7"/>
    </row>
    <row r="22" customFormat="false" ht="30" hidden="false" customHeight="true" outlineLevel="0" collapsed="false">
      <c r="A22" s="12" t="s">
        <v>26</v>
      </c>
      <c r="B22" s="13" t="s">
        <v>39</v>
      </c>
      <c r="C22" s="13" t="s">
        <v>40</v>
      </c>
    </row>
    <row r="23" customFormat="false" ht="15" hidden="false" customHeight="false" outlineLevel="0" collapsed="false">
      <c r="A23" s="8" t="s">
        <v>33</v>
      </c>
      <c r="B23" s="18" t="n">
        <v>0.001</v>
      </c>
      <c r="C23" s="29" t="n">
        <v>120</v>
      </c>
    </row>
    <row r="24" customFormat="false" ht="15" hidden="false" customHeight="false" outlineLevel="0" collapsed="false">
      <c r="A24" s="19" t="s">
        <v>34</v>
      </c>
      <c r="B24" s="25" t="n">
        <v>0.0035</v>
      </c>
      <c r="C24" s="30" t="n">
        <v>450</v>
      </c>
    </row>
    <row r="25" customFormat="false" ht="15" hidden="false" customHeight="false" outlineLevel="0" collapsed="false">
      <c r="A25" s="8" t="s">
        <v>35</v>
      </c>
      <c r="B25" s="18" t="n">
        <v>0.006</v>
      </c>
      <c r="C25" s="29" t="n">
        <v>300</v>
      </c>
    </row>
    <row r="26" customFormat="false" ht="15" hidden="false" customHeight="false" outlineLevel="0" collapsed="false">
      <c r="A26" s="19" t="s">
        <v>36</v>
      </c>
      <c r="B26" s="25" t="n">
        <v>0.011</v>
      </c>
      <c r="C26" s="30" t="n">
        <v>600</v>
      </c>
    </row>
    <row r="28" customFormat="false" ht="15" hidden="false" customHeight="false" outlineLevel="0" collapsed="false">
      <c r="A28" s="4" t="s">
        <v>41</v>
      </c>
      <c r="B28" s="7"/>
      <c r="C28" s="7"/>
      <c r="D28" s="7"/>
      <c r="E28" s="7"/>
      <c r="F28" s="7"/>
      <c r="G28" s="7"/>
    </row>
    <row r="30" customFormat="false" ht="15" hidden="false" customHeight="false" outlineLevel="0" collapsed="false">
      <c r="A30" s="8" t="s">
        <v>42</v>
      </c>
      <c r="B30" s="31" t="n">
        <v>2.326347874</v>
      </c>
      <c r="I30" s="32" t="s">
        <v>43</v>
      </c>
    </row>
    <row r="31" customFormat="false" ht="15" hidden="false" customHeight="false" outlineLevel="0" collapsed="false">
      <c r="A31" s="8" t="s">
        <v>44</v>
      </c>
      <c r="B31" s="33" t="n">
        <v>252</v>
      </c>
      <c r="I31" s="32" t="s">
        <v>45</v>
      </c>
    </row>
    <row r="32" customFormat="false" ht="15" hidden="false" customHeight="false" outlineLevel="0" collapsed="false">
      <c r="A32" s="8" t="s">
        <v>46</v>
      </c>
      <c r="B32" s="34" t="n">
        <v>4</v>
      </c>
      <c r="I32" s="32" t="s">
        <v>47</v>
      </c>
    </row>
    <row r="33" customFormat="false" ht="15" hidden="false" customHeight="false" outlineLevel="0" collapsed="false">
      <c r="A33" s="8" t="s">
        <v>48</v>
      </c>
      <c r="B33" s="34" t="n">
        <v>3</v>
      </c>
      <c r="I33" s="32" t="s">
        <v>49</v>
      </c>
    </row>
    <row r="34" customFormat="false" ht="15" hidden="false" customHeight="false" outlineLevel="0" collapsed="false">
      <c r="A34" s="8" t="s">
        <v>50</v>
      </c>
      <c r="B34" s="15" t="n">
        <v>0.25</v>
      </c>
      <c r="I34" s="32" t="s">
        <v>51</v>
      </c>
    </row>
    <row r="35" customFormat="false" ht="15" hidden="false" customHeight="false" outlineLevel="0" collapsed="false">
      <c r="A35" s="8" t="s">
        <v>52</v>
      </c>
      <c r="B35" s="35" t="n">
        <v>1</v>
      </c>
      <c r="I35" s="8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5" min="2" style="0" width="15"/>
    <col collapsed="false" customWidth="true" hidden="false" outlineLevel="0" max="6" min="6" style="0" width="4"/>
    <col collapsed="false" customWidth="true" hidden="false" outlineLevel="0" max="7" min="7" style="0" width="52"/>
  </cols>
  <sheetData>
    <row r="1" customFormat="false" ht="24" hidden="false" customHeight="true" outlineLevel="0" collapsed="false">
      <c r="A1" s="1" t="s">
        <v>54</v>
      </c>
    </row>
    <row r="2" customFormat="false" ht="15" hidden="false" customHeight="false" outlineLevel="0" collapsed="false">
      <c r="A2" s="2" t="s">
        <v>55</v>
      </c>
    </row>
    <row r="3" customFormat="false" ht="15" hidden="false" customHeight="false" outlineLevel="0" collapsed="false">
      <c r="A3" s="3"/>
      <c r="B3" s="3"/>
      <c r="C3" s="3"/>
      <c r="D3" s="3"/>
      <c r="E3" s="3"/>
    </row>
    <row r="5" customFormat="false" ht="15" hidden="false" customHeight="false" outlineLevel="0" collapsed="false">
      <c r="A5" s="4" t="s">
        <v>56</v>
      </c>
      <c r="B5" s="7"/>
      <c r="C5" s="7"/>
      <c r="D5" s="7"/>
      <c r="E5" s="7"/>
    </row>
    <row r="7" customFormat="false" ht="30" hidden="false" customHeight="true" outlineLevel="0" collapsed="false">
      <c r="A7" s="12"/>
      <c r="B7" s="13" t="s">
        <v>57</v>
      </c>
      <c r="C7" s="13" t="s">
        <v>58</v>
      </c>
      <c r="D7" s="13" t="s">
        <v>59</v>
      </c>
      <c r="E7" s="13" t="s">
        <v>60</v>
      </c>
    </row>
    <row r="8" customFormat="false" ht="15" hidden="false" customHeight="false" outlineLevel="0" collapsed="false">
      <c r="A8" s="8" t="s">
        <v>33</v>
      </c>
      <c r="B8" s="16" t="n">
        <v>1</v>
      </c>
      <c r="C8" s="16" t="n">
        <v>0.75</v>
      </c>
      <c r="D8" s="16" t="n">
        <v>0.55</v>
      </c>
      <c r="E8" s="16" t="n">
        <v>0.45</v>
      </c>
    </row>
    <row r="9" customFormat="false" ht="15" hidden="false" customHeight="false" outlineLevel="0" collapsed="false">
      <c r="A9" s="8" t="s">
        <v>34</v>
      </c>
      <c r="B9" s="16" t="n">
        <v>0.75</v>
      </c>
      <c r="C9" s="16" t="n">
        <v>1</v>
      </c>
      <c r="D9" s="16" t="n">
        <v>0.8</v>
      </c>
      <c r="E9" s="16" t="n">
        <v>0.7</v>
      </c>
    </row>
    <row r="10" customFormat="false" ht="15" hidden="false" customHeight="false" outlineLevel="0" collapsed="false">
      <c r="A10" s="8" t="s">
        <v>35</v>
      </c>
      <c r="B10" s="16" t="n">
        <v>0.55</v>
      </c>
      <c r="C10" s="16" t="n">
        <v>0.8</v>
      </c>
      <c r="D10" s="16" t="n">
        <v>1</v>
      </c>
      <c r="E10" s="16" t="n">
        <v>0.65</v>
      </c>
    </row>
    <row r="11" customFormat="false" ht="15" hidden="false" customHeight="false" outlineLevel="0" collapsed="false">
      <c r="A11" s="8" t="s">
        <v>36</v>
      </c>
      <c r="B11" s="16" t="n">
        <v>0.45</v>
      </c>
      <c r="C11" s="16" t="n">
        <v>0.7</v>
      </c>
      <c r="D11" s="16" t="n">
        <v>0.65</v>
      </c>
      <c r="E11" s="16" t="n">
        <v>1</v>
      </c>
    </row>
    <row r="13" customFormat="false" ht="15" hidden="false" customHeight="false" outlineLevel="0" collapsed="false">
      <c r="A13" s="4" t="s">
        <v>61</v>
      </c>
      <c r="B13" s="7"/>
      <c r="C13" s="7"/>
      <c r="D13" s="7"/>
      <c r="E13" s="7"/>
    </row>
    <row r="15" customFormat="false" ht="15" hidden="false" customHeight="false" outlineLevel="0" collapsed="false">
      <c r="A15" s="8" t="s">
        <v>33</v>
      </c>
      <c r="B15" s="36" t="n">
        <f aca="false">INDEX(WT,1)*INDEX(VOL,1)*B8*INDEX(WT,1)*INDEX(VOL,1)</f>
        <v>0.00018225</v>
      </c>
      <c r="C15" s="36" t="n">
        <f aca="false">INDEX(WT,1)*INDEX(VOL,1)*C8*INDEX(WT,2)*INDEX(VOL,2)</f>
        <v>0.0002835</v>
      </c>
      <c r="D15" s="36" t="n">
        <f aca="false">INDEX(WT,1)*INDEX(VOL,1)*D8*INDEX(WT,3)*INDEX(VOL,3)</f>
        <v>0.000111375</v>
      </c>
      <c r="E15" s="36" t="n">
        <f aca="false">INDEX(WT,1)*INDEX(VOL,1)*E8*INDEX(WT,4)*INDEX(VOL,4)</f>
        <v>6.075E-005</v>
      </c>
    </row>
    <row r="16" customFormat="false" ht="15" hidden="false" customHeight="false" outlineLevel="0" collapsed="false">
      <c r="A16" s="8" t="s">
        <v>34</v>
      </c>
      <c r="B16" s="36" t="n">
        <f aca="false">INDEX(WT,2)*INDEX(VOL,2)*B9*INDEX(WT,1)*INDEX(VOL,1)</f>
        <v>0.0002835</v>
      </c>
      <c r="C16" s="36" t="n">
        <f aca="false">INDEX(WT,2)*INDEX(VOL,2)*C9*INDEX(WT,2)*INDEX(VOL,2)</f>
        <v>0.000784</v>
      </c>
      <c r="D16" s="36" t="n">
        <f aca="false">INDEX(WT,2)*INDEX(VOL,2)*D9*INDEX(WT,3)*INDEX(VOL,3)</f>
        <v>0.000336</v>
      </c>
      <c r="E16" s="36" t="n">
        <f aca="false">INDEX(WT,2)*INDEX(VOL,2)*E9*INDEX(WT,4)*INDEX(VOL,4)</f>
        <v>0.000196</v>
      </c>
    </row>
    <row r="17" customFormat="false" ht="15" hidden="false" customHeight="false" outlineLevel="0" collapsed="false">
      <c r="A17" s="8" t="s">
        <v>35</v>
      </c>
      <c r="B17" s="36" t="n">
        <f aca="false">INDEX(WT,3)*INDEX(VOL,3)*B10*INDEX(WT,1)*INDEX(VOL,1)</f>
        <v>0.000111375</v>
      </c>
      <c r="C17" s="36" t="n">
        <f aca="false">INDEX(WT,3)*INDEX(VOL,3)*C10*INDEX(WT,2)*INDEX(VOL,2)</f>
        <v>0.000336</v>
      </c>
      <c r="D17" s="36" t="n">
        <f aca="false">INDEX(WT,3)*INDEX(VOL,3)*D10*INDEX(WT,3)*INDEX(VOL,3)</f>
        <v>0.000225</v>
      </c>
      <c r="E17" s="36" t="n">
        <f aca="false">INDEX(WT,3)*INDEX(VOL,3)*E10*INDEX(WT,4)*INDEX(VOL,4)</f>
        <v>9.75E-005</v>
      </c>
    </row>
    <row r="18" customFormat="false" ht="15" hidden="false" customHeight="false" outlineLevel="0" collapsed="false">
      <c r="A18" s="8" t="s">
        <v>36</v>
      </c>
      <c r="B18" s="36" t="n">
        <f aca="false">INDEX(WT,4)*INDEX(VOL,4)*B11*INDEX(WT,1)*INDEX(VOL,1)</f>
        <v>6.075E-005</v>
      </c>
      <c r="C18" s="36" t="n">
        <f aca="false">INDEX(WT,4)*INDEX(VOL,4)*C11*INDEX(WT,2)*INDEX(VOL,2)</f>
        <v>0.000196</v>
      </c>
      <c r="D18" s="36" t="n">
        <f aca="false">INDEX(WT,4)*INDEX(VOL,4)*D11*INDEX(WT,3)*INDEX(VOL,3)</f>
        <v>9.75E-005</v>
      </c>
      <c r="E18" s="36" t="n">
        <f aca="false">INDEX(WT,4)*INDEX(VOL,4)*E11*INDEX(WT,4)*INDEX(VOL,4)</f>
        <v>0.0001</v>
      </c>
    </row>
    <row r="20" customFormat="false" ht="15" hidden="false" customHeight="false" outlineLevel="0" collapsed="false">
      <c r="A20" s="8" t="s">
        <v>62</v>
      </c>
      <c r="B20" s="36" t="n">
        <f aca="false">SUM(B15:E18)</f>
        <v>0.0034615</v>
      </c>
    </row>
    <row r="21" customFormat="false" ht="15" hidden="false" customHeight="false" outlineLevel="0" collapsed="false">
      <c r="A21" s="26" t="s">
        <v>63</v>
      </c>
      <c r="B21" s="37" t="n">
        <f aca="false">SQRT(B20)</f>
        <v>0.058834513680322</v>
      </c>
    </row>
    <row r="22" customFormat="false" ht="15" hidden="false" customHeight="false" outlineLevel="0" collapsed="false">
      <c r="A22" s="8" t="s">
        <v>64</v>
      </c>
      <c r="B22" s="38" t="n">
        <f aca="false">SUMPRODUCT(WT,VOL)</f>
        <v>0.0665</v>
      </c>
    </row>
    <row r="23" customFormat="false" ht="15" hidden="false" customHeight="false" outlineLevel="0" collapsed="false">
      <c r="A23" s="8" t="s">
        <v>65</v>
      </c>
      <c r="B23" s="38" t="n">
        <f aca="false">B22-B21</f>
        <v>0.00766548631967798</v>
      </c>
    </row>
    <row r="24" customFormat="false" ht="15" hidden="false" customHeight="false" outlineLevel="0" collapsed="false">
      <c r="A24" s="8" t="s">
        <v>66</v>
      </c>
      <c r="B24" s="14" t="n">
        <f aca="false">1-B21/B22</f>
        <v>0.115270470972601</v>
      </c>
    </row>
    <row r="26" customFormat="false" ht="15" hidden="false" customHeight="false" outlineLevel="0" collapsed="false">
      <c r="A26" s="4" t="s">
        <v>67</v>
      </c>
      <c r="B26" s="7"/>
      <c r="C26" s="7"/>
      <c r="D26" s="7"/>
      <c r="E26" s="7"/>
    </row>
    <row r="28" customFormat="false" ht="15" hidden="false" customHeight="false" outlineLevel="0" collapsed="false">
      <c r="A28" s="26" t="s">
        <v>68</v>
      </c>
      <c r="B28" s="27" t="n">
        <f aca="false">ZSCORE*B21/SQRT(TDAYS)*NAV</f>
        <v>7242455.60585794</v>
      </c>
    </row>
    <row r="29" customFormat="false" ht="15" hidden="false" customHeight="false" outlineLevel="0" collapsed="false">
      <c r="A29" s="8" t="s">
        <v>69</v>
      </c>
      <c r="B29" s="38" t="n">
        <f aca="false">B28/NAV</f>
        <v>0.00862197095935469</v>
      </c>
    </row>
    <row r="30" customFormat="false" ht="15" hidden="false" customHeight="false" outlineLevel="0" collapsed="false">
      <c r="A30" s="8" t="s">
        <v>70</v>
      </c>
      <c r="B30" s="39" t="n">
        <f aca="false">B28*SQRT(20)</f>
        <v>32389246.1174456</v>
      </c>
    </row>
    <row r="31" customFormat="false" ht="15" hidden="false" customHeight="false" outlineLevel="0" collapsed="false">
      <c r="A31" s="8" t="s">
        <v>69</v>
      </c>
      <c r="B31" s="14" t="n">
        <f aca="false">B30/NAV</f>
        <v>0.0385586263302924</v>
      </c>
    </row>
    <row r="33" customFormat="false" ht="15" hidden="false" customHeight="false" outlineLevel="0" collapsed="false">
      <c r="A33" s="4" t="s">
        <v>71</v>
      </c>
      <c r="B33" s="7"/>
      <c r="C33" s="7"/>
      <c r="D33" s="7"/>
      <c r="E33" s="7"/>
    </row>
    <row r="35" customFormat="false" ht="30" hidden="false" customHeight="true" outlineLevel="0" collapsed="false">
      <c r="A35" s="12"/>
      <c r="B35" s="13" t="s">
        <v>57</v>
      </c>
      <c r="C35" s="13" t="s">
        <v>58</v>
      </c>
      <c r="D35" s="13" t="s">
        <v>59</v>
      </c>
      <c r="E35" s="13" t="s">
        <v>60</v>
      </c>
    </row>
    <row r="36" customFormat="false" ht="15" hidden="false" customHeight="false" outlineLevel="0" collapsed="false">
      <c r="A36" s="8" t="s">
        <v>33</v>
      </c>
      <c r="B36" s="16" t="n">
        <v>1</v>
      </c>
      <c r="C36" s="16" t="n">
        <v>0.92</v>
      </c>
      <c r="D36" s="16" t="n">
        <v>0.88</v>
      </c>
      <c r="E36" s="16" t="n">
        <v>0.82</v>
      </c>
    </row>
    <row r="37" customFormat="false" ht="15" hidden="false" customHeight="false" outlineLevel="0" collapsed="false">
      <c r="A37" s="8" t="s">
        <v>34</v>
      </c>
      <c r="B37" s="16" t="n">
        <v>0.92</v>
      </c>
      <c r="C37" s="16" t="n">
        <v>1</v>
      </c>
      <c r="D37" s="16" t="n">
        <v>0.95</v>
      </c>
      <c r="E37" s="16" t="n">
        <v>0.9</v>
      </c>
    </row>
    <row r="38" customFormat="false" ht="15" hidden="false" customHeight="false" outlineLevel="0" collapsed="false">
      <c r="A38" s="8" t="s">
        <v>35</v>
      </c>
      <c r="B38" s="16" t="n">
        <v>0.88</v>
      </c>
      <c r="C38" s="16" t="n">
        <v>0.95</v>
      </c>
      <c r="D38" s="16" t="n">
        <v>1</v>
      </c>
      <c r="E38" s="16" t="n">
        <v>0.93</v>
      </c>
    </row>
    <row r="39" customFormat="false" ht="15" hidden="false" customHeight="false" outlineLevel="0" collapsed="false">
      <c r="A39" s="8" t="s">
        <v>36</v>
      </c>
      <c r="B39" s="16" t="n">
        <v>0.82</v>
      </c>
      <c r="C39" s="16" t="n">
        <v>0.9</v>
      </c>
      <c r="D39" s="16" t="n">
        <v>0.93</v>
      </c>
      <c r="E39" s="16" t="n">
        <v>1</v>
      </c>
    </row>
    <row r="41" customFormat="false" ht="15" hidden="false" customHeight="false" outlineLevel="0" collapsed="false">
      <c r="A41" s="8" t="s">
        <v>33</v>
      </c>
      <c r="B41" s="36" t="n">
        <f aca="false">INDEX(WT,1)*INDEX(VOL,1)*B36*INDEX(WT,1)*INDEX(VOL,1)</f>
        <v>0.00018225</v>
      </c>
      <c r="C41" s="36" t="n">
        <f aca="false">INDEX(WT,1)*INDEX(VOL,1)*C36*INDEX(WT,2)*INDEX(VOL,2)</f>
        <v>0.00034776</v>
      </c>
      <c r="D41" s="36" t="n">
        <f aca="false">INDEX(WT,1)*INDEX(VOL,1)*D36*INDEX(WT,3)*INDEX(VOL,3)</f>
        <v>0.0001782</v>
      </c>
      <c r="E41" s="36" t="n">
        <f aca="false">INDEX(WT,1)*INDEX(VOL,1)*E36*INDEX(WT,4)*INDEX(VOL,4)</f>
        <v>0.0001107</v>
      </c>
    </row>
    <row r="42" customFormat="false" ht="15" hidden="false" customHeight="false" outlineLevel="0" collapsed="false">
      <c r="A42" s="8" t="s">
        <v>34</v>
      </c>
      <c r="B42" s="36" t="n">
        <f aca="false">INDEX(WT,2)*INDEX(VOL,2)*B37*INDEX(WT,1)*INDEX(VOL,1)</f>
        <v>0.00034776</v>
      </c>
      <c r="C42" s="36" t="n">
        <f aca="false">INDEX(WT,2)*INDEX(VOL,2)*C37*INDEX(WT,2)*INDEX(VOL,2)</f>
        <v>0.000784</v>
      </c>
      <c r="D42" s="36" t="n">
        <f aca="false">INDEX(WT,2)*INDEX(VOL,2)*D37*INDEX(WT,3)*INDEX(VOL,3)</f>
        <v>0.000399</v>
      </c>
      <c r="E42" s="36" t="n">
        <f aca="false">INDEX(WT,2)*INDEX(VOL,2)*E37*INDEX(WT,4)*INDEX(VOL,4)</f>
        <v>0.000252</v>
      </c>
    </row>
    <row r="43" customFormat="false" ht="15" hidden="false" customHeight="false" outlineLevel="0" collapsed="false">
      <c r="A43" s="8" t="s">
        <v>35</v>
      </c>
      <c r="B43" s="36" t="n">
        <f aca="false">INDEX(WT,3)*INDEX(VOL,3)*B38*INDEX(WT,1)*INDEX(VOL,1)</f>
        <v>0.0001782</v>
      </c>
      <c r="C43" s="36" t="n">
        <f aca="false">INDEX(WT,3)*INDEX(VOL,3)*C38*INDEX(WT,2)*INDEX(VOL,2)</f>
        <v>0.000399</v>
      </c>
      <c r="D43" s="36" t="n">
        <f aca="false">INDEX(WT,3)*INDEX(VOL,3)*D38*INDEX(WT,3)*INDEX(VOL,3)</f>
        <v>0.000225</v>
      </c>
      <c r="E43" s="36" t="n">
        <f aca="false">INDEX(WT,3)*INDEX(VOL,3)*E38*INDEX(WT,4)*INDEX(VOL,4)</f>
        <v>0.0001395</v>
      </c>
    </row>
    <row r="44" customFormat="false" ht="15" hidden="false" customHeight="false" outlineLevel="0" collapsed="false">
      <c r="A44" s="8" t="s">
        <v>36</v>
      </c>
      <c r="B44" s="36" t="n">
        <f aca="false">INDEX(WT,4)*INDEX(VOL,4)*B39*INDEX(WT,1)*INDEX(VOL,1)</f>
        <v>0.0001107</v>
      </c>
      <c r="C44" s="36" t="n">
        <f aca="false">INDEX(WT,4)*INDEX(VOL,4)*C39*INDEX(WT,2)*INDEX(VOL,2)</f>
        <v>0.000252</v>
      </c>
      <c r="D44" s="36" t="n">
        <f aca="false">INDEX(WT,4)*INDEX(VOL,4)*D39*INDEX(WT,3)*INDEX(VOL,3)</f>
        <v>0.0001395</v>
      </c>
      <c r="E44" s="36" t="n">
        <f aca="false">INDEX(WT,4)*INDEX(VOL,4)*E39*INDEX(WT,4)*INDEX(VOL,4)</f>
        <v>0.0001</v>
      </c>
    </row>
    <row r="46" customFormat="false" ht="15" hidden="false" customHeight="false" outlineLevel="0" collapsed="false">
      <c r="A46" s="26" t="s">
        <v>72</v>
      </c>
      <c r="B46" s="37" t="n">
        <f aca="false">SQRT(SUM(B41:E44))</f>
        <v>0.0643861009846069</v>
      </c>
    </row>
    <row r="47" customFormat="false" ht="15" hidden="false" customHeight="false" outlineLevel="0" collapsed="false">
      <c r="A47" s="8" t="s">
        <v>73</v>
      </c>
      <c r="B47" s="39" t="n">
        <f aca="false">ZSCORE*B46/SQRT(TDAYS)*NAV</f>
        <v>7925849.11212187</v>
      </c>
    </row>
    <row r="48" customFormat="false" ht="15" hidden="false" customHeight="false" outlineLevel="0" collapsed="false">
      <c r="A48" s="8" t="s">
        <v>74</v>
      </c>
      <c r="B48" s="40" t="n">
        <f aca="false">B47/B28</f>
        <v>1.09435936420669</v>
      </c>
    </row>
    <row r="49" customFormat="false" ht="15" hidden="false" customHeight="false" outlineLevel="0" collapsed="false">
      <c r="A49" s="26" t="s">
        <v>75</v>
      </c>
      <c r="B49" s="28" t="n">
        <f aca="false">(B22-B46)/(B22-B21)</f>
        <v>0.275768415366748</v>
      </c>
    </row>
    <row r="50" customFormat="false" ht="15" hidden="false" customHeight="false" outlineLevel="0" collapsed="false">
      <c r="A50" s="41" t="s">
        <v>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4"/>
    <col collapsed="false" customWidth="true" hidden="false" outlineLevel="0" max="6" min="6" style="0" width="52"/>
  </cols>
  <sheetData>
    <row r="1" customFormat="false" ht="24" hidden="false" customHeight="true" outlineLevel="0" collapsed="false">
      <c r="A1" s="1" t="s">
        <v>77</v>
      </c>
    </row>
    <row r="2" customFormat="false" ht="15" hidden="false" customHeight="false" outlineLevel="0" collapsed="false">
      <c r="A2" s="2" t="s">
        <v>78</v>
      </c>
    </row>
    <row r="3" customFormat="false" ht="15" hidden="false" customHeight="false" outlineLevel="0" collapsed="false">
      <c r="A3" s="3"/>
      <c r="B3" s="3"/>
      <c r="C3" s="3"/>
      <c r="D3" s="3"/>
    </row>
    <row r="5" customFormat="false" ht="30" hidden="false" customHeight="true" outlineLevel="0" collapsed="false">
      <c r="A5" s="12" t="s">
        <v>26</v>
      </c>
      <c r="B5" s="13" t="s">
        <v>27</v>
      </c>
      <c r="C5" s="13" t="s">
        <v>30</v>
      </c>
      <c r="D5" s="13" t="s">
        <v>79</v>
      </c>
    </row>
    <row r="6" customFormat="false" ht="15" hidden="false" customHeight="false" outlineLevel="0" collapsed="false">
      <c r="A6" s="8" t="s">
        <v>33</v>
      </c>
      <c r="B6" s="39" t="n">
        <f aca="false">INDEX(MV,1)</f>
        <v>252000000</v>
      </c>
      <c r="C6" s="42" t="n">
        <f aca="false">INDEX(SDUR,1)</f>
        <v>6.2</v>
      </c>
      <c r="D6" s="43" t="n">
        <f aca="false">INDEX(SHOCK,1)</f>
        <v>120</v>
      </c>
    </row>
    <row r="7" customFormat="false" ht="15" hidden="false" customHeight="false" outlineLevel="0" collapsed="false">
      <c r="A7" s="19" t="s">
        <v>34</v>
      </c>
      <c r="B7" s="44" t="n">
        <f aca="false">INDEX(MV,2)</f>
        <v>294000000</v>
      </c>
      <c r="C7" s="45" t="n">
        <f aca="false">INDEX(SDUR,2)</f>
        <v>3.8</v>
      </c>
      <c r="D7" s="46" t="n">
        <f aca="false">INDEX(SHOCK,2)</f>
        <v>450</v>
      </c>
    </row>
    <row r="8" customFormat="false" ht="15" hidden="false" customHeight="false" outlineLevel="0" collapsed="false">
      <c r="A8" s="8" t="s">
        <v>35</v>
      </c>
      <c r="B8" s="39" t="n">
        <f aca="false">INDEX(MV,3)</f>
        <v>210000000</v>
      </c>
      <c r="C8" s="42" t="n">
        <f aca="false">INDEX(SDUR,3)</f>
        <v>0.25</v>
      </c>
      <c r="D8" s="43" t="n">
        <f aca="false">INDEX(SHOCK,3)</f>
        <v>300</v>
      </c>
    </row>
    <row r="9" customFormat="false" ht="15" hidden="false" customHeight="false" outlineLevel="0" collapsed="false">
      <c r="A9" s="19" t="s">
        <v>36</v>
      </c>
      <c r="B9" s="44" t="n">
        <f aca="false">INDEX(MV,4)</f>
        <v>84000000</v>
      </c>
      <c r="C9" s="45" t="n">
        <f aca="false">INDEX(SDUR,4)</f>
        <v>4.5</v>
      </c>
      <c r="D9" s="46" t="n">
        <f aca="false">INDEX(SHOCK,4)</f>
        <v>600</v>
      </c>
    </row>
    <row r="11" customFormat="false" ht="15" hidden="false" customHeight="false" outlineLevel="0" collapsed="false">
      <c r="A11" s="4" t="s">
        <v>80</v>
      </c>
      <c r="B11" s="7"/>
      <c r="C11" s="7"/>
      <c r="D11" s="7"/>
    </row>
    <row r="13" customFormat="false" ht="30" hidden="false" customHeight="true" outlineLevel="0" collapsed="false">
      <c r="A13" s="12" t="s">
        <v>26</v>
      </c>
      <c r="B13" s="13" t="s">
        <v>81</v>
      </c>
      <c r="C13" s="13" t="s">
        <v>82</v>
      </c>
      <c r="D13" s="13"/>
    </row>
    <row r="14" customFormat="false" ht="15" hidden="false" customHeight="false" outlineLevel="0" collapsed="false">
      <c r="A14" s="8" t="s">
        <v>33</v>
      </c>
      <c r="B14" s="39" t="n">
        <f aca="false">B6*C6*D6/10000</f>
        <v>18748800</v>
      </c>
      <c r="C14" s="38" t="n">
        <f aca="false">B14/B6</f>
        <v>0.0744</v>
      </c>
    </row>
    <row r="15" customFormat="false" ht="15" hidden="false" customHeight="false" outlineLevel="0" collapsed="false">
      <c r="A15" s="19" t="s">
        <v>34</v>
      </c>
      <c r="B15" s="44" t="n">
        <f aca="false">B7*C7*D7/10000</f>
        <v>50274000</v>
      </c>
      <c r="C15" s="47" t="n">
        <f aca="false">B15/B7</f>
        <v>0.171</v>
      </c>
    </row>
    <row r="16" customFormat="false" ht="15" hidden="false" customHeight="false" outlineLevel="0" collapsed="false">
      <c r="A16" s="8" t="s">
        <v>35</v>
      </c>
      <c r="B16" s="39" t="n">
        <f aca="false">B8*C8*D8/10000</f>
        <v>1575000</v>
      </c>
      <c r="C16" s="38" t="n">
        <f aca="false">B16/B8</f>
        <v>0.0075</v>
      </c>
    </row>
    <row r="17" customFormat="false" ht="15" hidden="false" customHeight="false" outlineLevel="0" collapsed="false">
      <c r="A17" s="19" t="s">
        <v>36</v>
      </c>
      <c r="B17" s="44" t="n">
        <f aca="false">B9*C9*D9/10000</f>
        <v>22680000</v>
      </c>
      <c r="C17" s="47" t="n">
        <f aca="false">B17/B9</f>
        <v>0.27</v>
      </c>
    </row>
    <row r="18" customFormat="false" ht="15" hidden="false" customHeight="false" outlineLevel="0" collapsed="false">
      <c r="A18" s="26" t="s">
        <v>83</v>
      </c>
      <c r="B18" s="27" t="n">
        <f aca="false">SUM(B14:B17)</f>
        <v>93277800</v>
      </c>
    </row>
    <row r="19" customFormat="false" ht="15" hidden="false" customHeight="false" outlineLevel="0" collapsed="false">
      <c r="A19" s="8" t="s">
        <v>69</v>
      </c>
      <c r="B19" s="38" t="n">
        <f aca="false">B18/NAV</f>
        <v>0.111045</v>
      </c>
    </row>
    <row r="20" customFormat="false" ht="15" hidden="false" customHeight="false" outlineLevel="0" collapsed="false">
      <c r="A20" s="26" t="s">
        <v>84</v>
      </c>
      <c r="B20" s="27" t="n">
        <f aca="false">NAV-B18</f>
        <v>746722200</v>
      </c>
    </row>
    <row r="21" customFormat="false" ht="15" hidden="false" customHeight="false" outlineLevel="0" collapsed="false">
      <c r="A21" s="26" t="s">
        <v>85</v>
      </c>
      <c r="B21" s="48" t="n">
        <f aca="false">B20/UNITS</f>
        <v>88.8955</v>
      </c>
    </row>
    <row r="23" customFormat="false" ht="15" hidden="false" customHeight="false" outlineLevel="0" collapsed="false">
      <c r="A23" s="4" t="s">
        <v>86</v>
      </c>
      <c r="B23" s="7"/>
      <c r="C23" s="7"/>
      <c r="D23" s="7"/>
    </row>
    <row r="25" customFormat="false" ht="15" hidden="false" customHeight="false" outlineLevel="0" collapsed="false">
      <c r="A25" s="8" t="s">
        <v>87</v>
      </c>
      <c r="B25" s="40" t="n">
        <f aca="false">B18/VAR1D</f>
        <v>12.8793057322372</v>
      </c>
    </row>
    <row r="26" customFormat="false" ht="15" hidden="false" customHeight="false" outlineLevel="0" collapsed="false">
      <c r="A26" s="26" t="s">
        <v>88</v>
      </c>
      <c r="B26" s="49" t="n">
        <f aca="false">B18/VAR20D</f>
        <v>2.87990031202852</v>
      </c>
    </row>
    <row r="27" customFormat="false" ht="15" hidden="false" customHeight="false" outlineLevel="0" collapsed="false">
      <c r="A27" s="41" t="s">
        <v>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5" min="3" style="0" width="14"/>
    <col collapsed="false" customWidth="true" hidden="false" outlineLevel="0" max="6" min="6" style="0" width="4"/>
    <col collapsed="false" customWidth="true" hidden="false" outlineLevel="0" max="7" min="7" style="0" width="50"/>
  </cols>
  <sheetData>
    <row r="1" customFormat="false" ht="24" hidden="false" customHeight="true" outlineLevel="0" collapsed="false">
      <c r="A1" s="1" t="s">
        <v>90</v>
      </c>
    </row>
    <row r="2" customFormat="false" ht="15" hidden="false" customHeight="false" outlineLevel="0" collapsed="false">
      <c r="A2" s="2" t="s">
        <v>91</v>
      </c>
    </row>
    <row r="3" customFormat="false" ht="15" hidden="false" customHeight="false" outlineLevel="0" collapsed="false">
      <c r="A3" s="3"/>
      <c r="B3" s="3"/>
      <c r="C3" s="3"/>
      <c r="D3" s="3"/>
      <c r="E3" s="3"/>
    </row>
    <row r="5" customFormat="false" ht="15" hidden="false" customHeight="false" outlineLevel="0" collapsed="false">
      <c r="A5" s="8" t="s">
        <v>92</v>
      </c>
      <c r="B5" s="14" t="n">
        <f aca="false">REDPCT</f>
        <v>0.25</v>
      </c>
    </row>
    <row r="6" customFormat="false" ht="15" hidden="false" customHeight="false" outlineLevel="0" collapsed="false">
      <c r="A6" s="26" t="s">
        <v>93</v>
      </c>
      <c r="B6" s="27" t="n">
        <f aca="false">NAVB*REDPCT</f>
        <v>186680550</v>
      </c>
    </row>
    <row r="7" customFormat="false" ht="15" hidden="false" customHeight="false" outlineLevel="0" collapsed="false">
      <c r="A7" s="8" t="s">
        <v>94</v>
      </c>
      <c r="B7" s="50" t="n">
        <f aca="false">B6/NAVUB</f>
        <v>2100000</v>
      </c>
    </row>
    <row r="8" customFormat="false" ht="15" hidden="false" customHeight="false" outlineLevel="0" collapsed="false">
      <c r="A8" s="26" t="s">
        <v>95</v>
      </c>
      <c r="B8" s="51" t="n">
        <f aca="false">UNITS-B7</f>
        <v>6300000</v>
      </c>
    </row>
    <row r="10" customFormat="false" ht="15" hidden="false" customHeight="false" outlineLevel="0" collapsed="false">
      <c r="A10" s="4" t="s">
        <v>96</v>
      </c>
      <c r="B10" s="7"/>
      <c r="C10" s="7"/>
      <c r="D10" s="7"/>
      <c r="E10" s="7"/>
    </row>
    <row r="12" customFormat="false" ht="30" hidden="false" customHeight="true" outlineLevel="0" collapsed="false">
      <c r="A12" s="12" t="s">
        <v>26</v>
      </c>
      <c r="B12" s="13" t="s">
        <v>97</v>
      </c>
      <c r="C12" s="13" t="s">
        <v>98</v>
      </c>
      <c r="D12" s="13" t="s">
        <v>99</v>
      </c>
      <c r="E12" s="13"/>
    </row>
    <row r="13" customFormat="false" ht="15" hidden="false" customHeight="false" outlineLevel="0" collapsed="false">
      <c r="A13" s="8" t="s">
        <v>33</v>
      </c>
      <c r="B13" s="39" t="n">
        <f aca="false">INDEX(MV,1)-INDEX(MV,1)*INDEX(SDUR,1)*INDEX(SHOCK,1)/10000</f>
        <v>233251200</v>
      </c>
      <c r="C13" s="39" t="n">
        <f aca="false">B13*RED/SUM($B$13:$B$16)</f>
        <v>58312800</v>
      </c>
      <c r="D13" s="39" t="n">
        <f aca="false">MIN(B13,RED)</f>
        <v>186680550</v>
      </c>
    </row>
    <row r="14" customFormat="false" ht="15" hidden="false" customHeight="false" outlineLevel="0" collapsed="false">
      <c r="A14" s="19" t="s">
        <v>34</v>
      </c>
      <c r="B14" s="44" t="n">
        <f aca="false">INDEX(MV,2)-INDEX(MV,2)*INDEX(SDUR,2)*INDEX(SHOCK,2)/10000</f>
        <v>243726000</v>
      </c>
      <c r="C14" s="44" t="n">
        <f aca="false">B14*RED/SUM($B$13:$B$16)</f>
        <v>60931500</v>
      </c>
      <c r="D14" s="44" t="n">
        <f aca="false">MIN(B14,MAX(0,RED-SUM($B$13:B13)))</f>
        <v>0</v>
      </c>
    </row>
    <row r="15" customFormat="false" ht="15" hidden="false" customHeight="false" outlineLevel="0" collapsed="false">
      <c r="A15" s="8" t="s">
        <v>35</v>
      </c>
      <c r="B15" s="39" t="n">
        <f aca="false">INDEX(MV,3)-INDEX(MV,3)*INDEX(SDUR,3)*INDEX(SHOCK,3)/10000</f>
        <v>208425000</v>
      </c>
      <c r="C15" s="39" t="n">
        <f aca="false">B15*RED/SUM($B$13:$B$16)</f>
        <v>52106250</v>
      </c>
      <c r="D15" s="39" t="n">
        <f aca="false">MIN(B15,MAX(0,RED-SUM($B$13:B14)))</f>
        <v>0</v>
      </c>
    </row>
    <row r="16" customFormat="false" ht="15" hidden="false" customHeight="false" outlineLevel="0" collapsed="false">
      <c r="A16" s="19" t="s">
        <v>36</v>
      </c>
      <c r="B16" s="44" t="n">
        <f aca="false">INDEX(MV,4)-INDEX(MV,4)*INDEX(SDUR,4)*INDEX(SHOCK,4)/10000</f>
        <v>61320000</v>
      </c>
      <c r="C16" s="44" t="n">
        <f aca="false">B16*RED/SUM($B$13:$B$16)</f>
        <v>15330000</v>
      </c>
      <c r="D16" s="44" t="n">
        <f aca="false">MIN(B16,MAX(0,RED-SUM($B$13:B15)))</f>
        <v>0</v>
      </c>
    </row>
    <row r="17" customFormat="false" ht="15" hidden="false" customHeight="false" outlineLevel="0" collapsed="false">
      <c r="A17" s="26" t="s">
        <v>37</v>
      </c>
      <c r="B17" s="27" t="n">
        <f aca="false">B13+B14+B15+B16</f>
        <v>746722200</v>
      </c>
      <c r="C17" s="27" t="n">
        <f aca="false">C13+C14+C15+C16</f>
        <v>186680550</v>
      </c>
      <c r="D17" s="27" t="n">
        <f aca="false">D13+D14+D15+D16</f>
        <v>186680550</v>
      </c>
    </row>
    <row r="19" customFormat="false" ht="15" hidden="false" customHeight="false" outlineLevel="0" collapsed="false">
      <c r="A19" s="4" t="s">
        <v>100</v>
      </c>
      <c r="B19" s="7"/>
      <c r="C19" s="7"/>
      <c r="D19" s="7"/>
      <c r="E19" s="7"/>
    </row>
    <row r="21" customFormat="false" ht="15" hidden="false" customHeight="false" outlineLevel="0" collapsed="false">
      <c r="A21" s="41" t="s">
        <v>101</v>
      </c>
    </row>
    <row r="23" customFormat="false" ht="30" hidden="false" customHeight="true" outlineLevel="0" collapsed="false">
      <c r="A23" s="12" t="s">
        <v>26</v>
      </c>
      <c r="B23" s="13" t="s">
        <v>102</v>
      </c>
      <c r="C23" s="13" t="s">
        <v>103</v>
      </c>
      <c r="D23" s="13" t="s">
        <v>104</v>
      </c>
      <c r="E23" s="13" t="s">
        <v>103</v>
      </c>
    </row>
    <row r="24" customFormat="false" ht="15" hidden="false" customHeight="false" outlineLevel="0" collapsed="false">
      <c r="A24" s="8" t="s">
        <v>33</v>
      </c>
      <c r="B24" s="39" t="n">
        <f aca="false">C13*(INDEX(HS,1)*MSPREAD+INDEX(IK,1)*IKSCALE*MIMPACT*2*C13/B13)</f>
        <v>437346</v>
      </c>
      <c r="C24" s="38" t="n">
        <f aca="false">IF(C13=0,"",B24/C13)</f>
        <v>0.0075</v>
      </c>
      <c r="D24" s="39" t="n">
        <f aca="false">D13*(INDEX(HS,1)*MSPREAD+INDEX(IK,1)*IKSCALE*MIMPACT*2*D13/B13)</f>
        <v>2016532.13494625</v>
      </c>
      <c r="E24" s="38" t="n">
        <f aca="false">IF(D13=0,"",D24/D13)</f>
        <v>0.0108020473206569</v>
      </c>
    </row>
    <row r="25" customFormat="false" ht="15" hidden="false" customHeight="false" outlineLevel="0" collapsed="false">
      <c r="A25" s="19" t="s">
        <v>34</v>
      </c>
      <c r="B25" s="44" t="n">
        <f aca="false">C14*(INDEX(HS,2)*MSPREAD+INDEX(IK,2)*IKSCALE*MIMPACT*2*C14/B14)</f>
        <v>1416657.375</v>
      </c>
      <c r="C25" s="47" t="n">
        <f aca="false">IF(C14=0,"",B25/C14)</f>
        <v>0.02325</v>
      </c>
      <c r="D25" s="44" t="n">
        <f aca="false">D14*(INDEX(HS,2)*MSPREAD+INDEX(IK,2)*IKSCALE*MIMPACT*2*D14/B14)</f>
        <v>0</v>
      </c>
      <c r="E25" s="47" t="str">
        <f aca="false">IF(D14=0,"",D25/D14)</f>
        <v/>
      </c>
    </row>
    <row r="26" customFormat="false" ht="15" hidden="false" customHeight="false" outlineLevel="0" collapsed="false">
      <c r="A26" s="8" t="s">
        <v>35</v>
      </c>
      <c r="B26" s="39" t="n">
        <f aca="false">C15*(INDEX(HS,3)*MSPREAD+INDEX(IK,3)*IKSCALE*MIMPACT*2*C15/B15)</f>
        <v>2136356.25</v>
      </c>
      <c r="C26" s="38" t="n">
        <f aca="false">IF(C15=0,"",B26/C15)</f>
        <v>0.041</v>
      </c>
      <c r="D26" s="39" t="n">
        <f aca="false">D15*(INDEX(HS,3)*MSPREAD+INDEX(IK,3)*IKSCALE*MIMPACT*2*D15/B15)</f>
        <v>0</v>
      </c>
      <c r="E26" s="38" t="str">
        <f aca="false">IF(D15=0,"",D26/D15)</f>
        <v/>
      </c>
    </row>
    <row r="27" customFormat="false" ht="15" hidden="false" customHeight="false" outlineLevel="0" collapsed="false">
      <c r="A27" s="19" t="s">
        <v>36</v>
      </c>
      <c r="B27" s="44" t="n">
        <f aca="false">C16*(INDEX(HS,4)*MSPREAD+INDEX(IK,4)*IKSCALE*MIMPACT*2*C16/B16)</f>
        <v>1111425</v>
      </c>
      <c r="C27" s="47" t="n">
        <f aca="false">IF(C16=0,"",B27/C16)</f>
        <v>0.0725</v>
      </c>
      <c r="D27" s="44" t="n">
        <f aca="false">D16*(INDEX(HS,4)*MSPREAD+INDEX(IK,4)*IKSCALE*MIMPACT*2*D16/B16)</f>
        <v>0</v>
      </c>
      <c r="E27" s="47" t="str">
        <f aca="false">IF(D16=0,"",D27/D16)</f>
        <v/>
      </c>
    </row>
    <row r="28" customFormat="false" ht="15" hidden="false" customHeight="false" outlineLevel="0" collapsed="false">
      <c r="A28" s="26" t="s">
        <v>105</v>
      </c>
      <c r="B28" s="27" t="n">
        <f aca="false">SUM(B24:B27)</f>
        <v>5101784.625</v>
      </c>
      <c r="D28" s="27" t="n">
        <f aca="false">SUM(D24:D27)</f>
        <v>2016532.13494625</v>
      </c>
    </row>
    <row r="29" customFormat="false" ht="15" hidden="false" customHeight="false" outlineLevel="0" collapsed="false">
      <c r="A29" s="8" t="s">
        <v>106</v>
      </c>
      <c r="B29" s="38" t="n">
        <f aca="false">B28/RED</f>
        <v>0.0273289564713624</v>
      </c>
      <c r="D29" s="38" t="n">
        <f aca="false">D28/RED</f>
        <v>0.0108020473206569</v>
      </c>
    </row>
    <row r="31" customFormat="false" ht="15" hidden="false" customHeight="false" outlineLevel="0" collapsed="false">
      <c r="A31" s="4" t="s">
        <v>107</v>
      </c>
      <c r="B31" s="7"/>
      <c r="C31" s="7"/>
      <c r="D31" s="7"/>
      <c r="E31" s="7"/>
    </row>
    <row r="33" customFormat="false" ht="30" hidden="false" customHeight="true" outlineLevel="0" collapsed="false">
      <c r="A33" s="12"/>
      <c r="B33" s="13" t="s">
        <v>102</v>
      </c>
      <c r="C33" s="13"/>
      <c r="D33" s="13" t="s">
        <v>104</v>
      </c>
      <c r="E33" s="13"/>
    </row>
    <row r="34" customFormat="false" ht="15" hidden="false" customHeight="false" outlineLevel="0" collapsed="false">
      <c r="A34" s="8" t="s">
        <v>108</v>
      </c>
      <c r="B34" s="52" t="n">
        <f aca="false">NAVUB</f>
        <v>88.8955</v>
      </c>
      <c r="D34" s="52" t="n">
        <f aca="false">NAVUB</f>
        <v>88.8955</v>
      </c>
    </row>
    <row r="35" customFormat="false" ht="15" hidden="false" customHeight="false" outlineLevel="0" collapsed="false">
      <c r="A35" s="26" t="s">
        <v>109</v>
      </c>
      <c r="B35" s="48" t="n">
        <f aca="false">(NAVB-RED-B28)/B8</f>
        <v>88.0856929166667</v>
      </c>
      <c r="D35" s="48" t="n">
        <f aca="false">(NAVB-RED-D28)/B8</f>
        <v>88.5754155341355</v>
      </c>
    </row>
    <row r="36" customFormat="false" ht="15" hidden="false" customHeight="false" outlineLevel="0" collapsed="false">
      <c r="A36" s="26" t="s">
        <v>110</v>
      </c>
      <c r="B36" s="48" t="n">
        <f aca="false">NAVUB-B35</f>
        <v>0.809807083333325</v>
      </c>
      <c r="D36" s="48" t="n">
        <f aca="false">NAVUB-D35</f>
        <v>0.320084465864483</v>
      </c>
    </row>
    <row r="37" customFormat="false" ht="15" hidden="false" customHeight="false" outlineLevel="0" collapsed="false">
      <c r="A37" s="8" t="s">
        <v>111</v>
      </c>
      <c r="B37" s="38" t="n">
        <f aca="false">B36/NAVUB</f>
        <v>0.00910965215712072</v>
      </c>
      <c r="D37" s="38" t="n">
        <f aca="false">D36/NAVUB</f>
        <v>0.00360068244021894</v>
      </c>
    </row>
    <row r="38" customFormat="false" ht="15" hidden="false" customHeight="false" outlineLevel="0" collapsed="false">
      <c r="A38" s="8" t="s">
        <v>112</v>
      </c>
      <c r="B38" s="38" t="n">
        <f aca="false">B28/RED</f>
        <v>0.0273289564713624</v>
      </c>
      <c r="D38" s="38" t="n">
        <f aca="false">D28/RED</f>
        <v>0.0108020473206569</v>
      </c>
    </row>
    <row r="40" customFormat="false" ht="15" hidden="false" customHeight="false" outlineLevel="0" collapsed="false">
      <c r="A40" s="26" t="s">
        <v>113</v>
      </c>
      <c r="B40" s="48" t="n">
        <f aca="false">B36-D36</f>
        <v>0.489722617468843</v>
      </c>
    </row>
    <row r="41" customFormat="false" ht="15" hidden="false" customHeight="false" outlineLevel="0" collapsed="false">
      <c r="A41" s="41" t="s">
        <v>114</v>
      </c>
    </row>
    <row r="43" customFormat="false" ht="15" hidden="false" customHeight="false" outlineLevel="0" collapsed="false">
      <c r="A43" s="6" t="s">
        <v>115</v>
      </c>
    </row>
    <row r="44" customFormat="false" ht="15" hidden="false" customHeight="false" outlineLevel="0" collapsed="false">
      <c r="A44" s="41" t="s">
        <v>116</v>
      </c>
    </row>
    <row r="46" customFormat="false" ht="15" hidden="false" customHeight="false" outlineLevel="0" collapsed="false">
      <c r="A46" s="53" t="s">
        <v>117</v>
      </c>
      <c r="B46" s="54" t="s">
        <v>102</v>
      </c>
      <c r="D46" s="54" t="s">
        <v>104</v>
      </c>
    </row>
    <row r="47" customFormat="false" ht="15" hidden="false" customHeight="false" outlineLevel="0" collapsed="false">
      <c r="A47" s="8" t="s">
        <v>118</v>
      </c>
      <c r="B47" s="39" t="n">
        <f aca="false">SUMPRODUCT(C13:C16,HS)*MSPREAD</f>
        <v>3972523.8</v>
      </c>
      <c r="D47" s="39" t="n">
        <f aca="false">SUMPRODUCT(D13:D16,HS)*MSPREAD</f>
        <v>1120083.3</v>
      </c>
    </row>
    <row r="48" customFormat="false" ht="15" hidden="false" customHeight="false" outlineLevel="0" collapsed="false">
      <c r="A48" s="8" t="s">
        <v>119</v>
      </c>
      <c r="B48" s="39" t="n">
        <f aca="false">IF(C13=0,0,C13*INDEX(IK,1)*MIMPACT*2*C13/B13)+IF(C14=0,0,C14*INDEX(IK,2)*MIMPACT*2*C14/B14)+IF(C15=0,0,C15*INDEX(IK,3)*MIMPACT*2*C15/B15)+IF(C16=0,0,C16*INDEX(IK,4)*MIMPACT*2*C16/B16)</f>
        <v>1129260.825</v>
      </c>
      <c r="D48" s="39" t="n">
        <f aca="false">IF(D13=0,0,D13*INDEX(IK,1)*MIMPACT*2*D13/B13)+IF(D14=0,0,D14*INDEX(IK,2)*MIMPACT*2*D14/B14)+IF(D15=0,0,D15*INDEX(IK,3)*MIMPACT*2*D15/B15)+IF(D16=0,0,D16*INDEX(IK,4)*MIMPACT*2*D16/B16)</f>
        <v>896448.834946251</v>
      </c>
    </row>
    <row r="50" customFormat="false" ht="15" hidden="false" customHeight="false" outlineLevel="0" collapsed="false">
      <c r="A50" s="53" t="s">
        <v>120</v>
      </c>
      <c r="B50" s="54" t="s">
        <v>102</v>
      </c>
      <c r="C50" s="54" t="s">
        <v>121</v>
      </c>
      <c r="D50" s="54" t="s">
        <v>104</v>
      </c>
      <c r="E50" s="54" t="s">
        <v>121</v>
      </c>
    </row>
    <row r="51" customFormat="false" ht="15" hidden="false" customHeight="false" outlineLevel="0" collapsed="false">
      <c r="A51" s="55" t="n">
        <v>0.5</v>
      </c>
      <c r="B51" s="39" t="n">
        <f aca="false">$B$47+A51*$B$48</f>
        <v>4537154.2125</v>
      </c>
      <c r="C51" s="14" t="n">
        <f aca="false">B51/$B$52-1</f>
        <v>-0.110673118134618</v>
      </c>
      <c r="D51" s="39" t="n">
        <f aca="false">$D$47+A51*$D$48</f>
        <v>1568307.71747313</v>
      </c>
      <c r="E51" s="14" t="n">
        <f aca="false">D51/$D$52-1</f>
        <v>-0.222274869666321</v>
      </c>
    </row>
    <row r="52" customFormat="false" ht="15" hidden="false" customHeight="false" outlineLevel="0" collapsed="false">
      <c r="A52" s="55" t="n">
        <v>1</v>
      </c>
      <c r="B52" s="39" t="n">
        <f aca="false">$B$47+A52*$B$48</f>
        <v>5101784.625</v>
      </c>
      <c r="C52" s="14" t="n">
        <f aca="false">B52/$B$52-1</f>
        <v>0</v>
      </c>
      <c r="D52" s="39" t="n">
        <f aca="false">$D$47+A52*$D$48</f>
        <v>2016532.13494625</v>
      </c>
      <c r="E52" s="14" t="n">
        <f aca="false">D52/$D$52-1</f>
        <v>0</v>
      </c>
    </row>
    <row r="53" customFormat="false" ht="15" hidden="false" customHeight="false" outlineLevel="0" collapsed="false">
      <c r="A53" s="55" t="n">
        <v>2</v>
      </c>
      <c r="B53" s="39" t="n">
        <f aca="false">$B$47+A53*$B$48</f>
        <v>6231045.45</v>
      </c>
      <c r="C53" s="14" t="n">
        <f aca="false">B53/$B$52-1</f>
        <v>0.221346236269235</v>
      </c>
      <c r="D53" s="39" t="n">
        <f aca="false">$D$47+A53*$D$48</f>
        <v>2912980.9698925</v>
      </c>
      <c r="E53" s="14" t="n">
        <f aca="false">D53/$D$52-1</f>
        <v>0.444549739332641</v>
      </c>
    </row>
    <row r="54" customFormat="false" ht="15" hidden="false" customHeight="false" outlineLevel="0" collapsed="false">
      <c r="A54" s="55" t="n">
        <v>3</v>
      </c>
      <c r="B54" s="39" t="n">
        <f aca="false">$B$47+A54*$B$48</f>
        <v>7360306.275</v>
      </c>
      <c r="C54" s="14" t="n">
        <f aca="false">B54/$B$52-1</f>
        <v>0.44269247253847</v>
      </c>
      <c r="D54" s="39" t="n">
        <f aca="false">$D$47+A54*$D$48</f>
        <v>3809429.80483875</v>
      </c>
      <c r="E54" s="14" t="n">
        <f aca="false">D54/$D$52-1</f>
        <v>0.889099478665283</v>
      </c>
    </row>
    <row r="56" customFormat="false" ht="15" hidden="false" customHeight="false" outlineLevel="0" collapsed="false">
      <c r="A56" s="26" t="s">
        <v>122</v>
      </c>
      <c r="B56" s="28" t="n">
        <f aca="false">B52/D52-1</f>
        <v>1.52997933263086</v>
      </c>
    </row>
    <row r="57" customFormat="false" ht="15" hidden="false" customHeight="false" outlineLevel="0" collapsed="false">
      <c r="A57" s="26" t="s">
        <v>123</v>
      </c>
      <c r="B57" s="28" t="n">
        <f aca="false">C54</f>
        <v>0.44269247253847</v>
      </c>
    </row>
    <row r="58" customFormat="false" ht="15" hidden="false" customHeight="false" outlineLevel="0" collapsed="false">
      <c r="A58" s="41" t="s">
        <v>124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6"/>
    <col collapsed="false" customWidth="true" hidden="false" outlineLevel="0" max="5" min="5" style="0" width="4"/>
    <col collapsed="false" customWidth="true" hidden="false" outlineLevel="0" max="6" min="6" style="0" width="50"/>
  </cols>
  <sheetData>
    <row r="1" customFormat="false" ht="24" hidden="false" customHeight="true" outlineLevel="0" collapsed="false">
      <c r="A1" s="1" t="s">
        <v>125</v>
      </c>
    </row>
    <row r="2" customFormat="false" ht="15" hidden="false" customHeight="false" outlineLevel="0" collapsed="false">
      <c r="A2" s="2" t="s">
        <v>126</v>
      </c>
    </row>
    <row r="3" customFormat="false" ht="15" hidden="false" customHeight="false" outlineLevel="0" collapsed="false">
      <c r="A3" s="3"/>
      <c r="B3" s="3"/>
      <c r="C3" s="3"/>
      <c r="D3" s="3"/>
    </row>
    <row r="5" customFormat="false" ht="15" hidden="false" customHeight="false" outlineLevel="0" collapsed="false">
      <c r="A5" s="4" t="s">
        <v>127</v>
      </c>
      <c r="B5" s="7"/>
      <c r="C5" s="7"/>
      <c r="D5" s="7"/>
    </row>
    <row r="7" customFormat="false" ht="30" hidden="false" customHeight="true" outlineLevel="0" collapsed="false">
      <c r="A7" s="12" t="s">
        <v>26</v>
      </c>
      <c r="B7" s="13" t="s">
        <v>128</v>
      </c>
      <c r="C7" s="13" t="s">
        <v>129</v>
      </c>
      <c r="D7" s="13" t="s">
        <v>130</v>
      </c>
    </row>
    <row r="8" customFormat="false" ht="15" hidden="false" customHeight="false" outlineLevel="0" collapsed="false">
      <c r="A8" s="8" t="s">
        <v>33</v>
      </c>
      <c r="B8" s="39" t="n">
        <f aca="false">'3 and 4 - Exit and Transfer'!B13</f>
        <v>233251200</v>
      </c>
      <c r="C8" s="39" t="n">
        <f aca="false">'3 and 4 - Exit and Transfer'!B13-'3 and 4 - Exit and Transfer'!C13</f>
        <v>174938400</v>
      </c>
      <c r="D8" s="39" t="n">
        <f aca="false">'3 and 4 - Exit and Transfer'!B13-'3 and 4 - Exit and Transfer'!D13</f>
        <v>46570650</v>
      </c>
    </row>
    <row r="9" customFormat="false" ht="15" hidden="false" customHeight="false" outlineLevel="0" collapsed="false">
      <c r="A9" s="19" t="s">
        <v>34</v>
      </c>
      <c r="B9" s="44" t="n">
        <f aca="false">'3 and 4 - Exit and Transfer'!B14</f>
        <v>243726000</v>
      </c>
      <c r="C9" s="44" t="n">
        <f aca="false">'3 and 4 - Exit and Transfer'!B14-'3 and 4 - Exit and Transfer'!C14</f>
        <v>182794500</v>
      </c>
      <c r="D9" s="44" t="n">
        <f aca="false">'3 and 4 - Exit and Transfer'!B14-'3 and 4 - Exit and Transfer'!D14</f>
        <v>243726000</v>
      </c>
    </row>
    <row r="10" customFormat="false" ht="15" hidden="false" customHeight="false" outlineLevel="0" collapsed="false">
      <c r="A10" s="8" t="s">
        <v>35</v>
      </c>
      <c r="B10" s="39" t="n">
        <f aca="false">'3 and 4 - Exit and Transfer'!B15</f>
        <v>208425000</v>
      </c>
      <c r="C10" s="39" t="n">
        <f aca="false">'3 and 4 - Exit and Transfer'!B15-'3 and 4 - Exit and Transfer'!C15</f>
        <v>156318750</v>
      </c>
      <c r="D10" s="39" t="n">
        <f aca="false">'3 and 4 - Exit and Transfer'!B15-'3 and 4 - Exit and Transfer'!D15</f>
        <v>208425000</v>
      </c>
    </row>
    <row r="11" customFormat="false" ht="15" hidden="false" customHeight="false" outlineLevel="0" collapsed="false">
      <c r="A11" s="19" t="s">
        <v>36</v>
      </c>
      <c r="B11" s="44" t="n">
        <f aca="false">'3 and 4 - Exit and Transfer'!B16</f>
        <v>61320000</v>
      </c>
      <c r="C11" s="44" t="n">
        <f aca="false">'3 and 4 - Exit and Transfer'!B16-'3 and 4 - Exit and Transfer'!C16</f>
        <v>45990000</v>
      </c>
      <c r="D11" s="44" t="n">
        <f aca="false">'3 and 4 - Exit and Transfer'!B16-'3 and 4 - Exit and Transfer'!D16</f>
        <v>61320000</v>
      </c>
    </row>
    <row r="12" customFormat="false" ht="15" hidden="false" customHeight="false" outlineLevel="0" collapsed="false">
      <c r="A12" s="26" t="s">
        <v>131</v>
      </c>
      <c r="B12" s="27" t="n">
        <f aca="false">SUM(B8:B11)</f>
        <v>746722200</v>
      </c>
      <c r="C12" s="27" t="n">
        <f aca="false">SUM(C8:C11)</f>
        <v>560041650</v>
      </c>
      <c r="D12" s="27" t="n">
        <f aca="false">SUM(D8:D11)</f>
        <v>560041650</v>
      </c>
    </row>
    <row r="14" customFormat="false" ht="15" hidden="false" customHeight="false" outlineLevel="0" collapsed="false">
      <c r="A14" s="4" t="s">
        <v>132</v>
      </c>
      <c r="B14" s="7"/>
      <c r="C14" s="7"/>
      <c r="D14" s="7"/>
    </row>
    <row r="16" customFormat="false" ht="15" hidden="false" customHeight="false" outlineLevel="0" collapsed="false">
      <c r="A16" s="26" t="s">
        <v>133</v>
      </c>
      <c r="B16" s="28" t="n">
        <f aca="false">SUMPRODUCT(B8:B11,--(DSELL&lt;=7))/SUM(B8:B11)</f>
        <v>0.312366767721651</v>
      </c>
      <c r="C16" s="28" t="n">
        <f aca="false">SUMPRODUCT(C8:C11,--(DSELL&lt;=7))/SUM(C8:C11)</f>
        <v>0.312366767721651</v>
      </c>
      <c r="D16" s="28" t="n">
        <f aca="false">SUMPRODUCT(D8:D11,--(DSELL&lt;=7))/SUM(D8:D11)</f>
        <v>0.0831556902955343</v>
      </c>
    </row>
    <row r="17" customFormat="false" ht="15" hidden="false" customHeight="false" outlineLevel="0" collapsed="false">
      <c r="A17" s="8" t="s">
        <v>134</v>
      </c>
      <c r="B17" s="56" t="n">
        <f aca="false">SUMPRODUCT(B8:B11,DSELL)/SUM(B8:B11)</f>
        <v>11.2818534121525</v>
      </c>
      <c r="C17" s="56" t="n">
        <f aca="false">SUMPRODUCT(C8:C11,DSELL)/SUM(C8:C11)</f>
        <v>11.2818534121525</v>
      </c>
      <c r="D17" s="56" t="n">
        <f aca="false">SUMPRODUCT(D8:D11,DSELL)/SUM(D8:D11)</f>
        <v>14.3758045495366</v>
      </c>
    </row>
    <row r="19" customFormat="false" ht="15" hidden="false" customHeight="false" outlineLevel="0" collapsed="false">
      <c r="A19" s="41" t="s">
        <v>135</v>
      </c>
    </row>
    <row r="21" customFormat="false" ht="15" hidden="false" customHeight="false" outlineLevel="0" collapsed="false">
      <c r="A21" s="4" t="s">
        <v>136</v>
      </c>
      <c r="B21" s="7"/>
      <c r="C21" s="7"/>
      <c r="D21" s="7"/>
    </row>
    <row r="23" customFormat="false" ht="15" hidden="false" customHeight="false" outlineLevel="0" collapsed="false">
      <c r="A23" s="8" t="s">
        <v>137</v>
      </c>
      <c r="B23" s="9" t="n">
        <v>120000000</v>
      </c>
    </row>
    <row r="24" customFormat="false" ht="15" hidden="false" customHeight="false" outlineLevel="0" collapsed="false">
      <c r="A24" s="8" t="s">
        <v>138</v>
      </c>
      <c r="B24" s="15" t="n">
        <v>0.05</v>
      </c>
    </row>
    <row r="25" customFormat="false" ht="15" hidden="false" customHeight="false" outlineLevel="0" collapsed="false">
      <c r="A25" s="8" t="s">
        <v>139</v>
      </c>
      <c r="B25" s="15" t="n">
        <v>0.15</v>
      </c>
    </row>
    <row r="26" customFormat="false" ht="15" hidden="false" customHeight="false" outlineLevel="0" collapsed="false">
      <c r="A26" s="8" t="s">
        <v>140</v>
      </c>
      <c r="B26" s="39" t="n">
        <f aca="false">REPO/(1-HCALM)</f>
        <v>126315789.473684</v>
      </c>
    </row>
    <row r="27" customFormat="false" ht="15" hidden="false" customHeight="false" outlineLevel="0" collapsed="false">
      <c r="A27" s="8" t="s">
        <v>141</v>
      </c>
      <c r="B27" s="39" t="n">
        <f aca="false">REPO/(1-HSTR)</f>
        <v>141176470.588235</v>
      </c>
    </row>
    <row r="28" customFormat="false" ht="15" hidden="false" customHeight="false" outlineLevel="0" collapsed="false">
      <c r="A28" s="26" t="s">
        <v>142</v>
      </c>
      <c r="B28" s="27" t="n">
        <f aca="false">B27-B26</f>
        <v>14860681.1145511</v>
      </c>
    </row>
    <row r="29" customFormat="false" ht="15" hidden="false" customHeight="false" outlineLevel="0" collapsed="false">
      <c r="A29" s="41" t="s">
        <v>143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60"/>
    <col collapsed="false" customWidth="true" hidden="false" outlineLevel="0" max="4" min="3" style="0" width="18"/>
    <col collapsed="false" customWidth="true" hidden="false" outlineLevel="0" max="5" min="5" style="0" width="14"/>
    <col collapsed="false" customWidth="true" hidden="false" outlineLevel="0" max="6" min="6" style="0" width="11"/>
  </cols>
  <sheetData>
    <row r="1" customFormat="false" ht="24" hidden="false" customHeight="true" outlineLevel="0" collapsed="false">
      <c r="A1" s="1" t="s">
        <v>144</v>
      </c>
    </row>
    <row r="2" customFormat="false" ht="15" hidden="false" customHeight="false" outlineLevel="0" collapsed="false">
      <c r="A2" s="2" t="s">
        <v>145</v>
      </c>
    </row>
    <row r="3" customFormat="false" ht="15" hidden="false" customHeight="false" outlineLevel="0" collapsed="false">
      <c r="A3" s="3"/>
      <c r="B3" s="3"/>
      <c r="C3" s="3"/>
      <c r="D3" s="3"/>
      <c r="E3" s="3"/>
      <c r="F3" s="3"/>
    </row>
    <row r="5" customFormat="false" ht="30" hidden="false" customHeight="true" outlineLevel="0" collapsed="false">
      <c r="A5" s="12" t="s">
        <v>146</v>
      </c>
      <c r="B5" s="13" t="s">
        <v>147</v>
      </c>
      <c r="C5" s="13" t="s">
        <v>148</v>
      </c>
      <c r="D5" s="13" t="s">
        <v>149</v>
      </c>
      <c r="E5" s="13" t="s">
        <v>150</v>
      </c>
      <c r="F5" s="13" t="s">
        <v>151</v>
      </c>
    </row>
    <row r="6" customFormat="false" ht="15" hidden="false" customHeight="false" outlineLevel="0" collapsed="false">
      <c r="A6" s="8" t="s">
        <v>152</v>
      </c>
      <c r="B6" s="8" t="s">
        <v>153</v>
      </c>
      <c r="C6" s="57" t="n">
        <v>0.05883</v>
      </c>
      <c r="D6" s="38" t="n">
        <f aca="false">ROUND('1 - The Model''s Number'!B21,5)</f>
        <v>0.05883</v>
      </c>
      <c r="E6" s="38" t="n">
        <f aca="false">D6-C6</f>
        <v>0</v>
      </c>
      <c r="F6" s="58" t="str">
        <f aca="false">IF(ABS(D6-C6)&lt;=0.000005,"PASS","FAIL")</f>
        <v>PASS</v>
      </c>
    </row>
    <row r="7" customFormat="false" ht="15" hidden="false" customHeight="false" outlineLevel="0" collapsed="false">
      <c r="A7" s="8" t="s">
        <v>152</v>
      </c>
      <c r="B7" s="8" t="s">
        <v>154</v>
      </c>
      <c r="C7" s="57" t="n">
        <v>0.0665</v>
      </c>
      <c r="D7" s="38" t="n">
        <f aca="false">ROUND('1 - The Model''s Number'!B22,5)</f>
        <v>0.0665</v>
      </c>
      <c r="E7" s="38" t="n">
        <f aca="false">D7-C7</f>
        <v>0</v>
      </c>
      <c r="F7" s="58" t="str">
        <f aca="false">IF(ABS(D7-C7)&lt;=0.000005,"PASS","FAIL")</f>
        <v>PASS</v>
      </c>
    </row>
    <row r="8" customFormat="false" ht="15" hidden="false" customHeight="false" outlineLevel="0" collapsed="false">
      <c r="A8" s="8" t="s">
        <v>152</v>
      </c>
      <c r="B8" s="8" t="s">
        <v>65</v>
      </c>
      <c r="C8" s="57" t="n">
        <v>0.00767</v>
      </c>
      <c r="D8" s="38" t="n">
        <f aca="false">ROUND('1 - The Model''s Number'!B23,5)</f>
        <v>0.00767</v>
      </c>
      <c r="E8" s="38" t="n">
        <f aca="false">D8-C8</f>
        <v>0</v>
      </c>
      <c r="F8" s="58" t="str">
        <f aca="false">IF(ABS(D8-C8)&lt;=0.000005,"PASS","FAIL")</f>
        <v>PASS</v>
      </c>
    </row>
    <row r="9" customFormat="false" ht="15" hidden="false" customHeight="false" outlineLevel="0" collapsed="false">
      <c r="A9" s="8" t="s">
        <v>155</v>
      </c>
      <c r="B9" s="8" t="s">
        <v>156</v>
      </c>
      <c r="C9" s="59" t="n">
        <v>7242456</v>
      </c>
      <c r="D9" s="39" t="n">
        <f aca="false">ROUND(VAR1D,0)</f>
        <v>7242456</v>
      </c>
      <c r="E9" s="39" t="n">
        <f aca="false">D9-C9</f>
        <v>0</v>
      </c>
      <c r="F9" s="58" t="str">
        <f aca="false">IF(ABS(D9-C9)&lt;=1,"PASS","FAIL")</f>
        <v>PASS</v>
      </c>
    </row>
    <row r="10" customFormat="false" ht="15" hidden="false" customHeight="false" outlineLevel="0" collapsed="false">
      <c r="A10" s="8" t="s">
        <v>155</v>
      </c>
      <c r="B10" s="8" t="s">
        <v>69</v>
      </c>
      <c r="C10" s="57" t="n">
        <v>0.00862</v>
      </c>
      <c r="D10" s="38" t="n">
        <f aca="false">ROUND(VAR1D/NAV,5)</f>
        <v>0.00862</v>
      </c>
      <c r="E10" s="38" t="n">
        <f aca="false">D10-C10</f>
        <v>0</v>
      </c>
      <c r="F10" s="58" t="str">
        <f aca="false">IF(ABS(D10-C10)&lt;=0.000005,"PASS","FAIL")</f>
        <v>PASS</v>
      </c>
    </row>
    <row r="11" customFormat="false" ht="15" hidden="false" customHeight="false" outlineLevel="0" collapsed="false">
      <c r="A11" s="8" t="s">
        <v>157</v>
      </c>
      <c r="B11" s="8" t="s">
        <v>158</v>
      </c>
      <c r="C11" s="59" t="n">
        <v>32389246</v>
      </c>
      <c r="D11" s="39" t="n">
        <f aca="false">ROUND(VAR20D,0)</f>
        <v>32389246</v>
      </c>
      <c r="E11" s="39" t="n">
        <f aca="false">D11-C11</f>
        <v>0</v>
      </c>
      <c r="F11" s="58" t="str">
        <f aca="false">IF(ABS(D11-C11)&lt;=1,"PASS","FAIL")</f>
        <v>PASS</v>
      </c>
    </row>
    <row r="12" customFormat="false" ht="15" hidden="false" customHeight="false" outlineLevel="0" collapsed="false">
      <c r="A12" s="8" t="s">
        <v>152</v>
      </c>
      <c r="B12" s="8" t="s">
        <v>72</v>
      </c>
      <c r="C12" s="57" t="n">
        <v>0.06439</v>
      </c>
      <c r="D12" s="38" t="n">
        <f aca="false">ROUND('1 - The Model''s Number'!B46,5)</f>
        <v>0.06439</v>
      </c>
      <c r="E12" s="38" t="n">
        <f aca="false">D12-C12</f>
        <v>0</v>
      </c>
      <c r="F12" s="58" t="str">
        <f aca="false">IF(ABS(D12-C12)&lt;=0.000005,"PASS","FAIL")</f>
        <v>PASS</v>
      </c>
    </row>
    <row r="13" customFormat="false" ht="15" hidden="false" customHeight="false" outlineLevel="0" collapsed="false">
      <c r="A13" s="8" t="s">
        <v>152</v>
      </c>
      <c r="B13" s="8" t="s">
        <v>159</v>
      </c>
      <c r="C13" s="59" t="n">
        <v>7925849</v>
      </c>
      <c r="D13" s="39" t="n">
        <f aca="false">ROUND('1 - The Model''s Number'!B47,0)</f>
        <v>7925849</v>
      </c>
      <c r="E13" s="39" t="n">
        <f aca="false">D13-C13</f>
        <v>0</v>
      </c>
      <c r="F13" s="58" t="str">
        <f aca="false">IF(ABS(D13-C13)&lt;=1,"PASS","FAIL")</f>
        <v>PASS</v>
      </c>
    </row>
    <row r="14" customFormat="false" ht="15" hidden="false" customHeight="false" outlineLevel="0" collapsed="false">
      <c r="A14" s="8" t="s">
        <v>152</v>
      </c>
      <c r="B14" s="8" t="s">
        <v>160</v>
      </c>
      <c r="C14" s="60" t="n">
        <v>0.276</v>
      </c>
      <c r="D14" s="14" t="n">
        <f aca="false">ROUND('1 - The Model''s Number'!B49,3)</f>
        <v>0.276</v>
      </c>
      <c r="E14" s="14" t="n">
        <f aca="false">D14-C14</f>
        <v>0</v>
      </c>
      <c r="F14" s="58" t="str">
        <f aca="false">IF(ABS(D14-C14)&lt;=0.0005,"PASS","FAIL")</f>
        <v>PASS</v>
      </c>
    </row>
    <row r="15" customFormat="false" ht="15" hidden="false" customHeight="false" outlineLevel="0" collapsed="false">
      <c r="A15" s="8" t="s">
        <v>161</v>
      </c>
      <c r="B15" s="8" t="s">
        <v>162</v>
      </c>
      <c r="C15" s="59" t="n">
        <v>18748800</v>
      </c>
      <c r="D15" s="39" t="n">
        <f aca="false">'2 - The Stress Number'!B14</f>
        <v>18748800</v>
      </c>
      <c r="E15" s="39" t="n">
        <f aca="false">D15-C15</f>
        <v>0</v>
      </c>
      <c r="F15" s="58" t="str">
        <f aca="false">IF(ABS(D15-C15)&lt;=1,"PASS","FAIL")</f>
        <v>PASS</v>
      </c>
    </row>
    <row r="16" customFormat="false" ht="15" hidden="false" customHeight="false" outlineLevel="0" collapsed="false">
      <c r="A16" s="8" t="s">
        <v>161</v>
      </c>
      <c r="B16" s="8" t="s">
        <v>163</v>
      </c>
      <c r="C16" s="59" t="n">
        <v>50274000</v>
      </c>
      <c r="D16" s="39" t="n">
        <f aca="false">'2 - The Stress Number'!B15</f>
        <v>50274000</v>
      </c>
      <c r="E16" s="39" t="n">
        <f aca="false">D16-C16</f>
        <v>0</v>
      </c>
      <c r="F16" s="58" t="str">
        <f aca="false">IF(ABS(D16-C16)&lt;=1,"PASS","FAIL")</f>
        <v>PASS</v>
      </c>
    </row>
    <row r="17" customFormat="false" ht="15" hidden="false" customHeight="false" outlineLevel="0" collapsed="false">
      <c r="A17" s="8" t="s">
        <v>161</v>
      </c>
      <c r="B17" s="8" t="s">
        <v>164</v>
      </c>
      <c r="C17" s="59" t="n">
        <v>1575000</v>
      </c>
      <c r="D17" s="39" t="n">
        <f aca="false">'2 - The Stress Number'!B16</f>
        <v>1575000</v>
      </c>
      <c r="E17" s="39" t="n">
        <f aca="false">D17-C17</f>
        <v>0</v>
      </c>
      <c r="F17" s="58" t="str">
        <f aca="false">IF(ABS(D17-C17)&lt;=1,"PASS","FAIL")</f>
        <v>PASS</v>
      </c>
    </row>
    <row r="18" customFormat="false" ht="15" hidden="false" customHeight="false" outlineLevel="0" collapsed="false">
      <c r="A18" s="8" t="s">
        <v>161</v>
      </c>
      <c r="B18" s="8" t="s">
        <v>165</v>
      </c>
      <c r="C18" s="59" t="n">
        <v>22680000</v>
      </c>
      <c r="D18" s="39" t="n">
        <f aca="false">'2 - The Stress Number'!B17</f>
        <v>22680000</v>
      </c>
      <c r="E18" s="39" t="n">
        <f aca="false">D18-C18</f>
        <v>0</v>
      </c>
      <c r="F18" s="58" t="str">
        <f aca="false">IF(ABS(D18-C18)&lt;=1,"PASS","FAIL")</f>
        <v>PASS</v>
      </c>
    </row>
    <row r="19" customFormat="false" ht="15" hidden="false" customHeight="false" outlineLevel="0" collapsed="false">
      <c r="A19" s="8" t="s">
        <v>166</v>
      </c>
      <c r="B19" s="8" t="s">
        <v>83</v>
      </c>
      <c r="C19" s="59" t="n">
        <v>93277800</v>
      </c>
      <c r="D19" s="39" t="n">
        <f aca="false">STRESS</f>
        <v>93277800</v>
      </c>
      <c r="E19" s="39" t="n">
        <f aca="false">D19-C19</f>
        <v>0</v>
      </c>
      <c r="F19" s="58" t="str">
        <f aca="false">IF(ABS(D19-C19)&lt;=1,"PASS","FAIL")</f>
        <v>PASS</v>
      </c>
    </row>
    <row r="20" customFormat="false" ht="15" hidden="false" customHeight="false" outlineLevel="0" collapsed="false">
      <c r="A20" s="8" t="s">
        <v>166</v>
      </c>
      <c r="B20" s="8" t="s">
        <v>69</v>
      </c>
      <c r="C20" s="57" t="n">
        <v>0.111</v>
      </c>
      <c r="D20" s="38" t="n">
        <f aca="false">ROUND(STRESS/NAV,4)</f>
        <v>0.111</v>
      </c>
      <c r="E20" s="38" t="n">
        <f aca="false">D20-C20</f>
        <v>0</v>
      </c>
      <c r="F20" s="58" t="str">
        <f aca="false">IF(ABS(D20-C20)&lt;=0.00005,"PASS","FAIL")</f>
        <v>PASS</v>
      </c>
    </row>
    <row r="21" customFormat="false" ht="15" hidden="false" customHeight="false" outlineLevel="0" collapsed="false">
      <c r="A21" s="8" t="s">
        <v>166</v>
      </c>
      <c r="B21" s="8" t="s">
        <v>84</v>
      </c>
      <c r="C21" s="59" t="n">
        <v>746722200</v>
      </c>
      <c r="D21" s="39" t="n">
        <f aca="false">NAVB</f>
        <v>746722200</v>
      </c>
      <c r="E21" s="39" t="n">
        <f aca="false">D21-C21</f>
        <v>0</v>
      </c>
      <c r="F21" s="58" t="str">
        <f aca="false">IF(ABS(D21-C21)&lt;=1,"PASS","FAIL")</f>
        <v>PASS</v>
      </c>
    </row>
    <row r="22" customFormat="false" ht="15" hidden="false" customHeight="false" outlineLevel="0" collapsed="false">
      <c r="A22" s="8" t="s">
        <v>166</v>
      </c>
      <c r="B22" s="8" t="s">
        <v>167</v>
      </c>
      <c r="C22" s="61" t="n">
        <v>88.8955</v>
      </c>
      <c r="D22" s="52" t="n">
        <f aca="false">ROUND(NAVUB,4)</f>
        <v>88.8955</v>
      </c>
      <c r="E22" s="52" t="n">
        <f aca="false">D22-C22</f>
        <v>0</v>
      </c>
      <c r="F22" s="58" t="str">
        <f aca="false">IF(ABS(D22-C22)&lt;=0.00005,"PASS","FAIL")</f>
        <v>PASS</v>
      </c>
    </row>
    <row r="23" customFormat="false" ht="15" hidden="false" customHeight="false" outlineLevel="0" collapsed="false">
      <c r="A23" s="8" t="s">
        <v>157</v>
      </c>
      <c r="B23" s="8" t="s">
        <v>88</v>
      </c>
      <c r="C23" s="62" t="n">
        <v>2.9</v>
      </c>
      <c r="D23" s="40" t="n">
        <f aca="false">ROUND(STRESS/VAR20D,1)</f>
        <v>2.9</v>
      </c>
      <c r="E23" s="40" t="n">
        <f aca="false">D23-C23</f>
        <v>0</v>
      </c>
      <c r="F23" s="58" t="str">
        <f aca="false">IF(ABS(D23-C23)&lt;=0.05,"PASS","FAIL")</f>
        <v>PASS</v>
      </c>
    </row>
    <row r="24" customFormat="false" ht="15" hidden="false" customHeight="false" outlineLevel="0" collapsed="false">
      <c r="A24" s="8" t="s">
        <v>168</v>
      </c>
      <c r="B24" s="8" t="s">
        <v>93</v>
      </c>
      <c r="C24" s="59" t="n">
        <v>186680550</v>
      </c>
      <c r="D24" s="39" t="n">
        <f aca="false">ROUND(RED,0)</f>
        <v>186680550</v>
      </c>
      <c r="E24" s="39" t="n">
        <f aca="false">D24-C24</f>
        <v>0</v>
      </c>
      <c r="F24" s="58" t="str">
        <f aca="false">IF(ABS(D24-C24)&lt;=1,"PASS","FAIL")</f>
        <v>PASS</v>
      </c>
    </row>
    <row r="25" customFormat="false" ht="15" hidden="false" customHeight="false" outlineLevel="0" collapsed="false">
      <c r="A25" s="8" t="s">
        <v>168</v>
      </c>
      <c r="B25" s="8" t="s">
        <v>95</v>
      </c>
      <c r="C25" s="63" t="n">
        <v>6300000</v>
      </c>
      <c r="D25" s="50" t="n">
        <f aca="false">'3 and 4 - Exit and Transfer'!B8</f>
        <v>6300000</v>
      </c>
      <c r="E25" s="50" t="n">
        <f aca="false">D25-C25</f>
        <v>0</v>
      </c>
      <c r="F25" s="58" t="str">
        <f aca="false">IF(ABS(D25-C25)&lt;=1,"PASS","FAIL")</f>
        <v>PASS</v>
      </c>
    </row>
    <row r="26" customFormat="false" ht="15" hidden="false" customHeight="false" outlineLevel="0" collapsed="false">
      <c r="A26" s="8" t="s">
        <v>169</v>
      </c>
      <c r="B26" s="8" t="s">
        <v>170</v>
      </c>
      <c r="C26" s="59" t="n">
        <v>5101785</v>
      </c>
      <c r="D26" s="39" t="n">
        <f aca="false">ROUND('3 and 4 - Exit and Transfer'!B28,0)</f>
        <v>5101785</v>
      </c>
      <c r="E26" s="39" t="n">
        <f aca="false">D26-C26</f>
        <v>0</v>
      </c>
      <c r="F26" s="58" t="str">
        <f aca="false">IF(ABS(D26-C26)&lt;=1,"PASS","FAIL")</f>
        <v>PASS</v>
      </c>
    </row>
    <row r="27" customFormat="false" ht="15" hidden="false" customHeight="false" outlineLevel="0" collapsed="false">
      <c r="A27" s="8" t="s">
        <v>169</v>
      </c>
      <c r="B27" s="8" t="s">
        <v>106</v>
      </c>
      <c r="C27" s="57" t="n">
        <v>0.0273</v>
      </c>
      <c r="D27" s="38" t="n">
        <f aca="false">ROUND('3 and 4 - Exit and Transfer'!B28/RED,4)</f>
        <v>0.0273</v>
      </c>
      <c r="E27" s="38" t="n">
        <f aca="false">D27-C27</f>
        <v>0</v>
      </c>
      <c r="F27" s="58" t="str">
        <f aca="false">IF(ABS(D27-C27)&lt;=0.00005,"PASS","FAIL")</f>
        <v>PASS</v>
      </c>
    </row>
    <row r="28" customFormat="false" ht="15" hidden="false" customHeight="false" outlineLevel="0" collapsed="false">
      <c r="A28" s="8" t="s">
        <v>169</v>
      </c>
      <c r="B28" s="8" t="s">
        <v>171</v>
      </c>
      <c r="C28" s="59" t="n">
        <v>2016532</v>
      </c>
      <c r="D28" s="39" t="n">
        <f aca="false">ROUND('3 and 4 - Exit and Transfer'!D28,0)</f>
        <v>2016532</v>
      </c>
      <c r="E28" s="39" t="n">
        <f aca="false">D28-C28</f>
        <v>0</v>
      </c>
      <c r="F28" s="58" t="str">
        <f aca="false">IF(ABS(D28-C28)&lt;=1,"PASS","FAIL")</f>
        <v>PASS</v>
      </c>
    </row>
    <row r="29" customFormat="false" ht="15" hidden="false" customHeight="false" outlineLevel="0" collapsed="false">
      <c r="A29" s="8" t="s">
        <v>169</v>
      </c>
      <c r="B29" s="8" t="s">
        <v>106</v>
      </c>
      <c r="C29" s="57" t="n">
        <v>0.0108</v>
      </c>
      <c r="D29" s="38" t="n">
        <f aca="false">ROUND('3 and 4 - Exit and Transfer'!D28/RED,4)</f>
        <v>0.0108</v>
      </c>
      <c r="E29" s="38" t="n">
        <f aca="false">D29-C29</f>
        <v>0</v>
      </c>
      <c r="F29" s="58" t="str">
        <f aca="false">IF(ABS(D29-C29)&lt;=0.00005,"PASS","FAIL")</f>
        <v>PASS</v>
      </c>
    </row>
    <row r="30" customFormat="false" ht="15" hidden="false" customHeight="false" outlineLevel="0" collapsed="false">
      <c r="A30" s="8" t="s">
        <v>168</v>
      </c>
      <c r="B30" s="8" t="s">
        <v>172</v>
      </c>
      <c r="C30" s="61" t="n">
        <v>88.0857</v>
      </c>
      <c r="D30" s="52" t="n">
        <f aca="false">ROUND('3 and 4 - Exit and Transfer'!B35,4)</f>
        <v>88.0857</v>
      </c>
      <c r="E30" s="52" t="n">
        <f aca="false">D30-C30</f>
        <v>0</v>
      </c>
      <c r="F30" s="58" t="str">
        <f aca="false">IF(ABS(D30-C30)&lt;=0.00005,"PASS","FAIL")</f>
        <v>PASS</v>
      </c>
    </row>
    <row r="31" customFormat="false" ht="15" hidden="false" customHeight="false" outlineLevel="0" collapsed="false">
      <c r="A31" s="8" t="s">
        <v>168</v>
      </c>
      <c r="B31" s="8" t="s">
        <v>173</v>
      </c>
      <c r="C31" s="61" t="n">
        <v>88.5754</v>
      </c>
      <c r="D31" s="52" t="n">
        <f aca="false">ROUND('3 and 4 - Exit and Transfer'!D35,4)</f>
        <v>88.5754</v>
      </c>
      <c r="E31" s="52" t="n">
        <f aca="false">D31-C31</f>
        <v>0</v>
      </c>
      <c r="F31" s="58" t="str">
        <f aca="false">IF(ABS(D31-C31)&lt;=0.00005,"PASS","FAIL")</f>
        <v>PASS</v>
      </c>
    </row>
    <row r="32" customFormat="false" ht="15" hidden="false" customHeight="false" outlineLevel="0" collapsed="false">
      <c r="A32" s="8" t="s">
        <v>168</v>
      </c>
      <c r="B32" s="8" t="s">
        <v>174</v>
      </c>
      <c r="C32" s="61" t="n">
        <v>0.8098</v>
      </c>
      <c r="D32" s="52" t="n">
        <f aca="false">ROUND('3 and 4 - Exit and Transfer'!B36,4)</f>
        <v>0.8098</v>
      </c>
      <c r="E32" s="52" t="n">
        <f aca="false">D32-C32</f>
        <v>0</v>
      </c>
      <c r="F32" s="58" t="str">
        <f aca="false">IF(ABS(D32-C32)&lt;=0.00005,"PASS","FAIL")</f>
        <v>PASS</v>
      </c>
    </row>
    <row r="33" customFormat="false" ht="15" hidden="false" customHeight="false" outlineLevel="0" collapsed="false">
      <c r="A33" s="8" t="s">
        <v>168</v>
      </c>
      <c r="B33" s="8" t="s">
        <v>175</v>
      </c>
      <c r="C33" s="61" t="n">
        <v>0.3201</v>
      </c>
      <c r="D33" s="52" t="n">
        <f aca="false">ROUND('3 and 4 - Exit and Transfer'!D36,4)</f>
        <v>0.3201</v>
      </c>
      <c r="E33" s="52" t="n">
        <f aca="false">D33-C33</f>
        <v>0</v>
      </c>
      <c r="F33" s="58" t="str">
        <f aca="false">IF(ABS(D33-C33)&lt;=0.00005,"PASS","FAIL")</f>
        <v>PASS</v>
      </c>
    </row>
    <row r="34" customFormat="false" ht="15" hidden="false" customHeight="false" outlineLevel="0" collapsed="false">
      <c r="A34" s="8" t="s">
        <v>176</v>
      </c>
      <c r="B34" s="8" t="s">
        <v>177</v>
      </c>
      <c r="C34" s="57" t="n">
        <v>0.02733</v>
      </c>
      <c r="D34" s="38" t="n">
        <f aca="false">ROUND('3 and 4 - Exit and Transfer'!B28/RED,5)</f>
        <v>0.02733</v>
      </c>
      <c r="E34" s="38" t="n">
        <f aca="false">D34-C34</f>
        <v>0</v>
      </c>
      <c r="F34" s="58" t="str">
        <f aca="false">IF(ABS(D34-C34)&lt;=0.000005,"PASS","FAIL")</f>
        <v>PASS</v>
      </c>
    </row>
    <row r="35" customFormat="false" ht="15" hidden="false" customHeight="false" outlineLevel="0" collapsed="false">
      <c r="A35" s="8" t="s">
        <v>176</v>
      </c>
      <c r="B35" s="8" t="s">
        <v>178</v>
      </c>
      <c r="C35" s="57" t="n">
        <v>0.0108</v>
      </c>
      <c r="D35" s="38" t="n">
        <f aca="false">ROUND('3 and 4 - Exit and Transfer'!D28/RED,5)</f>
        <v>0.0108</v>
      </c>
      <c r="E35" s="38" t="n">
        <f aca="false">D35-C35</f>
        <v>0</v>
      </c>
      <c r="F35" s="58" t="str">
        <f aca="false">IF(ABS(D35-C35)&lt;=0.000005,"PASS","FAIL")</f>
        <v>PASS</v>
      </c>
    </row>
    <row r="36" customFormat="false" ht="15" hidden="false" customHeight="false" outlineLevel="0" collapsed="false">
      <c r="A36" s="8" t="s">
        <v>179</v>
      </c>
      <c r="B36" s="8" t="s">
        <v>113</v>
      </c>
      <c r="C36" s="61" t="n">
        <v>0.4897</v>
      </c>
      <c r="D36" s="52" t="n">
        <f aca="false">ROUND('3 and 4 - Exit and Transfer'!B40,4)</f>
        <v>0.4897</v>
      </c>
      <c r="E36" s="52" t="n">
        <f aca="false">D36-C36</f>
        <v>0</v>
      </c>
      <c r="F36" s="58" t="str">
        <f aca="false">IF(ABS(D36-C36)&lt;=0.00005,"PASS","FAIL")</f>
        <v>PASS</v>
      </c>
    </row>
    <row r="37" customFormat="false" ht="15" hidden="false" customHeight="false" outlineLevel="0" collapsed="false">
      <c r="A37" s="8" t="s">
        <v>180</v>
      </c>
      <c r="B37" s="8" t="s">
        <v>181</v>
      </c>
      <c r="C37" s="60" t="n">
        <v>0.312</v>
      </c>
      <c r="D37" s="14" t="n">
        <f aca="false">ROUND('The Fifth Number'!B16,3)</f>
        <v>0.312</v>
      </c>
      <c r="E37" s="14" t="n">
        <f aca="false">D37-C37</f>
        <v>0</v>
      </c>
      <c r="F37" s="58" t="str">
        <f aca="false">IF(ABS(D37-C37)&lt;=0.0005,"PASS","FAIL")</f>
        <v>PASS</v>
      </c>
    </row>
    <row r="38" customFormat="false" ht="15" hidden="false" customHeight="false" outlineLevel="0" collapsed="false">
      <c r="A38" s="8" t="s">
        <v>179</v>
      </c>
      <c r="B38" s="8" t="s">
        <v>182</v>
      </c>
      <c r="C38" s="60" t="n">
        <v>0.083</v>
      </c>
      <c r="D38" s="14" t="n">
        <f aca="false">ROUND('The Fifth Number'!D16,3)</f>
        <v>0.083</v>
      </c>
      <c r="E38" s="14" t="n">
        <f aca="false">D38-C38</f>
        <v>0</v>
      </c>
      <c r="F38" s="58" t="str">
        <f aca="false">IF(ABS(D38-C38)&lt;=0.0005,"PASS","FAIL")</f>
        <v>PASS</v>
      </c>
    </row>
    <row r="39" customFormat="false" ht="15" hidden="false" customHeight="false" outlineLevel="0" collapsed="false">
      <c r="A39" s="8" t="s">
        <v>180</v>
      </c>
      <c r="B39" s="8" t="s">
        <v>183</v>
      </c>
      <c r="C39" s="64" t="n">
        <v>11.3</v>
      </c>
      <c r="D39" s="65" t="n">
        <f aca="false">ROUND('The Fifth Number'!B17,1)</f>
        <v>11.3</v>
      </c>
      <c r="E39" s="65" t="n">
        <f aca="false">D39-C39</f>
        <v>0</v>
      </c>
      <c r="F39" s="58" t="str">
        <f aca="false">IF(ABS(D39-C39)&lt;=0.05,"PASS","FAIL")</f>
        <v>PASS</v>
      </c>
    </row>
    <row r="40" customFormat="false" ht="15" hidden="false" customHeight="false" outlineLevel="0" collapsed="false">
      <c r="A40" s="8" t="s">
        <v>179</v>
      </c>
      <c r="B40" s="8" t="s">
        <v>184</v>
      </c>
      <c r="C40" s="64" t="n">
        <v>14.4</v>
      </c>
      <c r="D40" s="65" t="n">
        <f aca="false">ROUND('The Fifth Number'!D17,1)</f>
        <v>14.4</v>
      </c>
      <c r="E40" s="65" t="n">
        <f aca="false">D40-C40</f>
        <v>0</v>
      </c>
      <c r="F40" s="58" t="str">
        <f aca="false">IF(ABS(D40-C40)&lt;=0.05,"PASS","FAIL")</f>
        <v>PASS</v>
      </c>
    </row>
    <row r="41" customFormat="false" ht="15" hidden="false" customHeight="false" outlineLevel="0" collapsed="false">
      <c r="A41" s="8" t="s">
        <v>185</v>
      </c>
      <c r="B41" s="8" t="s">
        <v>140</v>
      </c>
      <c r="C41" s="59" t="n">
        <v>126315789</v>
      </c>
      <c r="D41" s="39" t="n">
        <f aca="false">ROUND('The Fifth Number'!B26,0)</f>
        <v>126315789</v>
      </c>
      <c r="E41" s="39" t="n">
        <f aca="false">D41-C41</f>
        <v>0</v>
      </c>
      <c r="F41" s="58" t="str">
        <f aca="false">IF(ABS(D41-C41)&lt;=1,"PASS","FAIL")</f>
        <v>PASS</v>
      </c>
    </row>
    <row r="42" customFormat="false" ht="15" hidden="false" customHeight="false" outlineLevel="0" collapsed="false">
      <c r="A42" s="8" t="s">
        <v>185</v>
      </c>
      <c r="B42" s="8" t="s">
        <v>141</v>
      </c>
      <c r="C42" s="59" t="n">
        <v>141176471</v>
      </c>
      <c r="D42" s="39" t="n">
        <f aca="false">ROUND('The Fifth Number'!B27,0)</f>
        <v>141176471</v>
      </c>
      <c r="E42" s="39" t="n">
        <f aca="false">D42-C42</f>
        <v>0</v>
      </c>
      <c r="F42" s="58" t="str">
        <f aca="false">IF(ABS(D42-C42)&lt;=1,"PASS","FAIL")</f>
        <v>PASS</v>
      </c>
    </row>
    <row r="43" customFormat="false" ht="15" hidden="false" customHeight="false" outlineLevel="0" collapsed="false">
      <c r="A43" s="8" t="s">
        <v>185</v>
      </c>
      <c r="B43" s="8" t="s">
        <v>142</v>
      </c>
      <c r="C43" s="59" t="n">
        <v>14860681</v>
      </c>
      <c r="D43" s="39" t="n">
        <f aca="false">ROUND('The Fifth Number'!B28,0)</f>
        <v>14860681</v>
      </c>
      <c r="E43" s="39" t="n">
        <f aca="false">D43-C43</f>
        <v>0</v>
      </c>
      <c r="F43" s="58" t="str">
        <f aca="false">IF(ABS(D43-C43)&lt;=1,"PASS","FAIL")</f>
        <v>PASS</v>
      </c>
    </row>
    <row r="44" customFormat="false" ht="15" hidden="false" customHeight="false" outlineLevel="0" collapsed="false">
      <c r="A44" s="8" t="s">
        <v>152</v>
      </c>
      <c r="B44" s="8" t="s">
        <v>186</v>
      </c>
      <c r="C44" s="14" t="n">
        <v>0.115</v>
      </c>
      <c r="D44" s="14" t="n">
        <f aca="false">ROUND('1 - The Model''s Number'!B24,3)</f>
        <v>0.115</v>
      </c>
      <c r="E44" s="14" t="n">
        <f aca="false">D44-C44</f>
        <v>0</v>
      </c>
      <c r="F44" s="58" t="str">
        <f aca="false">IF(ABS(D44-C44)&lt;=0.0005,"PASS","FAIL")</f>
        <v>PASS</v>
      </c>
    </row>
    <row r="45" customFormat="false" ht="15" hidden="false" customHeight="false" outlineLevel="0" collapsed="false">
      <c r="A45" s="8" t="s">
        <v>169</v>
      </c>
      <c r="B45" s="8" t="s">
        <v>187</v>
      </c>
      <c r="C45" s="66" t="n">
        <v>0.44</v>
      </c>
      <c r="D45" s="67" t="n">
        <f aca="false">ROUND('3 and 4 - Exit and Transfer'!B57,2)</f>
        <v>0.44</v>
      </c>
      <c r="E45" s="66" t="n">
        <f aca="false">D45-C45</f>
        <v>0</v>
      </c>
      <c r="F45" s="58" t="str">
        <f aca="false">IF(ABS(D45-C45)&lt;=0.005,"PASS","FAIL")</f>
        <v>PASS</v>
      </c>
    </row>
    <row r="46" customFormat="false" ht="15" hidden="false" customHeight="false" outlineLevel="0" collapsed="false">
      <c r="A46" s="8" t="s">
        <v>169</v>
      </c>
      <c r="B46" s="8" t="s">
        <v>188</v>
      </c>
      <c r="C46" s="66" t="n">
        <v>1.53</v>
      </c>
      <c r="D46" s="66" t="n">
        <f aca="false">ROUND('3 and 4 - Exit and Transfer'!B56,2)</f>
        <v>1.53</v>
      </c>
      <c r="E46" s="66" t="n">
        <f aca="false">D46-C46</f>
        <v>0</v>
      </c>
      <c r="F46" s="58" t="str">
        <f aca="false">IF(ABS(D46-C46)&lt;=0.005,"PASS","FAIL")</f>
        <v>PASS</v>
      </c>
    </row>
    <row r="47" customFormat="false" ht="15" hidden="false" customHeight="false" outlineLevel="0" collapsed="false">
      <c r="A47" s="8" t="s">
        <v>169</v>
      </c>
      <c r="B47" s="8" t="s">
        <v>189</v>
      </c>
      <c r="C47" s="68" t="n">
        <v>1</v>
      </c>
      <c r="D47" s="68" t="n">
        <f aca="false">IKSCALE</f>
        <v>1</v>
      </c>
      <c r="E47" s="68" t="n">
        <f aca="false">D47-C47</f>
        <v>0</v>
      </c>
      <c r="F47" s="58" t="str">
        <f aca="false">IF(ABS(D47-C47)&lt;=0,"PASS","FAIL")</f>
        <v>PASS</v>
      </c>
    </row>
    <row r="48" customFormat="false" ht="15" hidden="false" customHeight="false" outlineLevel="0" collapsed="false">
      <c r="A48" s="8" t="s">
        <v>168</v>
      </c>
      <c r="B48" s="8" t="s">
        <v>190</v>
      </c>
      <c r="C48" s="39" t="n">
        <v>0</v>
      </c>
      <c r="D48" s="39" t="n">
        <f aca="false">ROUND('3 and 4 - Exit and Transfer'!B8*'3 and 4 - Exit and Transfer'!B35+RED+'3 and 4 - Exit and Transfer'!B28-NAVB,2)</f>
        <v>0</v>
      </c>
      <c r="E48" s="39" t="n">
        <f aca="false">D48-C48</f>
        <v>0</v>
      </c>
      <c r="F48" s="58" t="str">
        <f aca="false">IF(ABS(D48-C48)&lt;=0.01,"PASS","FAIL")</f>
        <v>PASS</v>
      </c>
    </row>
    <row r="49" customFormat="false" ht="15" hidden="false" customHeight="false" outlineLevel="0" collapsed="false">
      <c r="A49" s="8" t="s">
        <v>168</v>
      </c>
      <c r="B49" s="8" t="s">
        <v>191</v>
      </c>
      <c r="C49" s="39" t="n">
        <v>0</v>
      </c>
      <c r="D49" s="39" t="n">
        <f aca="false">ROUND('3 and 4 - Exit and Transfer'!B8*'3 and 4 - Exit and Transfer'!D35+RED+'3 and 4 - Exit and Transfer'!D28-NAVB,2)</f>
        <v>0</v>
      </c>
      <c r="E49" s="39" t="n">
        <f aca="false">D49-C49</f>
        <v>0</v>
      </c>
      <c r="F49" s="58" t="str">
        <f aca="false">IF(ABS(D49-C49)&lt;=0.01,"PASS","FAIL")</f>
        <v>PASS</v>
      </c>
    </row>
    <row r="50" customFormat="false" ht="15" hidden="false" customHeight="false" outlineLevel="0" collapsed="false">
      <c r="A50" s="8" t="s">
        <v>179</v>
      </c>
      <c r="B50" s="8" t="s">
        <v>192</v>
      </c>
      <c r="C50" s="52" t="n">
        <v>0</v>
      </c>
      <c r="D50" s="52" t="n">
        <f aca="false">ROUND('3 and 4 - Exit and Transfer'!B40-('3 and 4 - Exit and Transfer'!B28-'3 and 4 - Exit and Transfer'!D28)/'3 and 4 - Exit and Transfer'!B8,10)</f>
        <v>-0</v>
      </c>
      <c r="E50" s="52" t="n">
        <f aca="false">D50-C50</f>
        <v>-0</v>
      </c>
      <c r="F50" s="58" t="str">
        <f aca="false">IF(ABS(D50-C50)&lt;=0,"PASS","FAIL")</f>
        <v>PASS</v>
      </c>
    </row>
    <row r="52" customFormat="false" ht="15" hidden="false" customHeight="false" outlineLevel="0" collapsed="false">
      <c r="B52" s="26" t="s">
        <v>193</v>
      </c>
      <c r="D52" s="69" t="str">
        <f aca="false">COUNTIF(F6:F50,"PASS")&amp;" of "&amp;45</f>
        <v>45 of 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2026-08-28T17:37:12Z</dcterms:created>
  <dc:creator>openpyxl</dc:creator>
  <dc:description/>
  <dc:language>en-US</dc:language>
  <cp:lastModifiedBy/>
  <dcterms:modified xsi:type="dcterms:W3CDTF">2026-09-24T19:57:26Z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