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Bid" sheetId="2" state="visible" r:id="rId4"/>
    <sheet name="Inversions" sheetId="3" state="visible" r:id="rId5"/>
    <sheet name="Levers" sheetId="4" state="visible" r:id="rId6"/>
    <sheet name="Omissions"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<sst xmlns="http://schemas.openxmlformats.org/spreadsheetml/2006/main" count="140" uniqueCount="120">
  <si>
    <t xml:space="preserve">The Bid Sheet</t>
  </si>
  <si>
    <t xml:space="preserve">Companion workbook to Senior Living and Healthcare Real Estate</t>
  </si>
  <si>
    <t xml:space="preserve">What this is</t>
  </si>
  <si>
    <t xml:space="preserve">One page for an investment committee. The bridge from asking price to bid, the five inversions of Chapter 22 — four of which close the gap on their own, and one of which cannot — the ranked operating levers, and the omissions table for the facing page.</t>
  </si>
  <si>
    <t xml:space="preserve">How to use it</t>
  </si>
  <si>
    <t xml:space="preserve">Put the asking price and your own view of the trade in the blue cells.</t>
  </si>
  <si>
    <t xml:space="preserve">The inversions and levers sheets are the WORKED EXAMPLE from the book — fixed values, not formulas, because each line solves the whole model. Both carry a blank column for your own figures, and the Care Home Model is where you produce them.</t>
  </si>
  <si>
    <t xml:space="preserve">The inversions answer 'what would I have to believe' rather than 'what is it worth'. A practitioner can judge an assumption; nobody can judge a valuation.</t>
  </si>
  <si>
    <t xml:space="preserve">The levers are measured one at a time from the same starting point. They do NOT add. Any paper that sums them is wrong.</t>
  </si>
  <si>
    <t xml:space="preserve">What is not on it</t>
  </si>
  <si>
    <t xml:space="preserve">Capital expenditure. It is outside EBITDARM and outside the model, and the Omissions sheet says so in the place where a committee will read it.</t>
  </si>
  <si>
    <t xml:space="preserve">Revised 24 September 2026</t>
  </si>
  <si>
    <t xml:space="preserve">The Inversions sheet corrected two lines. No share of self-funded admissions closes the gap: at 100 per cent the home is worth £19.0 million. The length of stay that closes it is 24.8 months, not 96.0: held at 2.79 admissions a month, that stay fills the home to 99 per cent. Both first-edition figures were the edges of a search that never found an answer. The Levers sheet adds the other seven together (£284,760): the first lever is larger than any one of them, not than all seven. The read-me points to Chapter 22. The checks sheet ends ALL OK.</t>
  </si>
  <si>
    <t xml:space="preserve">From asking price to bid</t>
  </si>
  <si>
    <t xml:space="preserve">Amount</t>
  </si>
  <si>
    <t xml:space="preserve">Note</t>
  </si>
  <si>
    <t xml:space="preserve">Registered beds</t>
  </si>
  <si>
    <t xml:space="preserve">Asking price per bed</t>
  </si>
  <si>
    <t xml:space="preserve">Asking price</t>
  </si>
  <si>
    <t xml:space="preserve">EBITDARM, your view</t>
  </si>
  <si>
    <t xml:space="preserve">Normalised, and stated BEFORE rent and management charge.</t>
  </si>
  <si>
    <t xml:space="preserve">Trade multiple</t>
  </si>
  <si>
    <t xml:space="preserve">Value on the trade</t>
  </si>
  <si>
    <t xml:space="preserve">The gap</t>
  </si>
  <si>
    <t xml:space="preserve">This is the whole negotiation.</t>
  </si>
  <si>
    <t xml:space="preserve">The gap, per bed</t>
  </si>
  <si>
    <t xml:space="preserve">The gap, as a share of the model's value</t>
  </si>
  <si>
    <t xml:space="preserve">Required rent cover</t>
  </si>
  <si>
    <t xml:space="preserve">Investment yield on the rent</t>
  </si>
  <si>
    <t xml:space="preserve">Rent the cover produces</t>
  </si>
  <si>
    <t xml:space="preserve">The rent is an output. Nobody negotiates it.</t>
  </si>
  <si>
    <t xml:space="preserve">Value on the lease</t>
  </si>
  <si>
    <t xml:space="preserve">Implied cover — cover x yield x multiple = 1</t>
  </si>
  <si>
    <t xml:space="preserve">If this is not the required cover, the two valuations differ.</t>
  </si>
  <si>
    <t xml:space="preserve">Difference between the two valuations</t>
  </si>
  <si>
    <t xml:space="preserve">It goes to somebody. Chapter 14 works out to whom.</t>
  </si>
  <si>
    <t xml:space="preserve">What you would have to believe — the worked example from the book</t>
  </si>
  <si>
    <t xml:space="preserve">⚠ THESE ARE FIXED VALUES, NOT FORMULAS. Each inversion solves the whole model, which will not fit on this sheet: they describe the home in the book. Re-run them for your own home in the Care Home Model by changing one input at a time until the value equals your asking price. The last column is yours.</t>
  </si>
  <si>
    <t xml:space="preserve">The book's model</t>
  </si>
  <si>
    <t xml:space="preserve">The asking price implies</t>
  </si>
  <si>
    <t xml:space="preserve">Is that believable?</t>
  </si>
  <si>
    <t xml:space="preserve">Your home</t>
  </si>
  <si>
    <t xml:space="preserve">Occupancy</t>
  </si>
  <si>
    <t xml:space="preserve">Against a published nursing average of 89.5 per cent.</t>
  </si>
  <si>
    <t xml:space="preserve">Self-funded weekly fee</t>
  </si>
  <si>
    <t xml:space="preserve">What are the competing homes within twenty minutes actually charging?</t>
  </si>
  <si>
    <t xml:space="preserve">Self-funded share of admissions</t>
  </si>
  <si>
    <t xml:space="preserve">None closes the gap. At 100 per cent of admissions self-funding the home is worth £19.0 million, still £947,473 short of the asking price. The first version printed 100 per cent as if it were the answer: it was the edge of the search.</t>
  </si>
  <si>
    <t xml:space="preserve">Care hours per resident per day</t>
  </si>
  <si>
    <t xml:space="preserve">This is the one a buyer can execute on day one. It is also the one the regulator inspects.</t>
  </si>
  <si>
    <t xml:space="preserve">Average length of stay, months</t>
  </si>
  <si>
    <t xml:space="preserve">Held at 2.79 admissions a month, a stay of 24.8 months fills the home to 99.0 per cent: it is the occupancy line again, bought with a longer stay. The first version printed 96.0 months, the edge of the search, where the home is worth only £18.7 million.</t>
  </si>
  <si>
    <t xml:space="preserve">The operating levers, ranked — the worked example from the book</t>
  </si>
  <si>
    <t xml:space="preserve">⚠ FIXED VALUES, NOT FORMULAS: each lever re-runs the whole model. Each is measured from the same starting point with everything else held constant, and THEY DO NOT ADD. Filling three beds is worth more than any other single lever, not more than the other seven together. The last column is yours.</t>
  </si>
  <si>
    <t xml:space="preserve">EBITDARM</t>
  </si>
  <si>
    <t xml:space="preserve">At the multiple</t>
  </si>
  <si>
    <t xml:space="preserve">Fill three more beds</t>
  </si>
  <si>
    <t xml:space="preserve">Raise the self-funded weekly fee by five per cent</t>
  </si>
  <si>
    <t xml:space="preserve">Halve the energy bill</t>
  </si>
  <si>
    <t xml:space="preserve">Admit ten points more self-funded residents</t>
  </si>
  <si>
    <t xml:space="preserve">Cut care hours by a tenth of an hour a day</t>
  </si>
  <si>
    <t xml:space="preserve">Win the local authority uplift asked for, one point more</t>
  </si>
  <si>
    <t xml:space="preserve">Cut recruitment and training cost by a quarter, by holding on to staff</t>
  </si>
  <si>
    <t xml:space="preserve">Take agency back to zero</t>
  </si>
  <si>
    <t xml:space="preserve">The other seven together — which the first lever does not beat</t>
  </si>
  <si>
    <t xml:space="preserve">And the one event that outweighs all of them</t>
  </si>
  <si>
    <t xml:space="preserve">Six months of closed admissions — Chapter 19</t>
  </si>
  <si>
    <t xml:space="preserve">…as a multiple of the largest operating lever</t>
  </si>
  <si>
    <t xml:space="preserve">…and of ALL EIGHT together, a total nobody can deliver</t>
  </si>
  <si>
    <t xml:space="preserve">What this appraisal does not carry</t>
  </si>
  <si>
    <t xml:space="preserve">For the facing page of the committee paper.</t>
  </si>
  <si>
    <t xml:space="preserve">Not in the numbers</t>
  </si>
  <si>
    <t xml:space="preserve">Where it can actually be found</t>
  </si>
  <si>
    <t xml:space="preserve">Capital expenditure beyond routine repairs — a wet room programme, a roof, a nurse-call replacement — is outside EBITDARM by construction and outside this model by choice. Fifteen years in, it is not small.</t>
  </si>
  <si>
    <t xml:space="preserve">The home's own asset register and a building survey. Ask for the last five years of spend and the next five years of plan.</t>
  </si>
  <si>
    <t xml:space="preserve">Corporation tax, group relief and the treatment of the management fee between operating company and holding company.</t>
  </si>
  <si>
    <t xml:space="preserve">The operating company's tax computations, and the intra-group agreement.</t>
  </si>
  <si>
    <t xml:space="preserve">Ancillary income — hairdressing, chiropody, transport, the sale of additional services — which some operators run at a real margin and others give away.</t>
  </si>
  <si>
    <t xml:space="preserve">The home's own ancillary income schedule, month by month.</t>
  </si>
  <si>
    <t xml:space="preserve">The continuing healthcare route, where the health service rather than the council funds the placement at a different rate again.</t>
  </si>
  <si>
    <t xml:space="preserve">The commissioners. Ask for the split three ways, not two.</t>
  </si>
  <si>
    <t xml:space="preserve">Regional variation in wage rates, which in this sector is wider than regional variation in fees, and moves the margin in the opposite direction to what one expects.</t>
  </si>
  <si>
    <t xml:space="preserve">Published regional wage data, against the home's own payroll.</t>
  </si>
  <si>
    <t xml:space="preserve">The registered manager. The single largest source of variance in the trading performance of an individual home is a person, and no model has a cell for her.</t>
  </si>
  <si>
    <t xml:space="preserve">The registered manager's tenure, and the inspection history of every home this operator runs in the region.</t>
  </si>
  <si>
    <t xml:space="preserve">Checks — every figure the book prints, against what this workbook computes</t>
  </si>
  <si>
    <t xml:space="preserve">Senior Living and Healthcare Real Estate</t>
  </si>
  <si>
    <t xml:space="preserve">Column D is a live formula pointing into the model, not a re-typed number. Change an input and this sheet moves with it. Lines marked "revised" carry the corrected figure; the note in column H gives the one the first edition printed.</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</si>
  <si>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</si>
  <si>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</si>
  <si>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</si>
  <si>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</si>
  <si>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</si>
  <si>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</si>
  <si>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</si>
  <si>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22</t>
  </si>
  <si>
    <t xml:space="preserve">The tolerance on each line is the rounding of the figure as the book prints it. The inversions and levers are the book's worked example, as fixed values.</t>
  </si>
  <si>
    <t xml:space="preserve">Ch. 14</t>
  </si>
  <si>
    <t xml:space="preserve">Ch. 13</t>
  </si>
  <si>
    <t xml:space="preserve">Rent</t>
  </si>
  <si>
    <t xml:space="preserve">Implied cover</t>
  </si>
  <si>
    <t xml:space="preserve">Fill three more beds, EBITDARM</t>
  </si>
  <si>
    <t xml:space="preserve">The other seven levers together</t>
  </si>
  <si>
    <t xml:space="preserve">All eight at the multiple — a total nobody can deliver</t>
  </si>
  <si>
    <t xml:space="preserve">The largest lever covers this share of the gap</t>
  </si>
  <si>
    <t xml:space="preserve">Ch. 19</t>
  </si>
  <si>
    <t xml:space="preserve">The embargo against the largest lever</t>
  </si>
  <si>
    <t xml:space="preserve">…and against all eight together</t>
  </si>
  <si>
    <t xml:space="preserve">Inversion: occupancy</t>
  </si>
  <si>
    <t xml:space="preserve">Inversion: self-funded weekly fee</t>
  </si>
  <si>
    <t xml:space="preserve">Inversion: care hours per resident per day</t>
  </si>
  <si>
    <t xml:space="preserve">Ch. 22, revised</t>
  </si>
  <si>
    <t xml:space="preserve">Inversion: average length of stay, months</t>
  </si>
  <si>
    <t xml:space="preserve">the first edition printed 96.0 months</t>
  </si>
  <si>
    <t xml:space="preserve">Check</t>
  </si>
  <si>
    <t xml:space="preserve">The first lever is smaller than the other seven together (1 = true)</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</si>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</sst>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9">
    <numFmt numFmtId="164" formatCode="General"/>
    <numFmt numFmtId="165" formatCode="#,##0"/>
    <numFmt numFmtId="166" formatCode="\£#,##0"/>
    <numFmt numFmtId="167" formatCode="0.00"/>
    <numFmt numFmtId="168" formatCode="0.0%"/>
    <numFmt numFmtId="169" formatCode="0.00%"/>
    <numFmt numFmtId="170" formatCode="0.0"/>
    <numFmt numFmtId="171" formatCode="0%"/>
    <numFmt numFmtId="172" formatCode="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8" fontId="10" fillId="2"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0" fontId="10" fillId="2"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7" customFormat="false" ht="15" hidden="false" customHeight="false" outlineLevel="0" collapsed="false">
      <c r="A7" s="3" t="s">
        <v>4</v>
      </c>
    </row>
    <row r="8" customFormat="false" ht="15" hidden="false" customHeight="true" outlineLevel="0" collapsed="false">
      <c r="A8" s="4" t="s">
        <v>5</v>
      </c>
    </row>
    <row r="9" customFormat="false" ht="39"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3" customFormat="false" ht="15" hidden="false" customHeight="false" outlineLevel="0" collapsed="false">
      <c r="A13" s="3" t="s">
        <v>9</v>
      </c>
    </row>
    <row r="14" customFormat="false" ht="25.5" hidden="false" customHeight="true" outlineLevel="0" collapsed="false">
      <c r="A14" s="4" t="s">
        <v>10</v>
      </c>
    </row>
    <row r="16" customFormat="false" ht="15" hidden="false" customHeight="false" outlineLevel="0" collapsed="false">
      <c r="A16" s="3" t="s">
        <v>11</v>
      </c>
    </row>
    <row r="17" customFormat="false" ht="75" hidden="false" customHeight="true" outlineLevel="0" collapsed="false">
      <c r="A17"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8"/>
    <col collapsed="false" customWidth="true" hidden="false" outlineLevel="0" max="3" min="3" style="0" width="50"/>
  </cols>
  <sheetData>
    <row r="1" customFormat="false" ht="16.15" hidden="false" customHeight="false" outlineLevel="0" collapsed="false">
      <c r="A1" s="6" t="s">
        <v>13</v>
      </c>
    </row>
    <row r="4" customFormat="false" ht="15" hidden="false" customHeight="false" outlineLevel="0" collapsed="false">
      <c r="A4" s="7"/>
      <c r="B4" s="7" t="s">
        <v>14</v>
      </c>
      <c r="C4" s="7" t="s">
        <v>15</v>
      </c>
    </row>
    <row r="5" customFormat="false" ht="15" hidden="false" customHeight="false" outlineLevel="0" collapsed="false">
      <c r="A5" s="0" t="s">
        <v>16</v>
      </c>
      <c r="B5" s="8" t="n">
        <v>70</v>
      </c>
      <c r="C5" s="2"/>
    </row>
    <row r="6" customFormat="false" ht="15" hidden="false" customHeight="false" outlineLevel="0" collapsed="false">
      <c r="A6" s="0" t="s">
        <v>17</v>
      </c>
      <c r="B6" s="9" t="n">
        <v>285000</v>
      </c>
      <c r="C6" s="2"/>
    </row>
    <row r="7" customFormat="false" ht="15" hidden="false" customHeight="false" outlineLevel="0" collapsed="false">
      <c r="A7" s="0" t="s">
        <v>18</v>
      </c>
      <c r="B7" s="10" t="n">
        <f aca="false">$B$5*$B$6</f>
        <v>19950000</v>
      </c>
      <c r="C7" s="2"/>
    </row>
    <row r="8" customFormat="false" ht="15" hidden="false" customHeight="false" outlineLevel="0" collapsed="false">
      <c r="A8" s="0" t="s">
        <v>19</v>
      </c>
      <c r="B8" s="9" t="n">
        <v>1528790.09979604</v>
      </c>
      <c r="C8" s="2" t="s">
        <v>20</v>
      </c>
    </row>
    <row r="9" customFormat="false" ht="15" hidden="false" customHeight="false" outlineLevel="0" collapsed="false">
      <c r="A9" s="0" t="s">
        <v>21</v>
      </c>
      <c r="B9" s="11" t="n">
        <v>11</v>
      </c>
      <c r="C9" s="2"/>
    </row>
    <row r="10" customFormat="false" ht="15" hidden="false" customHeight="false" outlineLevel="0" collapsed="false">
      <c r="A10" s="0" t="s">
        <v>22</v>
      </c>
      <c r="B10" s="10" t="n">
        <f aca="false">$B$9*$B$8</f>
        <v>16816691.0977564</v>
      </c>
      <c r="C10" s="2"/>
    </row>
    <row r="11" customFormat="false" ht="15" hidden="false" customHeight="false" outlineLevel="0" collapsed="false">
      <c r="A11" s="0" t="s">
        <v>23</v>
      </c>
      <c r="B11" s="10" t="n">
        <f aca="false">$B$7-$B$10</f>
        <v>3133308.9022436</v>
      </c>
      <c r="C11" s="2" t="s">
        <v>24</v>
      </c>
    </row>
    <row r="12" customFormat="false" ht="15" hidden="false" customHeight="false" outlineLevel="0" collapsed="false">
      <c r="A12" s="0" t="s">
        <v>25</v>
      </c>
      <c r="B12" s="10" t="n">
        <f aca="false">$B$11/$B$5</f>
        <v>44761.5557463372</v>
      </c>
      <c r="C12" s="2"/>
    </row>
    <row r="13" customFormat="false" ht="15" hidden="false" customHeight="false" outlineLevel="0" collapsed="false">
      <c r="A13" s="0" t="s">
        <v>26</v>
      </c>
      <c r="B13" s="12" t="n">
        <f aca="false">$B$11/$B$10</f>
        <v>0.186321368694323</v>
      </c>
      <c r="C13" s="2"/>
    </row>
    <row r="14" customFormat="false" ht="15" hidden="false" customHeight="false" outlineLevel="0" collapsed="false">
      <c r="A14" s="0" t="s">
        <v>27</v>
      </c>
      <c r="B14" s="11" t="n">
        <v>1.8</v>
      </c>
      <c r="C14" s="2"/>
    </row>
    <row r="15" customFormat="false" ht="15" hidden="false" customHeight="false" outlineLevel="0" collapsed="false">
      <c r="A15" s="0" t="s">
        <v>28</v>
      </c>
      <c r="B15" s="13" t="n">
        <v>0.06</v>
      </c>
      <c r="C15" s="2"/>
    </row>
    <row r="16" customFormat="false" ht="15" hidden="false" customHeight="false" outlineLevel="0" collapsed="false">
      <c r="A16" s="0" t="s">
        <v>29</v>
      </c>
      <c r="B16" s="10" t="n">
        <f aca="false">$B$8/$B$14</f>
        <v>849327.83322002</v>
      </c>
      <c r="C16" s="2" t="s">
        <v>30</v>
      </c>
    </row>
    <row r="17" customFormat="false" ht="15" hidden="false" customHeight="false" outlineLevel="0" collapsed="false">
      <c r="A17" s="0" t="s">
        <v>31</v>
      </c>
      <c r="B17" s="10" t="n">
        <f aca="false">$B$16/$B$15</f>
        <v>14155463.8870003</v>
      </c>
      <c r="C17" s="2"/>
    </row>
    <row r="18" customFormat="false" ht="15" hidden="false" customHeight="false" outlineLevel="0" collapsed="false">
      <c r="A18" s="0" t="s">
        <v>32</v>
      </c>
      <c r="B18" s="14" t="n">
        <f aca="false">1/($B$9*$B$15)</f>
        <v>1.51515151515152</v>
      </c>
      <c r="C18" s="2" t="s">
        <v>33</v>
      </c>
    </row>
    <row r="19" customFormat="false" ht="15" hidden="false" customHeight="false" outlineLevel="0" collapsed="false">
      <c r="A19" s="0" t="s">
        <v>34</v>
      </c>
      <c r="B19" s="10" t="n">
        <f aca="false">$B$10-$B$17</f>
        <v>2661227.21075606</v>
      </c>
      <c r="C19" s="2"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8"/>
    <col collapsed="false" customWidth="true" hidden="false" outlineLevel="0" max="4" min="4" style="0" width="52"/>
  </cols>
  <sheetData>
    <row r="1" customFormat="false" ht="16.15" hidden="false" customHeight="false" outlineLevel="0" collapsed="false">
      <c r="A1" s="6" t="s">
        <v>36</v>
      </c>
    </row>
    <row r="2" customFormat="false" ht="53.7" hidden="false" customHeight="false" outlineLevel="0" collapsed="false">
      <c r="A2" s="15" t="s">
        <v>37</v>
      </c>
    </row>
    <row r="4" customFormat="false" ht="28.35" hidden="false" customHeight="false" outlineLevel="0" collapsed="false">
      <c r="A4" s="7"/>
      <c r="B4" s="7" t="s">
        <v>38</v>
      </c>
      <c r="C4" s="7" t="s">
        <v>39</v>
      </c>
      <c r="D4" s="7" t="s">
        <v>40</v>
      </c>
      <c r="E4" s="7" t="s">
        <v>41</v>
      </c>
    </row>
    <row r="5" customFormat="false" ht="15" hidden="false" customHeight="false" outlineLevel="0" collapsed="false">
      <c r="A5" s="0" t="s">
        <v>42</v>
      </c>
      <c r="B5" s="12" t="n">
        <v>0.895418552265387</v>
      </c>
      <c r="C5" s="12" t="n">
        <v>0.985660021386236</v>
      </c>
      <c r="D5" s="16" t="s">
        <v>43</v>
      </c>
      <c r="E5" s="17"/>
    </row>
    <row r="6" customFormat="false" ht="15" hidden="false" customHeight="false" outlineLevel="0" collapsed="false">
      <c r="A6" s="0" t="s">
        <v>44</v>
      </c>
      <c r="B6" s="10" t="n">
        <v>1638</v>
      </c>
      <c r="C6" s="10" t="n">
        <v>1914.7727039822</v>
      </c>
      <c r="D6" s="16" t="s">
        <v>45</v>
      </c>
      <c r="E6" s="9"/>
    </row>
    <row r="7" customFormat="false" ht="48" hidden="false" customHeight="true" outlineLevel="0" collapsed="false">
      <c r="A7" s="0" t="s">
        <v>46</v>
      </c>
      <c r="B7" s="12" t="n">
        <v>0.55</v>
      </c>
      <c r="C7" s="12"/>
      <c r="D7" s="16" t="s">
        <v>47</v>
      </c>
      <c r="E7" s="17"/>
    </row>
    <row r="8" customFormat="false" ht="22.35" hidden="false" customHeight="false" outlineLevel="0" collapsed="false">
      <c r="A8" s="0" t="s">
        <v>48</v>
      </c>
      <c r="B8" s="14" t="n">
        <v>4.55</v>
      </c>
      <c r="C8" s="14" t="n">
        <v>3.85313970204464</v>
      </c>
      <c r="D8" s="16" t="s">
        <v>49</v>
      </c>
      <c r="E8" s="11"/>
    </row>
    <row r="9" customFormat="false" ht="48" hidden="false" customHeight="true" outlineLevel="0" collapsed="false">
      <c r="A9" s="0" t="s">
        <v>50</v>
      </c>
      <c r="B9" s="18" t="n">
        <v>22.4656984439344</v>
      </c>
      <c r="C9" s="18" t="n">
        <v>24.82719207</v>
      </c>
      <c r="D9" s="16" t="s">
        <v>51</v>
      </c>
      <c r="E9" s="1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8"/>
  </cols>
  <sheetData>
    <row r="1" customFormat="false" ht="16.15" hidden="false" customHeight="false" outlineLevel="0" collapsed="false">
      <c r="A1" s="6" t="s">
        <v>52</v>
      </c>
    </row>
    <row r="2" customFormat="false" ht="43.25" hidden="false" customHeight="false" outlineLevel="0" collapsed="false">
      <c r="A2" s="15" t="s">
        <v>53</v>
      </c>
    </row>
    <row r="4" customFormat="false" ht="28.35" hidden="false" customHeight="false" outlineLevel="0" collapsed="false">
      <c r="A4" s="7"/>
      <c r="B4" s="7" t="s">
        <v>54</v>
      </c>
      <c r="C4" s="7" t="s">
        <v>55</v>
      </c>
      <c r="D4" s="7" t="s">
        <v>41</v>
      </c>
    </row>
    <row r="5" customFormat="false" ht="15" hidden="false" customHeight="false" outlineLevel="0" collapsed="false">
      <c r="A5" s="0" t="s">
        <v>56</v>
      </c>
      <c r="B5" s="10" t="n">
        <v>135278.128122893</v>
      </c>
      <c r="C5" s="10" t="n">
        <v>1488059.40935183</v>
      </c>
      <c r="D5" s="9"/>
    </row>
    <row r="6" customFormat="false" ht="15" hidden="false" customHeight="false" outlineLevel="0" collapsed="false">
      <c r="A6" s="0" t="s">
        <v>57</v>
      </c>
      <c r="B6" s="10" t="n">
        <v>89967.7389196483</v>
      </c>
      <c r="C6" s="10" t="n">
        <v>989645.128116132</v>
      </c>
      <c r="D6" s="9"/>
    </row>
    <row r="7" customFormat="false" ht="15" hidden="false" customHeight="false" outlineLevel="0" collapsed="false">
      <c r="A7" s="0" t="s">
        <v>58</v>
      </c>
      <c r="B7" s="10" t="n">
        <v>55780.2000000002</v>
      </c>
      <c r="C7" s="10" t="n">
        <v>613582.200000002</v>
      </c>
      <c r="D7" s="9"/>
    </row>
    <row r="8" customFormat="false" ht="15" hidden="false" customHeight="false" outlineLevel="0" collapsed="false">
      <c r="A8" s="0" t="s">
        <v>59</v>
      </c>
      <c r="B8" s="10" t="n">
        <v>44158.3076368533</v>
      </c>
      <c r="C8" s="10" t="n">
        <v>485741.384005386</v>
      </c>
      <c r="D8" s="9"/>
    </row>
    <row r="9" customFormat="false" ht="15" hidden="false" customHeight="false" outlineLevel="0" collapsed="false">
      <c r="A9" s="0" t="s">
        <v>60</v>
      </c>
      <c r="B9" s="10" t="n">
        <v>40875.662550454</v>
      </c>
      <c r="C9" s="10" t="n">
        <v>449632.288054994</v>
      </c>
      <c r="D9" s="9"/>
    </row>
    <row r="10" customFormat="false" ht="15" hidden="false" customHeight="false" outlineLevel="0" collapsed="false">
      <c r="A10" s="0" t="s">
        <v>61</v>
      </c>
      <c r="B10" s="10" t="n">
        <v>28378.8845674442</v>
      </c>
      <c r="C10" s="10" t="n">
        <v>312167.730241886</v>
      </c>
      <c r="D10" s="9"/>
    </row>
    <row r="11" customFormat="false" ht="15" hidden="false" customHeight="false" outlineLevel="0" collapsed="false">
      <c r="A11" s="0" t="s">
        <v>62</v>
      </c>
      <c r="B11" s="10" t="n">
        <v>15087.7467869804</v>
      </c>
      <c r="C11" s="10" t="n">
        <v>165965.214656785</v>
      </c>
      <c r="D11" s="9"/>
    </row>
    <row r="12" customFormat="false" ht="15" hidden="false" customHeight="false" outlineLevel="0" collapsed="false">
      <c r="A12" s="0" t="s">
        <v>63</v>
      </c>
      <c r="B12" s="10" t="n">
        <v>10511.065818164</v>
      </c>
      <c r="C12" s="10" t="n">
        <v>115621.723999804</v>
      </c>
      <c r="D12" s="9"/>
    </row>
    <row r="13" customFormat="false" ht="15" hidden="false" customHeight="false" outlineLevel="0" collapsed="false">
      <c r="A13" s="0" t="s">
        <v>64</v>
      </c>
      <c r="B13" s="20" t="n">
        <f aca="false">SUM(B6:B12)</f>
        <v>284759.606279545</v>
      </c>
      <c r="C13" s="20" t="n">
        <f aca="false">SUM(C6:C12)</f>
        <v>3132355.66907499</v>
      </c>
    </row>
    <row r="14" customFormat="false" ht="15" hidden="false" customHeight="false" outlineLevel="0" collapsed="false">
      <c r="A14" s="3" t="s">
        <v>65</v>
      </c>
    </row>
    <row r="15" customFormat="false" ht="15" hidden="false" customHeight="false" outlineLevel="0" collapsed="false">
      <c r="A15" s="0" t="s">
        <v>66</v>
      </c>
      <c r="B15" s="10" t="n">
        <v>-1410102.03927856</v>
      </c>
    </row>
    <row r="16" customFormat="false" ht="15" hidden="false" customHeight="false" outlineLevel="0" collapsed="false">
      <c r="A16" s="0" t="s">
        <v>67</v>
      </c>
      <c r="B16" s="18" t="n">
        <v>10.4237252454998</v>
      </c>
    </row>
    <row r="17" customFormat="false" ht="15" hidden="false" customHeight="false" outlineLevel="0" collapsed="false">
      <c r="A17" s="0" t="s">
        <v>68</v>
      </c>
      <c r="B17" s="18" t="n">
        <v>3.35708419455368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6"/>
    <col collapsed="false" customWidth="true" hidden="false" outlineLevel="0" max="2" min="2" style="0" width="46"/>
  </cols>
  <sheetData>
    <row r="1" customFormat="false" ht="16.15" hidden="false" customHeight="false" outlineLevel="0" collapsed="false">
      <c r="A1" s="6" t="s">
        <v>69</v>
      </c>
    </row>
    <row r="2" customFormat="false" ht="15" hidden="false" customHeight="false" outlineLevel="0" collapsed="false">
      <c r="A2" s="15" t="s">
        <v>70</v>
      </c>
    </row>
    <row r="4" customFormat="false" ht="15" hidden="false" customHeight="false" outlineLevel="0" collapsed="false">
      <c r="A4" s="7" t="s">
        <v>71</v>
      </c>
      <c r="B4" s="7" t="s">
        <v>72</v>
      </c>
    </row>
    <row r="5" customFormat="false" ht="45.75" hidden="false" customHeight="true" outlineLevel="0" collapsed="false">
      <c r="A5" s="4" t="s">
        <v>73</v>
      </c>
      <c r="B5" s="16" t="s">
        <v>74</v>
      </c>
    </row>
    <row r="6" customFormat="false" ht="45.75" hidden="false" customHeight="true" outlineLevel="0" collapsed="false">
      <c r="A6" s="4" t="s">
        <v>75</v>
      </c>
      <c r="B6" s="16" t="s">
        <v>76</v>
      </c>
    </row>
    <row r="7" customFormat="false" ht="45.75" hidden="false" customHeight="true" outlineLevel="0" collapsed="false">
      <c r="A7" s="4" t="s">
        <v>77</v>
      </c>
      <c r="B7" s="16" t="s">
        <v>78</v>
      </c>
    </row>
    <row r="8" customFormat="false" ht="45.75" hidden="false" customHeight="true" outlineLevel="0" collapsed="false">
      <c r="A8" s="4" t="s">
        <v>79</v>
      </c>
      <c r="B8" s="16" t="s">
        <v>80</v>
      </c>
    </row>
    <row r="9" customFormat="false" ht="45.75" hidden="false" customHeight="true" outlineLevel="0" collapsed="false">
      <c r="A9" s="4" t="s">
        <v>81</v>
      </c>
      <c r="B9" s="16" t="s">
        <v>82</v>
      </c>
    </row>
    <row r="10" customFormat="false" ht="45.75" hidden="false" customHeight="true" outlineLevel="0" collapsed="false">
      <c r="A10" s="4" t="s">
        <v>83</v>
      </c>
      <c r="B10" s="16" t="s">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64"/>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85</v>
      </c>
    </row>
    <row r="2" customFormat="false" ht="15" hidden="false" customHeight="false" outlineLevel="0" collapsed="false">
      <c r="A2" s="2" t="s">
        <v>86</v>
      </c>
    </row>
    <row r="3" customFormat="false" ht="15" hidden="false" customHeight="false" outlineLevel="0" collapsed="false">
      <c r="A3" s="2" t="s">
        <v>87</v>
      </c>
    </row>
    <row r="5" customFormat="false" ht="15" hidden="false" customHeight="false" outlineLevel="0" collapsed="false">
      <c r="A5" s="21" t="s">
        <v>88</v>
      </c>
      <c r="B5" s="21" t="s">
        <v>89</v>
      </c>
      <c r="C5" s="21" t="s">
        <v>90</v>
      </c>
      <c r="D5" s="21" t="s">
        <v>91</v>
      </c>
      <c r="E5" s="21" t="s">
        <v>92</v>
      </c>
      <c r="F5" s="21" t="s">
        <v>93</v>
      </c>
      <c r="H5" s="21" t="s">
        <v>94</v>
      </c>
    </row>
    <row r="6" customFormat="false" ht="41.75" hidden="false" customHeight="false" outlineLevel="0" collapsed="false">
      <c r="A6" s="22" t="s">
        <v>95</v>
      </c>
      <c r="B6" s="5" t="s">
        <v>18</v>
      </c>
      <c r="C6" s="23" t="n">
        <v>19950000</v>
      </c>
      <c r="D6" s="23" t="n">
        <f aca="false">Bid!$B$7</f>
        <v>19950000</v>
      </c>
      <c r="E6" s="23" t="n">
        <f aca="false">D6-C6</f>
        <v>0</v>
      </c>
      <c r="F6" s="22" t="str">
        <f aca="false">IF(ISNUMBER(D6)=FALSE(),"to check",IF(ABS(E6)&lt;=0.5,"reproduced",IF(ABS(E6)&lt;=0.5*3,"rounding","to check")))</f>
        <v>reproduced</v>
      </c>
      <c r="H6" s="5" t="s">
        <v>96</v>
      </c>
    </row>
    <row r="7" customFormat="false" ht="15" hidden="false" customHeight="false" outlineLevel="0" collapsed="false">
      <c r="A7" s="22" t="s">
        <v>97</v>
      </c>
      <c r="B7" s="5" t="s">
        <v>22</v>
      </c>
      <c r="C7" s="23" t="n">
        <v>16816691</v>
      </c>
      <c r="D7" s="23" t="n">
        <f aca="false">Bid!$B$10</f>
        <v>16816691.0977564</v>
      </c>
      <c r="E7" s="23" t="n">
        <f aca="false">D7-C7</f>
        <v>0.0977563969790936</v>
      </c>
      <c r="F7" s="22" t="str">
        <f aca="false">IF(ISNUMBER(D7)=FALSE(),"to check",IF(ABS(E7)&lt;=0.5,"reproduced",IF(ABS(E7)&lt;=0.5*3,"rounding","to check")))</f>
        <v>reproduced</v>
      </c>
    </row>
    <row r="8" customFormat="false" ht="15" hidden="false" customHeight="false" outlineLevel="0" collapsed="false">
      <c r="A8" s="22" t="s">
        <v>95</v>
      </c>
      <c r="B8" s="5" t="s">
        <v>23</v>
      </c>
      <c r="C8" s="23" t="n">
        <v>3133309</v>
      </c>
      <c r="D8" s="23" t="n">
        <f aca="false">Bid!$B$11</f>
        <v>3133308.9022436</v>
      </c>
      <c r="E8" s="23" t="n">
        <f aca="false">D8-C8</f>
        <v>-0.0977563969790936</v>
      </c>
      <c r="F8" s="22" t="str">
        <f aca="false">IF(ISNUMBER(D8)=FALSE(),"to check",IF(ABS(E8)&lt;=0.5,"reproduced",IF(ABS(E8)&lt;=0.5*3,"rounding","to check")))</f>
        <v>reproduced</v>
      </c>
    </row>
    <row r="9" customFormat="false" ht="15" hidden="false" customHeight="false" outlineLevel="0" collapsed="false">
      <c r="A9" s="22" t="s">
        <v>95</v>
      </c>
      <c r="B9" s="5" t="s">
        <v>26</v>
      </c>
      <c r="C9" s="24" t="n">
        <v>0.186</v>
      </c>
      <c r="D9" s="24" t="n">
        <f aca="false">Bid!$B$13</f>
        <v>0.186321368694323</v>
      </c>
      <c r="E9" s="24" t="n">
        <f aca="false">D9-C9</f>
        <v>0.000321368694322644</v>
      </c>
      <c r="F9" s="22" t="str">
        <f aca="false">IF(ISNUMBER(D9)=FALSE(),"to check",IF(ABS(E9)&lt;=0.0005,"reproduced",IF(ABS(E9)&lt;=0.0005*3,"rounding","to check")))</f>
        <v>reproduced</v>
      </c>
    </row>
    <row r="10" customFormat="false" ht="15" hidden="false" customHeight="false" outlineLevel="0" collapsed="false">
      <c r="A10" s="22" t="s">
        <v>98</v>
      </c>
      <c r="B10" s="5" t="s">
        <v>99</v>
      </c>
      <c r="C10" s="23" t="n">
        <v>849328</v>
      </c>
      <c r="D10" s="23" t="n">
        <f aca="false">Bid!$B$16</f>
        <v>849327.83322002</v>
      </c>
      <c r="E10" s="23" t="n">
        <f aca="false">D10-C10</f>
        <v>-0.166779980063438</v>
      </c>
      <c r="F10" s="22" t="str">
        <f aca="false">IF(ISNUMBER(D10)=FALSE(),"to check",IF(ABS(E10)&lt;=0.5,"reproduced",IF(ABS(E10)&lt;=0.5*3,"rounding","to check")))</f>
        <v>reproduced</v>
      </c>
    </row>
    <row r="11" customFormat="false" ht="15" hidden="false" customHeight="false" outlineLevel="0" collapsed="false">
      <c r="A11" s="22" t="s">
        <v>97</v>
      </c>
      <c r="B11" s="5" t="s">
        <v>31</v>
      </c>
      <c r="C11" s="23" t="n">
        <v>14155464</v>
      </c>
      <c r="D11" s="23" t="n">
        <f aca="false">Bid!$B$17</f>
        <v>14155463.8870003</v>
      </c>
      <c r="E11" s="23" t="n">
        <f aca="false">D11-C11</f>
        <v>-0.11299966648221</v>
      </c>
      <c r="F11" s="22" t="str">
        <f aca="false">IF(ISNUMBER(D11)=FALSE(),"to check",IF(ABS(E11)&lt;=0.5,"reproduced",IF(ABS(E11)&lt;=0.5*3,"rounding","to check")))</f>
        <v>reproduced</v>
      </c>
    </row>
    <row r="12" customFormat="false" ht="15" hidden="false" customHeight="false" outlineLevel="0" collapsed="false">
      <c r="A12" s="22" t="s">
        <v>97</v>
      </c>
      <c r="B12" s="5" t="s">
        <v>100</v>
      </c>
      <c r="C12" s="25" t="n">
        <v>1.52</v>
      </c>
      <c r="D12" s="25" t="n">
        <f aca="false">Bid!$B$18</f>
        <v>1.51515151515152</v>
      </c>
      <c r="E12" s="25" t="n">
        <f aca="false">D12-C12</f>
        <v>-0.00484848484848466</v>
      </c>
      <c r="F12" s="22" t="str">
        <f aca="false">IF(ISNUMBER(D12)=FALSE(),"to check",IF(ABS(E12)&lt;=0.005,"reproduced",IF(ABS(E12)&lt;=0.005*3,"rounding","to check")))</f>
        <v>reproduced</v>
      </c>
    </row>
    <row r="13" customFormat="false" ht="15" hidden="false" customHeight="false" outlineLevel="0" collapsed="false">
      <c r="A13" s="22" t="s">
        <v>97</v>
      </c>
      <c r="B13" s="5" t="s">
        <v>34</v>
      </c>
      <c r="C13" s="23" t="n">
        <v>2661227</v>
      </c>
      <c r="D13" s="23" t="n">
        <f aca="false">Bid!$B$19</f>
        <v>2661227.21075606</v>
      </c>
      <c r="E13" s="23" t="n">
        <f aca="false">D13-C13</f>
        <v>0.210756063461304</v>
      </c>
      <c r="F13" s="22" t="str">
        <f aca="false">IF(ISNUMBER(D13)=FALSE(),"to check",IF(ABS(E13)&lt;=0.5,"reproduced",IF(ABS(E13)&lt;=0.5*3,"rounding","to check")))</f>
        <v>reproduced</v>
      </c>
    </row>
    <row r="14" customFormat="false" ht="15" hidden="false" customHeight="false" outlineLevel="0" collapsed="false">
      <c r="A14" s="22" t="s">
        <v>95</v>
      </c>
      <c r="B14" s="5" t="s">
        <v>101</v>
      </c>
      <c r="C14" s="23" t="n">
        <v>135278</v>
      </c>
      <c r="D14" s="23" t="n">
        <f aca="false">Levers!$B$5</f>
        <v>135278.128122893</v>
      </c>
      <c r="E14" s="23" t="n">
        <f aca="false">D14-C14</f>
        <v>0.128122893191176</v>
      </c>
      <c r="F14" s="22" t="str">
        <f aca="false">IF(ISNUMBER(D14)=FALSE(),"to check",IF(ABS(E14)&lt;=0.5,"reproduced",IF(ABS(E14)&lt;=0.5*3,"rounding","to check")))</f>
        <v>reproduced</v>
      </c>
    </row>
    <row r="15" customFormat="false" ht="15" hidden="false" customHeight="false" outlineLevel="0" collapsed="false">
      <c r="A15" s="22" t="s">
        <v>95</v>
      </c>
      <c r="B15" s="5" t="s">
        <v>102</v>
      </c>
      <c r="C15" s="23" t="n">
        <v>284760</v>
      </c>
      <c r="D15" s="23" t="n">
        <f aca="false">Levers!$B$13</f>
        <v>284759.606279545</v>
      </c>
      <c r="E15" s="23" t="n">
        <f aca="false">D15-C15</f>
        <v>-0.393720455467701</v>
      </c>
      <c r="F15" s="22" t="str">
        <f aca="false">IF(ISNUMBER(D15)=FALSE(),"to check",IF(ABS(E15)&lt;=0.5,"reproduced",IF(ABS(E15)&lt;=0.5*3,"rounding","to check")))</f>
        <v>reproduced</v>
      </c>
    </row>
    <row r="16" customFormat="false" ht="15" hidden="false" customHeight="false" outlineLevel="0" collapsed="false">
      <c r="A16" s="22" t="s">
        <v>95</v>
      </c>
      <c r="B16" s="5" t="s">
        <v>103</v>
      </c>
      <c r="C16" s="23" t="n">
        <v>4620415</v>
      </c>
      <c r="D16" s="23" t="n">
        <f aca="false">SUM(Levers!$C$5:$C$12)</f>
        <v>4620415.07842682</v>
      </c>
      <c r="E16" s="23" t="n">
        <f aca="false">D16-C16</f>
        <v>0.0784268146380782</v>
      </c>
      <c r="F16" s="22" t="str">
        <f aca="false">IF(ISNUMBER(D16)=FALSE(),"to check",IF(ABS(E16)&lt;=1,"reproduced",IF(ABS(E16)&lt;=1*3,"rounding","to check")))</f>
        <v>reproduced</v>
      </c>
    </row>
    <row r="17" customFormat="false" ht="15" hidden="false" customHeight="false" outlineLevel="0" collapsed="false">
      <c r="A17" s="22" t="s">
        <v>95</v>
      </c>
      <c r="B17" s="5" t="s">
        <v>104</v>
      </c>
      <c r="C17" s="26" t="n">
        <v>0.47</v>
      </c>
      <c r="D17" s="26" t="n">
        <f aca="false">Levers!$C$5/Bid!$B$11</f>
        <v>0.474916280449177</v>
      </c>
      <c r="E17" s="26" t="n">
        <f aca="false">D17-C17</f>
        <v>0.00491628044917675</v>
      </c>
      <c r="F17" s="22" t="str">
        <f aca="false">IF(ISNUMBER(D17)=FALSE(),"to check",IF(ABS(E17)&lt;=0.005,"reproduced",IF(ABS(E17)&lt;=0.005*3,"rounding","to check")))</f>
        <v>reproduced</v>
      </c>
    </row>
    <row r="18" customFormat="false" ht="15" hidden="false" customHeight="false" outlineLevel="0" collapsed="false">
      <c r="A18" s="22" t="s">
        <v>105</v>
      </c>
      <c r="B18" s="5" t="s">
        <v>106</v>
      </c>
      <c r="C18" s="27" t="n">
        <v>10.4</v>
      </c>
      <c r="D18" s="27" t="n">
        <f aca="false">Levers!$B$16</f>
        <v>10.4237252454998</v>
      </c>
      <c r="E18" s="27" t="n">
        <f aca="false">D18-C18</f>
        <v>0.0237252454998291</v>
      </c>
      <c r="F18" s="22" t="str">
        <f aca="false">IF(ISNUMBER(D18)=FALSE(),"to check",IF(ABS(E18)&lt;=0.05,"reproduced",IF(ABS(E18)&lt;=0.05*3,"rounding","to check")))</f>
        <v>reproduced</v>
      </c>
    </row>
    <row r="19" customFormat="false" ht="15" hidden="false" customHeight="false" outlineLevel="0" collapsed="false">
      <c r="A19" s="22" t="s">
        <v>105</v>
      </c>
      <c r="B19" s="5" t="s">
        <v>107</v>
      </c>
      <c r="C19" s="27" t="n">
        <v>3.4</v>
      </c>
      <c r="D19" s="27" t="n">
        <f aca="false">Levers!$B$17</f>
        <v>3.35708419455368</v>
      </c>
      <c r="E19" s="27" t="n">
        <f aca="false">D19-C19</f>
        <v>-0.0429158054463161</v>
      </c>
      <c r="F19" s="22" t="str">
        <f aca="false">IF(ISNUMBER(D19)=FALSE(),"to check",IF(ABS(E19)&lt;=0.05,"reproduced",IF(ABS(E19)&lt;=0.05*3,"rounding","to check")))</f>
        <v>reproduced</v>
      </c>
    </row>
    <row r="20" customFormat="false" ht="15" hidden="false" customHeight="false" outlineLevel="0" collapsed="false">
      <c r="A20" s="22" t="s">
        <v>95</v>
      </c>
      <c r="B20" s="5" t="s">
        <v>108</v>
      </c>
      <c r="C20" s="24" t="n">
        <v>0.986</v>
      </c>
      <c r="D20" s="24" t="n">
        <f aca="false">Inversions!$C$5</f>
        <v>0.985660021386236</v>
      </c>
      <c r="E20" s="24" t="n">
        <f aca="false">D20-C20</f>
        <v>-0.000339978613764336</v>
      </c>
      <c r="F20" s="22" t="str">
        <f aca="false">IF(ISNUMBER(D20)=FALSE(),"to check",IF(ABS(E20)&lt;=0.0005,"reproduced",IF(ABS(E20)&lt;=0.0005*3,"rounding","to check")))</f>
        <v>reproduced</v>
      </c>
    </row>
    <row r="21" customFormat="false" ht="15" hidden="false" customHeight="false" outlineLevel="0" collapsed="false">
      <c r="A21" s="22" t="s">
        <v>95</v>
      </c>
      <c r="B21" s="5" t="s">
        <v>109</v>
      </c>
      <c r="C21" s="23" t="n">
        <v>1915</v>
      </c>
      <c r="D21" s="23" t="n">
        <f aca="false">Inversions!$C$6</f>
        <v>1914.7727039822</v>
      </c>
      <c r="E21" s="23" t="n">
        <f aca="false">D21-C21</f>
        <v>-0.227296017797016</v>
      </c>
      <c r="F21" s="22" t="str">
        <f aca="false">IF(ISNUMBER(D21)=FALSE(),"to check",IF(ABS(E21)&lt;=0.5,"reproduced",IF(ABS(E21)&lt;=0.5*3,"rounding","to check")))</f>
        <v>reproduced</v>
      </c>
    </row>
    <row r="22" customFormat="false" ht="15" hidden="false" customHeight="false" outlineLevel="0" collapsed="false">
      <c r="A22" s="22" t="s">
        <v>95</v>
      </c>
      <c r="B22" s="5" t="s">
        <v>110</v>
      </c>
      <c r="C22" s="25" t="n">
        <v>3.85</v>
      </c>
      <c r="D22" s="25" t="n">
        <f aca="false">Inversions!$C$8</f>
        <v>3.85313970204464</v>
      </c>
      <c r="E22" s="25" t="n">
        <f aca="false">D22-C22</f>
        <v>0.00313970204463887</v>
      </c>
      <c r="F22" s="22" t="str">
        <f aca="false">IF(ISNUMBER(D22)=FALSE(),"to check",IF(ABS(E22)&lt;=0.005,"reproduced",IF(ABS(E22)&lt;=0.005*3,"rounding","to check")))</f>
        <v>reproduced</v>
      </c>
    </row>
    <row r="23" customFormat="false" ht="15" hidden="false" customHeight="false" outlineLevel="0" collapsed="false">
      <c r="A23" s="22" t="s">
        <v>111</v>
      </c>
      <c r="B23" s="5" t="s">
        <v>112</v>
      </c>
      <c r="C23" s="27" t="n">
        <v>24.8</v>
      </c>
      <c r="D23" s="27" t="n">
        <f aca="false">Inversions!$C$9</f>
        <v>24.82719207</v>
      </c>
      <c r="E23" s="27" t="n">
        <f aca="false">D23-C23</f>
        <v>0.0271920699999981</v>
      </c>
      <c r="F23" s="22" t="str">
        <f aca="false">IF(ISNUMBER(D23)=FALSE(),"to check",IF(ABS(E23)&lt;=0.05,"reproduced",IF(ABS(E23)&lt;=0.05*3,"rounding","to check")))</f>
        <v>reproduced</v>
      </c>
      <c r="H23" s="16" t="s">
        <v>113</v>
      </c>
    </row>
    <row r="24" customFormat="false" ht="15" hidden="false" customHeight="false" outlineLevel="0" collapsed="false">
      <c r="A24" s="22" t="s">
        <v>114</v>
      </c>
      <c r="B24" s="5" t="s">
        <v>115</v>
      </c>
      <c r="C24" s="28" t="n">
        <v>1</v>
      </c>
      <c r="D24" s="28" t="n">
        <f aca="false">IF(Levers!$B$5&lt;Levers!$B$13,1,0)</f>
        <v>1</v>
      </c>
      <c r="E24" s="28" t="n">
        <f aca="false">D24-C24</f>
        <v>0</v>
      </c>
      <c r="F24" s="22" t="str">
        <f aca="false">IF(ISNUMBER(D24)=FALSE(),"to check",IF(ABS(E24)&lt;=0,"reproduced",IF(ABS(E24)&lt;=0*3,"rounding","to check")))</f>
        <v>reproduced</v>
      </c>
    </row>
    <row r="26" customFormat="false" ht="15" hidden="false" customHeight="false" outlineLevel="0" collapsed="false">
      <c r="A26" s="21" t="s">
        <v>116</v>
      </c>
      <c r="C26" s="21" t="n">
        <f aca="false">COUNTIF(F6:F24,"reproduced")</f>
        <v>19</v>
      </c>
    </row>
    <row r="27" customFormat="false" ht="15" hidden="false" customHeight="false" outlineLevel="0" collapsed="false">
      <c r="A27" s="21" t="s">
        <v>117</v>
      </c>
      <c r="C27" s="21" t="n">
        <f aca="false">COUNTIF(F6:F24,"rounding")</f>
        <v>0</v>
      </c>
    </row>
    <row r="28" customFormat="false" ht="15" hidden="false" customHeight="false" outlineLevel="0" collapsed="false">
      <c r="A28" s="21" t="s">
        <v>118</v>
      </c>
      <c r="C28" s="21" t="n">
        <f aca="false">COUNTIF(F6:F24,"to check")</f>
        <v>0</v>
      </c>
    </row>
    <row r="29" customFormat="false" ht="15" hidden="false" customHeight="false" outlineLevel="0" collapsed="false">
      <c r="A29" s="21" t="s">
        <v>119</v>
      </c>
      <c r="C29" s="21" t="str">
        <f aca="false">IF(C26=19,"ALL OK",C26&amp;" / 19 reproduced")</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2026-08-26T19:32:58Z</dcterms:created>
  <dc:creator>openpyxl</dc:creator>
  <dc:description/>
  <dc:language>en-US</dc:language>
  <cp:lastModifiedBy/>
  <dcterms:modified xsi:type="dcterms:W3CDTF">2026-09-23T23:45:29Z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