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Residents" sheetId="3" state="visible" r:id="rId5"/>
    <sheet name="Payor" sheetId="4" state="visible" r:id="rId6"/>
    <sheet name="Result" sheetId="5" state="visible" r:id="rId7"/>
    <sheet name="Trajectory" sheetId="6" state="visible" r:id="rId8"/>
    <sheet name="Occupancy" sheetId="7" state="visible" r:id="rId9"/>
    <sheet name="Embargo" sheetId="8" state="visible" r:id="rId10"/>
    <sheet name="Fill and Build" sheetId="9" state="visible" r:id="rId11"/>
    <sheet name="Checks"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<sst xmlns="http://schemas.openxmlformats.org/spreadsheetml/2006/main" count="520" uniqueCount="402">
  <si>
    <t xml:space="preserve">The Care Home Model</t>
  </si>
  <si>
    <t xml:space="preserve">Companion workbook to Senior Living and Healthcare Real Estate</t>
  </si>
  <si>
    <t xml:space="preserve">What this is</t>
  </si>
  <si>
    <t xml:space="preserve">The resident engine the whole book is computed from. A care home has no leases, so occupancy cannot be read off a schedule — it has to be built from admissions decaying against a hazard of leaving, with each cohort carrying its own funding source until the resident's capital runs out.</t>
  </si>
  <si>
    <t xml:space="preserve">Overwrite the inputs on sheet 2 and everything downstream moves: occupancy, the payor mix, the average fee, the staff cost, EBITDARM, the rent a cover ratio produces, and the value.</t>
  </si>
  <si>
    <t xml:space="preserve">How to use it</t>
  </si>
  <si>
    <t xml:space="preserve">Blue cells are yours. Everything else is a formula.</t>
  </si>
  <si>
    <t xml:space="preserve">Start with the three that decide most of the answer: admissions a month, the background hazard of leaving, and the self-funded share of admissions.</t>
  </si>
  <si>
    <t xml:space="preserve">The Checks sheet compares every headline figure in the book against what this workbook computes, and ends ALL OK. If a line ever reads "to check", the workbook is right.</t>
  </si>
  <si>
    <t xml:space="preserve">What it deliberately does not carry</t>
  </si>
  <si>
    <t xml:space="preserve">Capital expenditure beyond routine repairs. It is outside EBITDARM by convention and outside this model by choice — see Appendix D of the book.</t>
  </si>
  <si>
    <t xml:space="preserve">Corporation tax, and the treatment of the management charge between operating and holding company.</t>
  </si>
  <si>
    <t xml:space="preserve">The health-service funding route, whose incidence varies too widely by region for a single national assumption to mean anything.</t>
  </si>
  <si>
    <t xml:space="preserve">Revised 24 September 2026</t>
  </si>
  <si>
    <t xml:space="preserve">Trajectory: the self-funded share now counts the months of stay begun before each decile converts, as the Payor sheet does. The first version rounded the conversion month, so the lease did not even start at 1.80x (1.803) and ended at 1.975x; it now reproduces the book: 1.80x, 1.96x, a 26.8 per cent margin and a 33.6 per cent self-funded share at expiry.</t>
  </si>
  <si>
    <t xml:space="preserve">Embargo: rebuilt as a cohort engine. The first version decayed the whole population at the average stay and overstated the cost of six months of closed admissions by 96 per cent (£2.76 million against the book's £1.41 million); this one gives £1,410,050. It also shows that the trough comes the month admissions resume, not later.</t>
  </si>
  <si>
    <t xml:space="preserve">Two sheets added. Occupancy (Chapters 18 and 21): the break-even occupancy of 74.5 per cent, the lease covenant at 81.5, the owner-occupier's default at 89.2 and the debt a lender will lend. Fill and Build (Chapters 2 and 20): the fill curve from empty and the development cost sheet. The cash burned in the lease-up is £4,538 a bed and 1.8 per cent of the full cost, not the £41,103 and 16.6 per cent the first edition printed.</t>
  </si>
  <si>
    <t xml:space="preserve">The Checks sheet now holds sixty lines and ends ALL OK.</t>
  </si>
  <si>
    <t xml:space="preserve">Inputs</t>
  </si>
  <si>
    <t xml:space="preserve">Blue cells are yours. Every other sheet points here.</t>
  </si>
  <si>
    <t xml:space="preserve">Value</t>
  </si>
  <si>
    <t xml:space="preserve">Note</t>
  </si>
  <si>
    <t xml:space="preserve">The home</t>
  </si>
  <si>
    <t xml:space="preserve">Registered beds</t>
  </si>
  <si>
    <t xml:space="preserve">The registration, not the occupancy.</t>
  </si>
  <si>
    <t xml:space="preserve">Admissions a month</t>
  </si>
  <si>
    <t xml:space="preserve">The replacement flow — what it takes to hold a full home. Occupancy is an output of this and the hazard below.</t>
  </si>
  <si>
    <t xml:space="preserve">Admissions a month when beds are empty</t>
  </si>
  <si>
    <t xml:space="preserve">A home with twenty empty beds markets; a full home replaces. The flow declines linearly between the two.</t>
  </si>
  <si>
    <t xml:space="preserve">Leaving hazard — first month</t>
  </si>
  <si>
    <t xml:space="preserve">Admission follows a crisis. The first month carries three times the background risk and it is not a quality signal.</t>
  </si>
  <si>
    <t xml:space="preserve">Leaving hazard — months two and three</t>
  </si>
  <si>
    <t xml:space="preserve">Leaving hazard — thereafter</t>
  </si>
  <si>
    <t xml:space="preserve">This one sets the average length of stay, and therefore occupancy.</t>
  </si>
  <si>
    <t xml:space="preserve">Fees and payors</t>
  </si>
  <si>
    <t xml:space="preserve">Self-funded weekly fee</t>
  </si>
  <si>
    <t xml:space="preserve">Nursing bed.</t>
  </si>
  <si>
    <t xml:space="preserve">Local authority weekly rate</t>
  </si>
  <si>
    <t xml:space="preserve">Third-party top-up</t>
  </si>
  <si>
    <t xml:space="preserve">Family money. Not a fee, not indexed like one, and it stops.</t>
  </si>
  <si>
    <t xml:space="preserve">Share of council residents with a top-up</t>
  </si>
  <si>
    <t xml:space="preserve">Self-funded share of ADMISSIONS</t>
  </si>
  <si>
    <t xml:space="preserve">Not the share of beds. The Payor Mix sheet computes that, and it is lower.</t>
  </si>
  <si>
    <t xml:space="preserve">Upper capital limit</t>
  </si>
  <si>
    <t xml:space="preserve">Statutory. Below this the council takes over the placement.</t>
  </si>
  <si>
    <t xml:space="preserve">Resident's own weekly income</t>
  </si>
  <si>
    <t xml:space="preserve">State pension and attendance allowance, order of magnitude.</t>
  </si>
  <si>
    <t xml:space="preserve">Staff</t>
  </si>
  <si>
    <t xml:space="preserve">Care hours per resident per day</t>
  </si>
  <si>
    <t xml:space="preserve">Of which registered nurse</t>
  </si>
  <si>
    <t xml:space="preserve">Care assistant hourly rate</t>
  </si>
  <si>
    <t xml:space="preserve">Registered nurse hourly rate</t>
  </si>
  <si>
    <t xml:space="preserve">Contracted hours a week</t>
  </si>
  <si>
    <t xml:space="preserve">Annual leave, weeks</t>
  </si>
  <si>
    <t xml:space="preserve">28 statutory days.</t>
  </si>
  <si>
    <t xml:space="preserve">Sickness and training absence, weeks</t>
  </si>
  <si>
    <t xml:space="preserve">Heads per full-time equivalent</t>
  </si>
  <si>
    <t xml:space="preserve">Employer national insurance is charged per contract, not per equivalent.</t>
  </si>
  <si>
    <t xml:space="preserve">Employer national insurance rate</t>
  </si>
  <si>
    <t xml:space="preserve">Employer national insurance threshold</t>
  </si>
  <si>
    <t xml:space="preserve">Per head.</t>
  </si>
  <si>
    <t xml:space="preserve">Employment Allowance</t>
  </si>
  <si>
    <t xml:space="preserve">Set against the employer charge once, not per head.</t>
  </si>
  <si>
    <t xml:space="preserve">Pension rate</t>
  </si>
  <si>
    <t xml:space="preserve">Pension band starts at</t>
  </si>
  <si>
    <t xml:space="preserve">Pension enrolment trigger</t>
  </si>
  <si>
    <t xml:space="preserve">A contract below this is not automatically enrolled — which runs the OPPOSITE way to the national insurance threshold.</t>
  </si>
  <si>
    <t xml:space="preserve">Share who opt out</t>
  </si>
  <si>
    <t xml:space="preserve">Agency share of care hours</t>
  </si>
  <si>
    <t xml:space="preserve">Agency premium</t>
  </si>
  <si>
    <t xml:space="preserve">Multiple of the internal rate.</t>
  </si>
  <si>
    <t xml:space="preserve">Recruitment and training, share of gross pay</t>
  </si>
  <si>
    <t xml:space="preserve">Non-care staff, gross pay</t>
  </si>
  <si>
    <t xml:space="preserve">Quasi-fixed. It does not follow occupancy.</t>
  </si>
  <si>
    <t xml:space="preserve">Non-care staff, full-time equivalents</t>
  </si>
  <si>
    <t xml:space="preserve">Costs other than staff, per registered bed</t>
  </si>
  <si>
    <t xml:space="preserve">Property, utilities, rates, insurance</t>
  </si>
  <si>
    <t xml:space="preserve">Catering</t>
  </si>
  <si>
    <t xml:space="preserve">Consumables, supplies, systems, professional</t>
  </si>
  <si>
    <t xml:space="preserve">The lease and the value</t>
  </si>
  <si>
    <t xml:space="preserve">Management charge, share of revenue</t>
  </si>
  <si>
    <t xml:space="preserve">Required rent cover</t>
  </si>
  <si>
    <t xml:space="preserve">EBITDARM divided by rent.</t>
  </si>
  <si>
    <t xml:space="preserve">Trade multiple on EBITDARM</t>
  </si>
  <si>
    <t xml:space="preserve">Investment yield on the rent</t>
  </si>
  <si>
    <t xml:space="preserve">Cover x yield x multiple = 1. Any two fix the third.</t>
  </si>
  <si>
    <t xml:space="preserve">Lease term, years</t>
  </si>
  <si>
    <t xml:space="preserve">Growth rates a year — the least knowable numbers here</t>
  </si>
  <si>
    <t xml:space="preserve">Growth: self-funded fee</t>
  </si>
  <si>
    <t xml:space="preserve">Growth: local authority rate</t>
  </si>
  <si>
    <t xml:space="preserve">Structurally below wage growth. This is the number to argue about.</t>
  </si>
  <si>
    <t xml:space="preserve">Growth: third-party top-up</t>
  </si>
  <si>
    <t xml:space="preserve">Growth: wages</t>
  </si>
  <si>
    <t xml:space="preserve">Growth: other costs</t>
  </si>
  <si>
    <t xml:space="preserve">Growth: rent, after the collar</t>
  </si>
  <si>
    <t xml:space="preserve">Growth: capital residents arrive with</t>
  </si>
  <si>
    <t xml:space="preserve">Leave this at zero and the payor mix appears to collapse — but that is nominal accounting, not economics. House prices move.</t>
  </si>
  <si>
    <t xml:space="preserve">Growth: resident's own income</t>
  </si>
  <si>
    <t xml:space="preserve">When the regulator closes the door</t>
  </si>
  <si>
    <t xml:space="preserve">Months of embargo</t>
  </si>
  <si>
    <t xml:space="preserve">Set to zero for no event. Nothing else changes: no fee, no wage, no cost.</t>
  </si>
  <si>
    <t xml:space="preserve">Admissions during recovery, share of normal</t>
  </si>
  <si>
    <t xml:space="preserve">Months of slowed recovery</t>
  </si>
  <si>
    <t xml:space="preserve">Remediation cost</t>
  </si>
  <si>
    <t xml:space="preserve">Calendar constants — these are definitions, not choices</t>
  </si>
  <si>
    <t xml:space="preserve">Days in a year</t>
  </si>
  <si>
    <t xml:space="preserve">Weeks in a year</t>
  </si>
  <si>
    <t xml:space="preserve">Weeks in a month</t>
  </si>
  <si>
    <t xml:space="preserve">A year is 52.1786 weeks, not 52. On this home the difference is 16883 a year of revenue.</t>
  </si>
  <si>
    <t xml:space="preserve">The covenant, the debt and the new-build — added in the revision (Chapters 18, 20 and 21)</t>
  </si>
  <si>
    <t xml:space="preserve">Lease covenant: cover below which the lease is breached</t>
  </si>
  <si>
    <t xml:space="preserve">A lease SIZED at 1.80x carries a covenant around 1.50x.</t>
  </si>
  <si>
    <t xml:space="preserve">Maximum loan to value</t>
  </si>
  <si>
    <t xml:space="preserve">Required interest cover</t>
  </si>
  <si>
    <t xml:space="preserve">Debt rate</t>
  </si>
  <si>
    <t xml:space="preserve">Amortisation, a year</t>
  </si>
  <si>
    <t xml:space="preserve">Land per bed</t>
  </si>
  <si>
    <t xml:space="preserve">Midlands.</t>
  </si>
  <si>
    <t xml:space="preserve">Construction per bed</t>
  </si>
  <si>
    <t xml:space="preserve">Furniture, fittings and equipment per bed</t>
  </si>
  <si>
    <t xml:space="preserve">Professional fees, share of construction</t>
  </si>
  <si>
    <t xml:space="preserve">Planning and statutory contributions per bed</t>
  </si>
  <si>
    <t xml:space="preserve">Irrecoverable VAT on fees, equipment and contributions</t>
  </si>
  <si>
    <t xml:space="preserve">Stamp duty on the land, flat rate</t>
  </si>
  <si>
    <t xml:space="preserve">The book applies one rate to the land price.</t>
  </si>
  <si>
    <t xml:space="preserve">Contingency</t>
  </si>
  <si>
    <t xml:space="preserve">Build programme, months</t>
  </si>
  <si>
    <t xml:space="preserve">Development finance, share of cost</t>
  </si>
  <si>
    <t xml:space="preserve">Development finance rate</t>
  </si>
  <si>
    <t xml:space="preserve">South East: land per bed</t>
  </si>
  <si>
    <t xml:space="preserve">South East: construction per bed</t>
  </si>
  <si>
    <t xml:space="preserve">The resident engine</t>
  </si>
  <si>
    <t xml:space="preserve">Survival by month of stay, the conversion of self-funders, and the occupancy the admission flow can hold. Nothing here is typed in.</t>
  </si>
  <si>
    <t xml:space="preserve">Month</t>
  </si>
  <si>
    <t xml:space="preserve">Hazard</t>
  </si>
  <si>
    <t xml:space="preserve">Surviving</t>
  </si>
  <si>
    <t xml:space="preserve">Left by now</t>
  </si>
  <si>
    <t xml:space="preserve">Still self-funding</t>
  </si>
  <si>
    <t xml:space="preserve">Occupied beds</t>
  </si>
  <si>
    <t xml:space="preserve">Self-funded beds</t>
  </si>
  <si>
    <t xml:space="preserve">Council beds</t>
  </si>
  <si>
    <t xml:space="preserve">Cumulative survival</t>
  </si>
  <si>
    <t xml:space="preserve">Totals</t>
  </si>
  <si>
    <t xml:space="preserve">Average length of stay, months</t>
  </si>
  <si>
    <t xml:space="preserve">Occupied beds — admissions x length of stay</t>
  </si>
  <si>
    <t xml:space="preserve">Occupancy</t>
  </si>
  <si>
    <t xml:space="preserve">Council-funded beds</t>
  </si>
  <si>
    <t xml:space="preserve">Self-funded share of BEDS</t>
  </si>
  <si>
    <t xml:space="preserve">Erosion between the two</t>
  </si>
  <si>
    <t xml:space="preserve">Resident turnover a year</t>
  </si>
  <si>
    <t xml:space="preserve">The share of beds is ALWAYS below the share of admissions. A council-funded resident never becomes a self-funder.</t>
  </si>
  <si>
    <t xml:space="preserve">The conversion of self-funders</t>
  </si>
  <si>
    <t xml:space="preserve">A self-funding resident pays until her assessable capital falls below the statutory limit. The month she crosses it is arithmetic; whether she lives to cross it is not.</t>
  </si>
  <si>
    <t xml:space="preserve">Monthly drawdown</t>
  </si>
  <si>
    <t xml:space="preserve">Decile</t>
  </si>
  <si>
    <t xml:space="preserve">Capital on admission</t>
  </si>
  <si>
    <t xml:space="preserve">Months to conversion</t>
  </si>
  <si>
    <t xml:space="preserve">Share still self-funding, by month of stay — read across to the Residents sheet</t>
  </si>
  <si>
    <t xml:space="preserve">Share still self-funding</t>
  </si>
  <si>
    <t xml:space="preserve">The profit and loss</t>
  </si>
  <si>
    <t xml:space="preserve">Built from hours and residents, not from percentages.</t>
  </si>
  <si>
    <t xml:space="preserve">REVENUE</t>
  </si>
  <si>
    <t xml:space="preserve">Average weekly fee collected</t>
  </si>
  <si>
    <t xml:space="preserve">Weighted by OCCUPIED BED, not by admission.</t>
  </si>
  <si>
    <t xml:space="preserve">Revenue</t>
  </si>
  <si>
    <t xml:space="preserve">52.1786 weeks in a year, not 52.</t>
  </si>
  <si>
    <t xml:space="preserve">STAFF</t>
  </si>
  <si>
    <t xml:space="preserve">Care hours a year</t>
  </si>
  <si>
    <t xml:space="preserve">Per RESIDENT, not per registered bed.</t>
  </si>
  <si>
    <t xml:space="preserve">Productive hours per full-time equivalent</t>
  </si>
  <si>
    <t xml:space="preserve">The roster is bigger than the rota: leave and absence have to be covered by somebody who is also paid.</t>
  </si>
  <si>
    <t xml:space="preserve">Care full-time equivalents</t>
  </si>
  <si>
    <t xml:space="preserve">Care staff gross pay</t>
  </si>
  <si>
    <t xml:space="preserve">Contracted hours, not hours delivered. The difference is paid leave, and somebody covers the shift.</t>
  </si>
  <si>
    <t xml:space="preserve">Non-care staff gross pay</t>
  </si>
  <si>
    <t xml:space="preserve">Gross pay</t>
  </si>
  <si>
    <t xml:space="preserve">Heads employed</t>
  </si>
  <si>
    <t xml:space="preserve">Employer costs are charged per CONTRACT, so this is the denominator.</t>
  </si>
  <si>
    <t xml:space="preserve">Employer national insurance and pension</t>
  </si>
  <si>
    <t xml:space="preserve">Per head above the thresholds, pension only where the contract clears the enrolment trigger, Employment Allowance deducted once.</t>
  </si>
  <si>
    <t xml:space="preserve">Agency</t>
  </si>
  <si>
    <t xml:space="preserve">Invoiced gross. No employer costs on top.</t>
  </si>
  <si>
    <t xml:space="preserve">Recruitment, training and related</t>
  </si>
  <si>
    <t xml:space="preserve">Total staff cost</t>
  </si>
  <si>
    <t xml:space="preserve">Staff as a share of revenue</t>
  </si>
  <si>
    <t xml:space="preserve">COSTS OTHER THAN STAFF</t>
  </si>
  <si>
    <t xml:space="preserve">Per REGISTERED bed. An empty room is still heated, rated and insured.</t>
  </si>
  <si>
    <t xml:space="preserve">RESULT</t>
  </si>
  <si>
    <t xml:space="preserve">EBITDARM</t>
  </si>
  <si>
    <t xml:space="preserve">Before rent AND before management charge.</t>
  </si>
  <si>
    <t xml:space="preserve">EBITDARM margin</t>
  </si>
  <si>
    <t xml:space="preserve">Management charge</t>
  </si>
  <si>
    <t xml:space="preserve">EBITDAR</t>
  </si>
  <si>
    <t xml:space="preserve">Rent</t>
  </si>
  <si>
    <t xml:space="preserve">The rent is an OUTPUT of the cover, not an input.</t>
  </si>
  <si>
    <t xml:space="preserve">EBITDA, what the operator retains</t>
  </si>
  <si>
    <t xml:space="preserve">Rent cover on EBITDARM</t>
  </si>
  <si>
    <t xml:space="preserve">The lender's test.</t>
  </si>
  <si>
    <t xml:space="preserve">Rent cover on EBITDAR</t>
  </si>
  <si>
    <t xml:space="preserve">What the operator actually has to pay it out of.</t>
  </si>
  <si>
    <t xml:space="preserve">VALUE</t>
  </si>
  <si>
    <t xml:space="preserve">Value on the trade</t>
  </si>
  <si>
    <t xml:space="preserve">Value on the lease</t>
  </si>
  <si>
    <t xml:space="preserve">Implied cover — cover x yield x multiple = 1</t>
  </si>
  <si>
    <t xml:space="preserve">If this differs from the required cover, the two values differ — and the difference goes to somebody.</t>
  </si>
  <si>
    <t xml:space="preserve">Difference between the two values</t>
  </si>
  <si>
    <t xml:space="preserve">Value per bed</t>
  </si>
  <si>
    <t xml:space="preserve">Twenty-five years</t>
  </si>
  <si>
    <t xml:space="preserve">The rent index is slower than everything else, so the cover RISES while the margin falls. A cover covenant cannot see that, and it is the whole point.</t>
  </si>
  <si>
    <t xml:space="preserve">Columns L to U hold the conversion month of each capital decile in each year. Column K counts, for each decile, the months of stay begun before conversion — the Payor sheet's rule — weighted by survival.</t>
  </si>
  <si>
    <t xml:space="preserve">Year</t>
  </si>
  <si>
    <t xml:space="preserve">Other costs</t>
  </si>
  <si>
    <t xml:space="preserve">Margin</t>
  </si>
  <si>
    <t xml:space="preserve">Cover</t>
  </si>
  <si>
    <t xml:space="preserve">Operator retains</t>
  </si>
  <si>
    <t xml:space="preserve">What the twenty-five years do</t>
  </si>
  <si>
    <t xml:space="preserve">Cover at signature</t>
  </si>
  <si>
    <t xml:space="preserve">Cover at expiry</t>
  </si>
  <si>
    <t xml:space="preserve">Margin at signature</t>
  </si>
  <si>
    <t xml:space="preserve">Margin at expiry</t>
  </si>
  <si>
    <t xml:space="preserve">Margin erosion, in points</t>
  </si>
  <si>
    <t xml:space="preserve">Self-funded share at signature</t>
  </si>
  <si>
    <t xml:space="preserve">Self-funded share at expiry</t>
  </si>
  <si>
    <t xml:space="preserve">Move the local authority growth rate down half a point and watch the margin column, not the cover column.</t>
  </si>
  <si>
    <t xml:space="preserve">Occupancy, the covenant and the debt</t>
  </si>
  <si>
    <t xml:space="preserve">Chapters 18 and 21. EBITDARM is linear in occupied beds in this model — care hours, pay, agency and employer costs all follow residents, everything else does not — so every threshold below is solved exactly, not searched for.</t>
  </si>
  <si>
    <t xml:space="preserve">Per occupied bed, a year, at the margin</t>
  </si>
  <si>
    <t xml:space="preserve">Revenue per occupied bed</t>
  </si>
  <si>
    <t xml:space="preserve">Heads employed on care</t>
  </si>
  <si>
    <t xml:space="preserve">EBITDARM per occupied bed, at the margin</t>
  </si>
  <si>
    <t xml:space="preserve">Catering, property and consumables are per REGISTERED bed (Chapter 10): they do not move.</t>
  </si>
  <si>
    <t xml:space="preserve">EBITDAR per occupied bed, at the margin</t>
  </si>
  <si>
    <t xml:space="preserve">One point of occupancy</t>
  </si>
  <si>
    <t xml:space="preserve">Beds in one point</t>
  </si>
  <si>
    <t xml:space="preserve">Elasticity: per cent of EBITDARM for one per cent of occupancy</t>
  </si>
  <si>
    <t xml:space="preserve">Three occupancies that matter more than the current one</t>
  </si>
  <si>
    <t xml:space="preserve">Headroom, points</t>
  </si>
  <si>
    <t xml:space="preserve">Today</t>
  </si>
  <si>
    <t xml:space="preserve">Operator's break-even after rent and management charge</t>
  </si>
  <si>
    <t xml:space="preserve">the leased operator loses money below this</t>
  </si>
  <si>
    <t xml:space="preserve">Lease covenant breached below</t>
  </si>
  <si>
    <t xml:space="preserve">the covenant, not the 1.80x sizing cover</t>
  </si>
  <si>
    <t xml:space="preserve">Owner-occupier's facility in default below (interest cover)</t>
  </si>
  <si>
    <t xml:space="preserve">a different capital structure: an owner with the debt below, not a tenant</t>
  </si>
  <si>
    <t xml:space="preserve">EBITDARM at the covenant occupancy</t>
  </si>
  <si>
    <t xml:space="preserve">EBITDARM at the default occupancy</t>
  </si>
  <si>
    <t xml:space="preserve">What a lender will lend — Chapter 21</t>
  </si>
  <si>
    <t xml:space="preserve">Limited by loan to value</t>
  </si>
  <si>
    <t xml:space="preserve">Limited by interest cover, on EBITDAR</t>
  </si>
  <si>
    <t xml:space="preserve">The binding limit</t>
  </si>
  <si>
    <t xml:space="preserve">Which binds</t>
  </si>
  <si>
    <t xml:space="preserve">Annual debt service, interest plus amortisation</t>
  </si>
  <si>
    <t xml:space="preserve">Debt service cover</t>
  </si>
  <si>
    <t xml:space="preserve">Interest cover at the binding debt — against the covenant of row 83 of the inputs</t>
  </si>
  <si>
    <t xml:space="preserve">The tenant's capacity after a sale and leaseback, on EBITDA after rent</t>
  </si>
  <si>
    <t xml:space="preserve">…as a share of the owner-operator's</t>
  </si>
  <si>
    <t xml:space="preserve">The home at other occupancies — the rent does not move</t>
  </si>
  <si>
    <t xml:space="preserve">Admissions stop; nothing else changes. The population is carried by months of stay: month 0, 1, 2, then 3 and over, where the hazard is constant, so four columns hold the whole age structure. Set the months of embargo to zero on the Inputs sheet for the control case: the cost is then the remediation alone.</t>
  </si>
  <si>
    <t xml:space="preserve">Length of stay, the survival tail closed after month three</t>
  </si>
  <si>
    <t xml:space="preserve">The damage</t>
  </si>
  <si>
    <t xml:space="preserve">Starting occupied beds: the flow's own steady state</t>
  </si>
  <si>
    <t xml:space="preserve">Lowest occupancy reached</t>
  </si>
  <si>
    <t xml:space="preserve">Occupancy the flow aims at, before the month's admissions</t>
  </si>
  <si>
    <t xml:space="preserve">Month of the trough</t>
  </si>
  <si>
    <t xml:space="preserve">EBITDARM at that steady state</t>
  </si>
  <si>
    <t xml:space="preserve">…months after admissions resume</t>
  </si>
  <si>
    <t xml:space="preserve">The Residents sheet stops the survival sum at month 180; closing the tail here puts the start 0.04 beds higher, and the cost below is measured from this sheet's own steady state.</t>
  </si>
  <si>
    <t xml:space="preserve">Years from the lifting to 99% of the old occupancy</t>
  </si>
  <si>
    <t xml:space="preserve">EBITDARM foregone, cumulative, ten years</t>
  </si>
  <si>
    <t xml:space="preserve">Admitting</t>
  </si>
  <si>
    <t xml:space="preserve">Month 0</t>
  </si>
  <si>
    <t xml:space="preserve">Month 1</t>
  </si>
  <si>
    <t xml:space="preserve">Month 2</t>
  </si>
  <si>
    <t xml:space="preserve">Month 3+</t>
  </si>
  <si>
    <t xml:space="preserve">Occupied</t>
  </si>
  <si>
    <t xml:space="preserve">EBITDARM, annualised</t>
  </si>
  <si>
    <t xml:space="preserve">Foregone in the month</t>
  </si>
  <si>
    <t xml:space="preserve">Still to spend from the trough</t>
  </si>
  <si>
    <t xml:space="preserve">Back at 99%</t>
  </si>
  <si>
    <t xml:space="preserve">Remediation</t>
  </si>
  <si>
    <t xml:space="preserve">Total cost</t>
  </si>
  <si>
    <t xml:space="preserve">As a multiple of a year's EBITDARM</t>
  </si>
  <si>
    <t xml:space="preserve">Value destroyed at the trough: what remains to be spent getting back</t>
  </si>
  <si>
    <t xml:space="preserve">Value at the trough</t>
  </si>
  <si>
    <t xml:space="preserve">The book's cohort engine, six months (the book's own inputs)</t>
  </si>
  <si>
    <t xml:space="preserve">This sheet against it</t>
  </si>
  <si>
    <t xml:space="preserve">The trough comes the month admissions resume. It does not come later, and the home does not recover from it at once: for nine months admissions run at 70 per cent of normal, which only just replaces the residents who leave, and occupancy barely moves (69.6 to 71.3 per cent). The first version of this sheet decayed the whole population at the average stay and overstated the cost by 96 per cent.</t>
  </si>
  <si>
    <t xml:space="preserve">Filling a new home, and building one</t>
  </si>
  <si>
    <t xml:space="preserve">Chapters 2 and 20. A new home opens empty. The admission flow starts at the rate an empty home can market for (input row 9) and tapers to the flow that holds it full; residents admitted leave at the same hazard as everyone else.</t>
  </si>
  <si>
    <t xml:space="preserve">The fill</t>
  </si>
  <si>
    <t xml:space="preserve">Stabilised EBITDARM, a month</t>
  </si>
  <si>
    <t xml:space="preserve">Months to reach 70 per cent</t>
  </si>
  <si>
    <t xml:space="preserve">Months to reach 80 per cent</t>
  </si>
  <si>
    <t xml:space="preserve">EBITDARM, month</t>
  </si>
  <si>
    <t xml:space="preserve">Cash burned</t>
  </si>
  <si>
    <t xml:space="preserve">Foregone EBITDARM</t>
  </si>
  <si>
    <t xml:space="preserve">Months to reach 85 per cent</t>
  </si>
  <si>
    <t xml:space="preserve">Operator's break-even occupancy (Occupancy sheet)</t>
  </si>
  <si>
    <t xml:space="preserve">Months to reach it: the development finance stays drawn until then</t>
  </si>
  <si>
    <t xml:space="preserve">Months trading at a loss</t>
  </si>
  <si>
    <t xml:space="preserve">Cash burned while trading at a loss</t>
  </si>
  <si>
    <t xml:space="preserve">Months below stabilisation</t>
  </si>
  <si>
    <t xml:space="preserve">EBITDARM foregone against opening full — a measure of the wait, not a cost</t>
  </si>
  <si>
    <t xml:space="preserve">…times the cash burned</t>
  </si>
  <si>
    <t xml:space="preserve">The cost sheet</t>
  </si>
  <si>
    <t xml:space="preserve">Midlands</t>
  </si>
  <si>
    <t xml:space="preserve">South East</t>
  </si>
  <si>
    <t xml:space="preserve">Land</t>
  </si>
  <si>
    <t xml:space="preserve">Stamp duty on the land</t>
  </si>
  <si>
    <t xml:space="preserve">Construction</t>
  </si>
  <si>
    <t xml:space="preserve">Furniture, fittings and equipment</t>
  </si>
  <si>
    <t xml:space="preserve">Professional fees</t>
  </si>
  <si>
    <t xml:space="preserve">Planning and statutory contributions</t>
  </si>
  <si>
    <t xml:space="preserve">Cost before finance</t>
  </si>
  <si>
    <t xml:space="preserve">Finance during the build, on the drawn balance</t>
  </si>
  <si>
    <t xml:space="preserve">Finance while the home fills to break-even</t>
  </si>
  <si>
    <t xml:space="preserve">Finance during construction</t>
  </si>
  <si>
    <t xml:space="preserve">Total build cost</t>
  </si>
  <si>
    <t xml:space="preserve">…per bed</t>
  </si>
  <si>
    <t xml:space="preserve">Full cost</t>
  </si>
  <si>
    <t xml:space="preserve">Cash burned as a share of the full cost</t>
  </si>
  <si>
    <t xml:space="preserve">EBITDARM foregone as a share of the full cost — not added: the finance already carries the wait</t>
  </si>
  <si>
    <t xml:space="preserve">Yield on cost</t>
  </si>
  <si>
    <t xml:space="preserve">Exit value at the trade multiple</t>
  </si>
  <si>
    <t xml:space="preserve">Profit</t>
  </si>
  <si>
    <t xml:space="preserve">Profit on cost</t>
  </si>
  <si>
    <t xml:space="preserve">Yield on cost less the exit yield (one over the multiple)</t>
  </si>
  <si>
    <t xml:space="preserve">Finance if the interest clock stops at completion</t>
  </si>
  <si>
    <t xml:space="preserve">The whole-facility shortcut: the rate on the full facility for the whole build</t>
  </si>
  <si>
    <t xml:space="preserve">A home that is still filling</t>
  </si>
  <si>
    <t xml:space="preserve">The naive value</t>
  </si>
  <si>
    <t xml:space="preserve">Still to be spent</t>
  </si>
  <si>
    <t xml:space="preserve">The value</t>
  </si>
  <si>
    <t xml:space="preserve">Checks — every figure the book prints, against what this workbook computes</t>
  </si>
  <si>
    <t xml:space="preserve">Senior Living and Healthcare Real Estate</t>
  </si>
  <si>
    <t xml:space="preserve">Column D is a live formula pointing into the model, not a re-typed number. Change an input and this sheet moves with it. Lines marked "revised" carry the corrected figure; the note in column H gives the one the first edition printed.</t>
  </si>
  <si>
    <t xml:space="preserve">Source</t>
  </si>
  <si>
    <t xml:space="preserve">Figure as the book prints it</t>
  </si>
  <si>
    <t xml:space="preserve">Printed</t>
  </si>
  <si>
    <t xml:space="preserve">Computed</t>
  </si>
  <si>
    <t xml:space="preserve">Variance</t>
  </si>
  <si>
    <t xml:space="preserve">Status</t>
  </si>
  <si>
    <t xml:space="preserve">How the tolerances are set</t>
  </si>
  <si>
    <t xml:space="preserve">Ch. 2</t>
  </si>
  <si>
    <t xml:space="preserve">The tolerance on each line is the ROUNDING of the figure as the book prints it — half a pound on a figure printed to the pound. The embargo sheet closes the survival tail that the Residents sheet stops at month 180 and measures the cost from its own steady state: it comes within £60 of the book's £1,410,102, which is why that line carries a £100 tolerance. A line marked 'to check' means the two genuinely disagree, and the workbook is the one to believe.</t>
  </si>
  <si>
    <t xml:space="preserve">Ch. 5</t>
  </si>
  <si>
    <t xml:space="preserve">Self-funded share of occupied beds</t>
  </si>
  <si>
    <t xml:space="preserve">Ch. 6</t>
  </si>
  <si>
    <t xml:space="preserve">Ch. 7</t>
  </si>
  <si>
    <t xml:space="preserve">Ch. 8</t>
  </si>
  <si>
    <t xml:space="preserve">Ch. 9</t>
  </si>
  <si>
    <t xml:space="preserve">Ch. 10</t>
  </si>
  <si>
    <t xml:space="preserve">Ch. 11</t>
  </si>
  <si>
    <t xml:space="preserve">Ch. 13</t>
  </si>
  <si>
    <t xml:space="preserve">Ch. 14</t>
  </si>
  <si>
    <t xml:space="preserve">Implied cover</t>
  </si>
  <si>
    <t xml:space="preserve">Ch. 22</t>
  </si>
  <si>
    <t xml:space="preserve">Ch. 16</t>
  </si>
  <si>
    <t xml:space="preserve">the first version of the Trajectory sheet gave 1.803: it rounded the conversion month instead of counting months begun</t>
  </si>
  <si>
    <t xml:space="preserve">the first version gave 1.975</t>
  </si>
  <si>
    <t xml:space="preserve">the first version gave 27.0 per cent</t>
  </si>
  <si>
    <t xml:space="preserve">the first version gave 34.1 per cent</t>
  </si>
  <si>
    <t xml:space="preserve">Operator retains at expiry</t>
  </si>
  <si>
    <t xml:space="preserve">Months for a new home to reach 80 per cent occupancy</t>
  </si>
  <si>
    <t xml:space="preserve">Occupancy of a new home at month 18</t>
  </si>
  <si>
    <t xml:space="preserve">Ch. 18</t>
  </si>
  <si>
    <t xml:space="preserve">EBITDARM per point of occupancy</t>
  </si>
  <si>
    <t xml:space="preserve">Elasticity of EBITDARM to occupancy</t>
  </si>
  <si>
    <t xml:space="preserve">Operator's break-even occupancy after rent</t>
  </si>
  <si>
    <t xml:space="preserve">Occupancy below which the 1.50x lease covenant breaks</t>
  </si>
  <si>
    <t xml:space="preserve">Ch. 21</t>
  </si>
  <si>
    <t xml:space="preserve">Binding debt</t>
  </si>
  <si>
    <t xml:space="preserve">Occupancy at which the owner-occupier's facility defaults on its 1.75x interest cover</t>
  </si>
  <si>
    <t xml:space="preserve">Ch. 18, revised</t>
  </si>
  <si>
    <t xml:space="preserve">EBITDARM at that default occupancy</t>
  </si>
  <si>
    <t xml:space="preserve">Chapter 18 printed this as the point at which the LEASE is breached; the lease covenant breaks at 81.5 per cent</t>
  </si>
  <si>
    <t xml:space="preserve">The tenant's borrowing capacity after a sale and leaseback</t>
  </si>
  <si>
    <t xml:space="preserve">Ch. 19</t>
  </si>
  <si>
    <t xml:space="preserve">Lowest occupancy in a six-month embargo</t>
  </si>
  <si>
    <t xml:space="preserve">Years from the lifting back to the old occupancy</t>
  </si>
  <si>
    <t xml:space="preserve">Total cost of the embargo</t>
  </si>
  <si>
    <t xml:space="preserve">Value destroyed at the trough (printed as £1.1 million)</t>
  </si>
  <si>
    <t xml:space="preserve">Ch. 20</t>
  </si>
  <si>
    <t xml:space="preserve">Ch. 20, revised</t>
  </si>
  <si>
    <t xml:space="preserve">Cash burned per bed</t>
  </si>
  <si>
    <t xml:space="preserve">the first edition printed £41,103 per bed: that is the foregone EBITDARM per bed</t>
  </si>
  <si>
    <t xml:space="preserve">the first edition printed 16.6 per cent: that is the foregone EBITDARM as a share</t>
  </si>
  <si>
    <t xml:space="preserve">EBITDARM foregone during the lease-up</t>
  </si>
  <si>
    <t xml:space="preserve">Profit on cost, Midlands</t>
  </si>
  <si>
    <t xml:space="preserve">Profit on cost, South East</t>
  </si>
  <si>
    <t xml:space="preserve">the first edition printed £1,425,962, which is the whole-facility shortcut of row 43</t>
  </si>
  <si>
    <t xml:space="preserve">Value of the filling home at month 12</t>
  </si>
  <si>
    <t xml:space="preserve">Identity</t>
  </si>
  <si>
    <t xml:space="preserve">Occupied beds less admissions times length of stay (capped at the beds)</t>
  </si>
  <si>
    <t xml:space="preserve">Cover x yield x multiple at the implied cover, less one</t>
  </si>
  <si>
    <t xml:space="preserve">Cover on EBITDARM less cover on EBITDAR, less management charge over rent</t>
  </si>
  <si>
    <t xml:space="preserve">Trajectory, first year: revenue less the profit and loss revenue</t>
  </si>
  <si>
    <t xml:space="preserve">At the break-even occupancy the operator's residual after rent is zero</t>
  </si>
  <si>
    <t xml:space="preserve">Lines reproduced within the book's own printed precision</t>
  </si>
  <si>
    <t xml:space="preserve">Lines differing only by the book's rounding of an intermediate</t>
  </si>
  <si>
    <t xml:space="preserve">Lines to check</t>
  </si>
  <si>
    <t xml:space="preserve">All checks</t>
  </si>
</sst>
</file>

<file path=xl/styles.xml><?xml version="1.0" encoding="utf-8"?>
<styleSheet xmlns="http://schemas.openxmlformats.org/spreadsheetml/2006/main">
  <numFmts count="13">
    <numFmt numFmtId="164" formatCode="General"/>
    <numFmt numFmtId="165" formatCode="#,##0"/>
    <numFmt numFmtId="166" formatCode="0.00"/>
    <numFmt numFmtId="167" formatCode="0.00%"/>
    <numFmt numFmtId="168" formatCode="\£#,##0"/>
    <numFmt numFmtId="169" formatCode="0.0%"/>
    <numFmt numFmtId="170" formatCode="\£#,##0.00"/>
    <numFmt numFmtId="171" formatCode="0.0"/>
    <numFmt numFmtId="172" formatCode="0.0000"/>
    <numFmt numFmtId="173" formatCode="0.00\x"/>
    <numFmt numFmtId="174" formatCode="0%"/>
    <numFmt numFmtId="175" formatCode="0"/>
    <numFmt numFmtId="176" formatCode="0.000"/>
  </numFmts>
  <fonts count="12">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sz val="11"/>
      <name val="Calibri"/>
      <family val="0"/>
      <charset val="1"/>
    </font>
    <font>
      <b val="true"/>
      <sz val="13"/>
      <color rgb="FF1F3864"/>
      <name val="Cambria"/>
      <family val="0"/>
      <charset val="1"/>
    </font>
    <font>
      <b val="true"/>
      <sz val="11"/>
      <name val="Cambria"/>
      <family val="0"/>
      <charset val="1"/>
    </font>
    <font>
      <sz val="11"/>
      <color rgb="FF1F4E79"/>
      <name val="Cambria"/>
      <family val="0"/>
      <charset val="1"/>
    </font>
    <font>
      <b val="true"/>
      <sz val="11"/>
      <name val="Calibri"/>
      <family val="0"/>
      <charset val="1"/>
    </font>
  </fonts>
  <fills count="3">
    <fill>
      <patternFill patternType="none"/>
    </fill>
    <fill>
      <patternFill patternType="gray125"/>
    </fill>
    <fill>
      <patternFill patternType="solid">
        <fgColor rgb="FFDCE9F7"/>
        <bgColor rgb="FFCCFFFF"/>
      </patternFill>
    </fill>
  </fills>
  <borders count="2">
    <border diagonalUp="false" diagonalDown="false">
      <left/>
      <right/>
      <top/>
      <bottom/>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9" fillId="0" borderId="1" xfId="0" applyFont="true" applyBorder="true" applyAlignment="true" applyProtection="false">
      <alignment horizontal="general" vertical="bottom" textRotation="0" wrapText="true" indent="0" shrinkToFit="false"/>
      <protection locked="true" hidden="false"/>
    </xf>
    <xf numFmtId="165" fontId="10" fillId="2" borderId="0" xfId="0" applyFont="true" applyBorder="false" applyAlignment="false" applyProtection="false">
      <alignment horizontal="general" vertical="bottom" textRotation="0" wrapText="false" indent="0" shrinkToFit="false"/>
      <protection locked="true" hidden="false"/>
    </xf>
    <xf numFmtId="166" fontId="10" fillId="2" borderId="0" xfId="0" applyFont="true" applyBorder="false" applyAlignment="false" applyProtection="false">
      <alignment horizontal="general" vertical="bottom" textRotation="0" wrapText="false" indent="0" shrinkToFit="false"/>
      <protection locked="true" hidden="false"/>
    </xf>
    <xf numFmtId="167" fontId="10" fillId="2" borderId="0" xfId="0" applyFont="true" applyBorder="false" applyAlignment="false" applyProtection="false">
      <alignment horizontal="general" vertical="bottom" textRotation="0" wrapText="false" indent="0" shrinkToFit="false"/>
      <protection locked="true" hidden="false"/>
    </xf>
    <xf numFmtId="168" fontId="10" fillId="2" borderId="0" xfId="0" applyFont="true" applyBorder="false" applyAlignment="false" applyProtection="false">
      <alignment horizontal="general" vertical="bottom" textRotation="0" wrapText="false" indent="0" shrinkToFit="false"/>
      <protection locked="true" hidden="false"/>
    </xf>
    <xf numFmtId="169" fontId="10" fillId="2" borderId="0" xfId="0" applyFont="true" applyBorder="false" applyAlignment="false" applyProtection="false">
      <alignment horizontal="general" vertical="bottom" textRotation="0" wrapText="false" indent="0" shrinkToFit="false"/>
      <protection locked="true" hidden="false"/>
    </xf>
    <xf numFmtId="170" fontId="10" fillId="2" borderId="0" xfId="0" applyFont="true" applyBorder="false" applyAlignment="false" applyProtection="false">
      <alignment horizontal="general" vertical="bottom" textRotation="0" wrapText="false" indent="0" shrinkToFit="false"/>
      <protection locked="true" hidden="false"/>
    </xf>
    <xf numFmtId="171" fontId="10" fillId="2"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73" fontId="10" fillId="2" borderId="0" xfId="0" applyFont="true" applyBorder="false" applyAlignment="false" applyProtection="false">
      <alignment horizontal="general" vertical="bottom" textRotation="0" wrapText="false" indent="0" shrinkToFit="false"/>
      <protection locked="true" hidden="false"/>
    </xf>
    <xf numFmtId="174" fontId="10" fillId="2" borderId="0" xfId="0" applyFont="true" applyBorder="false" applyAlignment="false" applyProtection="false">
      <alignment horizontal="general" vertical="bottom" textRotation="0" wrapText="false" indent="0" shrinkToFit="false"/>
      <protection locked="true" hidden="false"/>
    </xf>
    <xf numFmtId="175" fontId="10" fillId="2"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9" fontId="11"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9" hidden="false" customHeight="true" outlineLevel="0" collapsed="false">
      <c r="A5" s="4" t="s">
        <v>3</v>
      </c>
    </row>
    <row r="6" customFormat="false" ht="25.5" hidden="false" customHeight="true" outlineLevel="0" collapsed="false">
      <c r="A6" s="4" t="s">
        <v>4</v>
      </c>
    </row>
    <row r="8" customFormat="false" ht="15" hidden="false" customHeight="false" outlineLevel="0" collapsed="false">
      <c r="A8" s="3" t="s">
        <v>5</v>
      </c>
    </row>
    <row r="9" customFormat="false" ht="15" hidden="false" customHeight="true" outlineLevel="0" collapsed="false">
      <c r="A9" s="4" t="s">
        <v>6</v>
      </c>
    </row>
    <row r="10" customFormat="false" ht="25.5" hidden="false" customHeight="true" outlineLevel="0" collapsed="false">
      <c r="A10" s="4" t="s">
        <v>7</v>
      </c>
    </row>
    <row r="11" customFormat="false" ht="25.5" hidden="false" customHeight="true" outlineLevel="0" collapsed="false">
      <c r="A11" s="4" t="s">
        <v>8</v>
      </c>
    </row>
    <row r="13" customFormat="false" ht="15" hidden="false" customHeight="false" outlineLevel="0" collapsed="false">
      <c r="A13" s="3" t="s">
        <v>9</v>
      </c>
    </row>
    <row r="14" customFormat="false" ht="25.5" hidden="false" customHeight="true" outlineLevel="0" collapsed="false">
      <c r="A14" s="4" t="s">
        <v>10</v>
      </c>
    </row>
    <row r="15" customFormat="false" ht="15" hidden="false" customHeight="true" outlineLevel="0" collapsed="false">
      <c r="A15" s="4" t="s">
        <v>11</v>
      </c>
    </row>
    <row r="16" customFormat="false" ht="25.5" hidden="false" customHeight="true" outlineLevel="0" collapsed="false">
      <c r="A16" s="4" t="s">
        <v>12</v>
      </c>
    </row>
    <row r="18" customFormat="false" ht="15" hidden="false" customHeight="false" outlineLevel="0" collapsed="false">
      <c r="A18" s="3" t="s">
        <v>13</v>
      </c>
    </row>
    <row r="19" customFormat="false" ht="60" hidden="false" customHeight="true" outlineLevel="0" collapsed="false">
      <c r="A19" s="5" t="s">
        <v>14</v>
      </c>
    </row>
    <row r="20" customFormat="false" ht="60" hidden="false" customHeight="true" outlineLevel="0" collapsed="false">
      <c r="A20" s="5" t="s">
        <v>15</v>
      </c>
    </row>
    <row r="21" customFormat="false" ht="60" hidden="false" customHeight="true" outlineLevel="0" collapsed="false">
      <c r="A21" s="5" t="s">
        <v>16</v>
      </c>
    </row>
    <row r="22" customFormat="false" ht="15" hidden="false" customHeight="true" outlineLevel="0" collapsed="false">
      <c r="A22" s="5" t="s">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9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2" min="2" style="0" width="14"/>
    <col collapsed="false" customWidth="true" hidden="false" outlineLevel="0" max="3" min="3" style="0" width="58"/>
  </cols>
  <sheetData>
    <row r="1" customFormat="false" ht="16.15" hidden="false" customHeight="false" outlineLevel="0" collapsed="false">
      <c r="A1" s="6" t="s">
        <v>18</v>
      </c>
    </row>
    <row r="2" customFormat="false" ht="15" hidden="false" customHeight="false" outlineLevel="0" collapsed="false">
      <c r="A2" s="7" t="s">
        <v>19</v>
      </c>
    </row>
    <row r="4" customFormat="false" ht="15" hidden="false" customHeight="false" outlineLevel="0" collapsed="false">
      <c r="A4" s="8"/>
      <c r="B4" s="8" t="s">
        <v>20</v>
      </c>
      <c r="C4" s="8" t="s">
        <v>21</v>
      </c>
    </row>
    <row r="6" customFormat="false" ht="15" hidden="false" customHeight="false" outlineLevel="0" collapsed="false">
      <c r="A6" s="3" t="s">
        <v>22</v>
      </c>
    </row>
    <row r="7" customFormat="false" ht="15" hidden="false" customHeight="false" outlineLevel="0" collapsed="false">
      <c r="A7" s="0" t="s">
        <v>23</v>
      </c>
      <c r="B7" s="9" t="n">
        <v>70</v>
      </c>
      <c r="C7" s="4" t="s">
        <v>24</v>
      </c>
    </row>
    <row r="8" customFormat="false" ht="28.35" hidden="false" customHeight="false" outlineLevel="0" collapsed="false">
      <c r="A8" s="0" t="s">
        <v>25</v>
      </c>
      <c r="B8" s="10" t="n">
        <v>2.79</v>
      </c>
      <c r="C8" s="4" t="s">
        <v>26</v>
      </c>
    </row>
    <row r="9" customFormat="false" ht="28.35" hidden="false" customHeight="false" outlineLevel="0" collapsed="false">
      <c r="A9" s="0" t="s">
        <v>27</v>
      </c>
      <c r="B9" s="10" t="n">
        <v>5.2</v>
      </c>
      <c r="C9" s="4" t="s">
        <v>28</v>
      </c>
    </row>
    <row r="10" customFormat="false" ht="28.35" hidden="false" customHeight="false" outlineLevel="0" collapsed="false">
      <c r="A10" s="0" t="s">
        <v>29</v>
      </c>
      <c r="B10" s="11" t="n">
        <v>0.115</v>
      </c>
      <c r="C10" s="4" t="s">
        <v>30</v>
      </c>
    </row>
    <row r="11" customFormat="false" ht="15" hidden="false" customHeight="false" outlineLevel="0" collapsed="false">
      <c r="A11" s="0" t="s">
        <v>31</v>
      </c>
      <c r="B11" s="11" t="n">
        <v>0.055</v>
      </c>
      <c r="C11" s="4"/>
    </row>
    <row r="12" customFormat="false" ht="15" hidden="false" customHeight="false" outlineLevel="0" collapsed="false">
      <c r="A12" s="0" t="s">
        <v>32</v>
      </c>
      <c r="B12" s="11" t="n">
        <v>0.04</v>
      </c>
      <c r="C12" s="4" t="s">
        <v>33</v>
      </c>
    </row>
    <row r="14" customFormat="false" ht="15" hidden="false" customHeight="false" outlineLevel="0" collapsed="false">
      <c r="A14" s="3" t="s">
        <v>34</v>
      </c>
    </row>
    <row r="15" customFormat="false" ht="15" hidden="false" customHeight="false" outlineLevel="0" collapsed="false">
      <c r="A15" s="0" t="s">
        <v>35</v>
      </c>
      <c r="B15" s="12" t="n">
        <v>1638</v>
      </c>
      <c r="C15" s="4" t="s">
        <v>36</v>
      </c>
    </row>
    <row r="16" customFormat="false" ht="15" hidden="false" customHeight="false" outlineLevel="0" collapsed="false">
      <c r="A16" s="0" t="s">
        <v>37</v>
      </c>
      <c r="B16" s="12" t="n">
        <v>1365</v>
      </c>
      <c r="C16" s="4"/>
    </row>
    <row r="17" customFormat="false" ht="15" hidden="false" customHeight="false" outlineLevel="0" collapsed="false">
      <c r="A17" s="0" t="s">
        <v>38</v>
      </c>
      <c r="B17" s="12" t="n">
        <v>182</v>
      </c>
      <c r="C17" s="4" t="s">
        <v>39</v>
      </c>
    </row>
    <row r="18" customFormat="false" ht="15" hidden="false" customHeight="false" outlineLevel="0" collapsed="false">
      <c r="A18" s="0" t="s">
        <v>40</v>
      </c>
      <c r="B18" s="13" t="n">
        <v>0.38</v>
      </c>
      <c r="C18" s="4"/>
    </row>
    <row r="19" customFormat="false" ht="28.35" hidden="false" customHeight="false" outlineLevel="0" collapsed="false">
      <c r="A19" s="0" t="s">
        <v>41</v>
      </c>
      <c r="B19" s="13" t="n">
        <v>0.55</v>
      </c>
      <c r="C19" s="4" t="s">
        <v>42</v>
      </c>
    </row>
    <row r="20" customFormat="false" ht="15" hidden="false" customHeight="false" outlineLevel="0" collapsed="false">
      <c r="A20" s="0" t="s">
        <v>43</v>
      </c>
      <c r="B20" s="12" t="n">
        <v>23250</v>
      </c>
      <c r="C20" s="4" t="s">
        <v>44</v>
      </c>
    </row>
    <row r="21" customFormat="false" ht="15" hidden="false" customHeight="false" outlineLevel="0" collapsed="false">
      <c r="A21" s="0" t="s">
        <v>45</v>
      </c>
      <c r="B21" s="12" t="n">
        <v>356</v>
      </c>
      <c r="C21" s="4" t="s">
        <v>46</v>
      </c>
    </row>
    <row r="23" customFormat="false" ht="15" hidden="false" customHeight="false" outlineLevel="0" collapsed="false">
      <c r="A23" s="3" t="s">
        <v>47</v>
      </c>
    </row>
    <row r="24" customFormat="false" ht="15" hidden="false" customHeight="false" outlineLevel="0" collapsed="false">
      <c r="A24" s="0" t="s">
        <v>48</v>
      </c>
      <c r="B24" s="10" t="n">
        <v>4.55</v>
      </c>
      <c r="C24" s="4"/>
    </row>
    <row r="25" customFormat="false" ht="15" hidden="false" customHeight="false" outlineLevel="0" collapsed="false">
      <c r="A25" s="0" t="s">
        <v>49</v>
      </c>
      <c r="B25" s="10" t="n">
        <v>0.72</v>
      </c>
      <c r="C25" s="4"/>
    </row>
    <row r="26" customFormat="false" ht="15" hidden="false" customHeight="false" outlineLevel="0" collapsed="false">
      <c r="A26" s="0" t="s">
        <v>50</v>
      </c>
      <c r="B26" s="14" t="n">
        <v>13.35</v>
      </c>
      <c r="C26" s="4"/>
    </row>
    <row r="27" customFormat="false" ht="15" hidden="false" customHeight="false" outlineLevel="0" collapsed="false">
      <c r="A27" s="0" t="s">
        <v>51</v>
      </c>
      <c r="B27" s="14" t="n">
        <v>24.1</v>
      </c>
      <c r="C27" s="4"/>
    </row>
    <row r="28" customFormat="false" ht="15" hidden="false" customHeight="false" outlineLevel="0" collapsed="false">
      <c r="A28" s="0" t="s">
        <v>52</v>
      </c>
      <c r="B28" s="15" t="n">
        <v>37.5</v>
      </c>
      <c r="C28" s="4"/>
    </row>
    <row r="29" customFormat="false" ht="15" hidden="false" customHeight="false" outlineLevel="0" collapsed="false">
      <c r="A29" s="0" t="s">
        <v>53</v>
      </c>
      <c r="B29" s="15" t="n">
        <v>5.6</v>
      </c>
      <c r="C29" s="4" t="s">
        <v>54</v>
      </c>
    </row>
    <row r="30" customFormat="false" ht="15" hidden="false" customHeight="false" outlineLevel="0" collapsed="false">
      <c r="A30" s="0" t="s">
        <v>55</v>
      </c>
      <c r="B30" s="15" t="n">
        <v>1.4</v>
      </c>
      <c r="C30" s="4"/>
    </row>
    <row r="31" customFormat="false" ht="28.35" hidden="false" customHeight="false" outlineLevel="0" collapsed="false">
      <c r="A31" s="0" t="s">
        <v>56</v>
      </c>
      <c r="B31" s="10" t="n">
        <v>1.45</v>
      </c>
      <c r="C31" s="4" t="s">
        <v>57</v>
      </c>
    </row>
    <row r="32" customFormat="false" ht="15" hidden="false" customHeight="false" outlineLevel="0" collapsed="false">
      <c r="A32" s="0" t="s">
        <v>58</v>
      </c>
      <c r="B32" s="13" t="n">
        <v>0.15</v>
      </c>
      <c r="C32" s="4"/>
    </row>
    <row r="33" customFormat="false" ht="15" hidden="false" customHeight="false" outlineLevel="0" collapsed="false">
      <c r="A33" s="0" t="s">
        <v>59</v>
      </c>
      <c r="B33" s="12" t="n">
        <v>5000</v>
      </c>
      <c r="C33" s="4" t="s">
        <v>60</v>
      </c>
    </row>
    <row r="34" customFormat="false" ht="15" hidden="false" customHeight="false" outlineLevel="0" collapsed="false">
      <c r="A34" s="0" t="s">
        <v>61</v>
      </c>
      <c r="B34" s="12" t="n">
        <v>10500</v>
      </c>
      <c r="C34" s="4" t="s">
        <v>62</v>
      </c>
    </row>
    <row r="35" customFormat="false" ht="15" hidden="false" customHeight="false" outlineLevel="0" collapsed="false">
      <c r="A35" s="0" t="s">
        <v>63</v>
      </c>
      <c r="B35" s="13" t="n">
        <v>0.03</v>
      </c>
      <c r="C35" s="4"/>
    </row>
    <row r="36" customFormat="false" ht="15" hidden="false" customHeight="false" outlineLevel="0" collapsed="false">
      <c r="A36" s="0" t="s">
        <v>64</v>
      </c>
      <c r="B36" s="12" t="n">
        <v>6240</v>
      </c>
      <c r="C36" s="4" t="s">
        <v>60</v>
      </c>
    </row>
    <row r="37" customFormat="false" ht="28.35" hidden="false" customHeight="false" outlineLevel="0" collapsed="false">
      <c r="A37" s="0" t="s">
        <v>65</v>
      </c>
      <c r="B37" s="12" t="n">
        <v>10000</v>
      </c>
      <c r="C37" s="4" t="s">
        <v>66</v>
      </c>
    </row>
    <row r="38" customFormat="false" ht="15" hidden="false" customHeight="false" outlineLevel="0" collapsed="false">
      <c r="A38" s="0" t="s">
        <v>67</v>
      </c>
      <c r="B38" s="13" t="n">
        <v>0.1</v>
      </c>
      <c r="C38" s="4"/>
    </row>
    <row r="39" customFormat="false" ht="15" hidden="false" customHeight="false" outlineLevel="0" collapsed="false">
      <c r="A39" s="0" t="s">
        <v>68</v>
      </c>
      <c r="B39" s="11" t="n">
        <v>0.0315</v>
      </c>
      <c r="C39" s="4"/>
    </row>
    <row r="40" customFormat="false" ht="15" hidden="false" customHeight="false" outlineLevel="0" collapsed="false">
      <c r="A40" s="0" t="s">
        <v>69</v>
      </c>
      <c r="B40" s="10" t="n">
        <v>1.55</v>
      </c>
      <c r="C40" s="4" t="s">
        <v>70</v>
      </c>
    </row>
    <row r="41" customFormat="false" ht="15" hidden="false" customHeight="false" outlineLevel="0" collapsed="false">
      <c r="A41" s="0" t="s">
        <v>71</v>
      </c>
      <c r="B41" s="13" t="n">
        <v>0.026</v>
      </c>
      <c r="C41" s="4"/>
    </row>
    <row r="42" customFormat="false" ht="15" hidden="false" customHeight="false" outlineLevel="0" collapsed="false">
      <c r="A42" s="0" t="s">
        <v>72</v>
      </c>
      <c r="B42" s="12" t="n">
        <v>567500</v>
      </c>
      <c r="C42" s="4" t="s">
        <v>73</v>
      </c>
    </row>
    <row r="43" customFormat="false" ht="15" hidden="false" customHeight="false" outlineLevel="0" collapsed="false">
      <c r="A43" s="0" t="s">
        <v>74</v>
      </c>
      <c r="B43" s="15" t="n">
        <v>19.6</v>
      </c>
      <c r="C43" s="4"/>
    </row>
    <row r="45" customFormat="false" ht="15" hidden="false" customHeight="false" outlineLevel="0" collapsed="false">
      <c r="A45" s="3" t="s">
        <v>75</v>
      </c>
    </row>
    <row r="46" customFormat="false" ht="15" hidden="false" customHeight="false" outlineLevel="0" collapsed="false">
      <c r="A46" s="0" t="s">
        <v>76</v>
      </c>
      <c r="B46" s="12" t="n">
        <v>4427</v>
      </c>
      <c r="C46" s="4"/>
    </row>
    <row r="47" customFormat="false" ht="15" hidden="false" customHeight="false" outlineLevel="0" collapsed="false">
      <c r="A47" s="0" t="s">
        <v>77</v>
      </c>
      <c r="B47" s="12" t="n">
        <v>2230</v>
      </c>
      <c r="C47" s="4"/>
    </row>
    <row r="48" customFormat="false" ht="15" hidden="false" customHeight="false" outlineLevel="0" collapsed="false">
      <c r="A48" s="0" t="s">
        <v>78</v>
      </c>
      <c r="B48" s="12" t="n">
        <v>2650</v>
      </c>
      <c r="C48" s="4"/>
    </row>
    <row r="50" customFormat="false" ht="15" hidden="false" customHeight="false" outlineLevel="0" collapsed="false">
      <c r="A50" s="3" t="s">
        <v>79</v>
      </c>
    </row>
    <row r="51" customFormat="false" ht="15" hidden="false" customHeight="false" outlineLevel="0" collapsed="false">
      <c r="A51" s="0" t="s">
        <v>80</v>
      </c>
      <c r="B51" s="13" t="n">
        <v>0.05</v>
      </c>
      <c r="C51" s="4"/>
    </row>
    <row r="52" customFormat="false" ht="15" hidden="false" customHeight="false" outlineLevel="0" collapsed="false">
      <c r="A52" s="0" t="s">
        <v>81</v>
      </c>
      <c r="B52" s="10" t="n">
        <v>1.8</v>
      </c>
      <c r="C52" s="4" t="s">
        <v>82</v>
      </c>
    </row>
    <row r="53" customFormat="false" ht="15" hidden="false" customHeight="false" outlineLevel="0" collapsed="false">
      <c r="A53" s="0" t="s">
        <v>83</v>
      </c>
      <c r="B53" s="10" t="n">
        <v>11</v>
      </c>
      <c r="C53" s="4"/>
    </row>
    <row r="54" customFormat="false" ht="15" hidden="false" customHeight="false" outlineLevel="0" collapsed="false">
      <c r="A54" s="0" t="s">
        <v>84</v>
      </c>
      <c r="B54" s="11" t="n">
        <v>0.06</v>
      </c>
      <c r="C54" s="4" t="s">
        <v>85</v>
      </c>
    </row>
    <row r="55" customFormat="false" ht="15" hidden="false" customHeight="false" outlineLevel="0" collapsed="false">
      <c r="A55" s="0" t="s">
        <v>86</v>
      </c>
      <c r="B55" s="9" t="n">
        <v>25</v>
      </c>
      <c r="C55" s="4"/>
    </row>
    <row r="57" customFormat="false" ht="15" hidden="false" customHeight="false" outlineLevel="0" collapsed="false">
      <c r="A57" s="3" t="s">
        <v>87</v>
      </c>
    </row>
    <row r="58" customFormat="false" ht="15" hidden="false" customHeight="false" outlineLevel="0" collapsed="false">
      <c r="A58" s="0" t="s">
        <v>88</v>
      </c>
      <c r="B58" s="13" t="n">
        <v>0.045</v>
      </c>
      <c r="C58" s="4"/>
    </row>
    <row r="59" customFormat="false" ht="15" hidden="false" customHeight="false" outlineLevel="0" collapsed="false">
      <c r="A59" s="0" t="s">
        <v>89</v>
      </c>
      <c r="B59" s="13" t="n">
        <v>0.033</v>
      </c>
      <c r="C59" s="4" t="s">
        <v>90</v>
      </c>
    </row>
    <row r="60" customFormat="false" ht="15" hidden="false" customHeight="false" outlineLevel="0" collapsed="false">
      <c r="A60" s="0" t="s">
        <v>91</v>
      </c>
      <c r="B60" s="13" t="n">
        <v>0.028</v>
      </c>
      <c r="C60" s="4"/>
    </row>
    <row r="61" customFormat="false" ht="15" hidden="false" customHeight="false" outlineLevel="0" collapsed="false">
      <c r="A61" s="0" t="s">
        <v>92</v>
      </c>
      <c r="B61" s="13" t="n">
        <v>0.042</v>
      </c>
      <c r="C61" s="4"/>
    </row>
    <row r="62" customFormat="false" ht="15" hidden="false" customHeight="false" outlineLevel="0" collapsed="false">
      <c r="A62" s="0" t="s">
        <v>93</v>
      </c>
      <c r="B62" s="13" t="n">
        <v>0.03</v>
      </c>
      <c r="C62" s="4"/>
    </row>
    <row r="63" customFormat="false" ht="15" hidden="false" customHeight="false" outlineLevel="0" collapsed="false">
      <c r="A63" s="0" t="s">
        <v>94</v>
      </c>
      <c r="B63" s="13" t="n">
        <v>0.028</v>
      </c>
      <c r="C63" s="4"/>
    </row>
    <row r="64" customFormat="false" ht="28.35" hidden="false" customHeight="false" outlineLevel="0" collapsed="false">
      <c r="A64" s="0" t="s">
        <v>95</v>
      </c>
      <c r="B64" s="13" t="n">
        <v>0.035</v>
      </c>
      <c r="C64" s="4" t="s">
        <v>96</v>
      </c>
    </row>
    <row r="65" customFormat="false" ht="15" hidden="false" customHeight="false" outlineLevel="0" collapsed="false">
      <c r="A65" s="0" t="s">
        <v>97</v>
      </c>
      <c r="B65" s="13" t="n">
        <v>0.033</v>
      </c>
      <c r="C65" s="4"/>
    </row>
    <row r="67" customFormat="false" ht="15" hidden="false" customHeight="false" outlineLevel="0" collapsed="false">
      <c r="A67" s="3" t="s">
        <v>98</v>
      </c>
    </row>
    <row r="68" customFormat="false" ht="28.35" hidden="false" customHeight="false" outlineLevel="0" collapsed="false">
      <c r="A68" s="0" t="s">
        <v>99</v>
      </c>
      <c r="B68" s="9" t="n">
        <v>6</v>
      </c>
      <c r="C68" s="4" t="s">
        <v>100</v>
      </c>
    </row>
    <row r="69" customFormat="false" ht="15" hidden="false" customHeight="false" outlineLevel="0" collapsed="false">
      <c r="A69" s="0" t="s">
        <v>101</v>
      </c>
      <c r="B69" s="13" t="n">
        <v>0.7</v>
      </c>
      <c r="C69" s="4"/>
    </row>
    <row r="70" customFormat="false" ht="15" hidden="false" customHeight="false" outlineLevel="0" collapsed="false">
      <c r="A70" s="0" t="s">
        <v>102</v>
      </c>
      <c r="B70" s="9" t="n">
        <v>9</v>
      </c>
      <c r="C70" s="4"/>
    </row>
    <row r="71" customFormat="false" ht="15" hidden="false" customHeight="false" outlineLevel="0" collapsed="false">
      <c r="A71" s="0" t="s">
        <v>103</v>
      </c>
      <c r="B71" s="12" t="n">
        <v>185000</v>
      </c>
      <c r="C71" s="4"/>
    </row>
    <row r="73" customFormat="false" ht="15" hidden="false" customHeight="false" outlineLevel="0" collapsed="false">
      <c r="A73" s="3" t="s">
        <v>104</v>
      </c>
    </row>
    <row r="74" customFormat="false" ht="15" hidden="false" customHeight="false" outlineLevel="0" collapsed="false">
      <c r="A74" s="0" t="s">
        <v>105</v>
      </c>
      <c r="B74" s="16" t="n">
        <v>365.25</v>
      </c>
    </row>
    <row r="75" customFormat="false" ht="15" hidden="false" customHeight="false" outlineLevel="0" collapsed="false">
      <c r="A75" s="0" t="s">
        <v>106</v>
      </c>
      <c r="B75" s="17" t="n">
        <v>52.1785714285714</v>
      </c>
    </row>
    <row r="76" customFormat="false" ht="15" hidden="false" customHeight="false" outlineLevel="0" collapsed="false">
      <c r="A76" s="0" t="s">
        <v>107</v>
      </c>
      <c r="B76" s="17" t="n">
        <v>4.34821428571429</v>
      </c>
    </row>
    <row r="78" customFormat="false" ht="15" hidden="false" customHeight="false" outlineLevel="0" collapsed="false">
      <c r="A78" s="2" t="s">
        <v>108</v>
      </c>
    </row>
    <row r="80" customFormat="false" ht="15" hidden="false" customHeight="false" outlineLevel="0" collapsed="false">
      <c r="A80" s="3" t="s">
        <v>109</v>
      </c>
    </row>
    <row r="81" customFormat="false" ht="15" hidden="false" customHeight="false" outlineLevel="0" collapsed="false">
      <c r="A81" s="18" t="s">
        <v>110</v>
      </c>
      <c r="B81" s="19" t="n">
        <v>1.5</v>
      </c>
      <c r="C81" s="18" t="s">
        <v>111</v>
      </c>
    </row>
    <row r="82" customFormat="false" ht="15" hidden="false" customHeight="false" outlineLevel="0" collapsed="false">
      <c r="A82" s="18" t="s">
        <v>112</v>
      </c>
      <c r="B82" s="20" t="n">
        <v>0.6</v>
      </c>
    </row>
    <row r="83" customFormat="false" ht="15" hidden="false" customHeight="false" outlineLevel="0" collapsed="false">
      <c r="A83" s="18" t="s">
        <v>113</v>
      </c>
      <c r="B83" s="19" t="n">
        <v>1.75</v>
      </c>
    </row>
    <row r="84" customFormat="false" ht="15" hidden="false" customHeight="false" outlineLevel="0" collapsed="false">
      <c r="A84" s="18" t="s">
        <v>114</v>
      </c>
      <c r="B84" s="13" t="n">
        <v>0.072</v>
      </c>
    </row>
    <row r="85" customFormat="false" ht="15" hidden="false" customHeight="false" outlineLevel="0" collapsed="false">
      <c r="A85" s="18" t="s">
        <v>115</v>
      </c>
      <c r="B85" s="13" t="n">
        <v>0.02</v>
      </c>
    </row>
    <row r="86" customFormat="false" ht="15" hidden="false" customHeight="false" outlineLevel="0" collapsed="false">
      <c r="A86" s="18" t="s">
        <v>116</v>
      </c>
      <c r="B86" s="9" t="n">
        <v>26000</v>
      </c>
      <c r="C86" s="18" t="s">
        <v>117</v>
      </c>
    </row>
    <row r="87" customFormat="false" ht="15" hidden="false" customHeight="false" outlineLevel="0" collapsed="false">
      <c r="A87" s="18" t="s">
        <v>118</v>
      </c>
      <c r="B87" s="9" t="n">
        <v>137000</v>
      </c>
    </row>
    <row r="88" customFormat="false" ht="15" hidden="false" customHeight="false" outlineLevel="0" collapsed="false">
      <c r="A88" s="18" t="s">
        <v>119</v>
      </c>
      <c r="B88" s="9" t="n">
        <v>9000</v>
      </c>
    </row>
    <row r="89" customFormat="false" ht="15" hidden="false" customHeight="false" outlineLevel="0" collapsed="false">
      <c r="A89" s="18" t="s">
        <v>120</v>
      </c>
      <c r="B89" s="20" t="n">
        <v>0.14</v>
      </c>
    </row>
    <row r="90" customFormat="false" ht="15" hidden="false" customHeight="false" outlineLevel="0" collapsed="false">
      <c r="A90" s="18" t="s">
        <v>121</v>
      </c>
      <c r="B90" s="9" t="n">
        <v>4500</v>
      </c>
    </row>
    <row r="91" customFormat="false" ht="15" hidden="false" customHeight="false" outlineLevel="0" collapsed="false">
      <c r="A91" s="18" t="s">
        <v>122</v>
      </c>
      <c r="B91" s="20" t="n">
        <v>0.2</v>
      </c>
    </row>
    <row r="92" customFormat="false" ht="15" hidden="false" customHeight="false" outlineLevel="0" collapsed="false">
      <c r="A92" s="18" t="s">
        <v>123</v>
      </c>
      <c r="B92" s="13" t="n">
        <v>0.045</v>
      </c>
      <c r="C92" s="18" t="s">
        <v>124</v>
      </c>
    </row>
    <row r="93" customFormat="false" ht="15" hidden="false" customHeight="false" outlineLevel="0" collapsed="false">
      <c r="A93" s="18" t="s">
        <v>125</v>
      </c>
      <c r="B93" s="20" t="n">
        <v>0.05</v>
      </c>
    </row>
    <row r="94" customFormat="false" ht="15" hidden="false" customHeight="false" outlineLevel="0" collapsed="false">
      <c r="A94" s="18" t="s">
        <v>126</v>
      </c>
      <c r="B94" s="21" t="n">
        <v>24</v>
      </c>
    </row>
    <row r="95" customFormat="false" ht="15" hidden="false" customHeight="false" outlineLevel="0" collapsed="false">
      <c r="A95" s="18" t="s">
        <v>127</v>
      </c>
      <c r="B95" s="20" t="n">
        <v>0.6</v>
      </c>
    </row>
    <row r="96" customFormat="false" ht="15" hidden="false" customHeight="false" outlineLevel="0" collapsed="false">
      <c r="A96" s="18" t="s">
        <v>128</v>
      </c>
      <c r="B96" s="13" t="n">
        <v>0.08</v>
      </c>
    </row>
    <row r="97" customFormat="false" ht="15" hidden="false" customHeight="false" outlineLevel="0" collapsed="false">
      <c r="A97" s="18" t="s">
        <v>129</v>
      </c>
      <c r="B97" s="9" t="n">
        <v>52000</v>
      </c>
    </row>
    <row r="98" customFormat="false" ht="15" hidden="false" customHeight="false" outlineLevel="0" collapsed="false">
      <c r="A98" s="18" t="s">
        <v>130</v>
      </c>
      <c r="B98" s="9" t="n">
        <v>168000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9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
    <col collapsed="false" customWidth="true" hidden="false" outlineLevel="0" max="4" min="2" style="0" width="14"/>
    <col collapsed="false" customWidth="true" hidden="false" outlineLevel="0" max="8" min="5" style="0" width="16"/>
  </cols>
  <sheetData>
    <row r="1" customFormat="false" ht="16.15" hidden="false" customHeight="false" outlineLevel="0" collapsed="false">
      <c r="A1" s="6" t="s">
        <v>131</v>
      </c>
    </row>
    <row r="2" customFormat="false" ht="116.4" hidden="false" customHeight="false" outlineLevel="0" collapsed="false">
      <c r="A2" s="7" t="s">
        <v>132</v>
      </c>
    </row>
    <row r="4" customFormat="false" ht="28.35" hidden="false" customHeight="false" outlineLevel="0" collapsed="false">
      <c r="A4" s="8" t="s">
        <v>133</v>
      </c>
      <c r="B4" s="8" t="s">
        <v>134</v>
      </c>
      <c r="C4" s="8" t="s">
        <v>135</v>
      </c>
      <c r="D4" s="8" t="s">
        <v>136</v>
      </c>
      <c r="E4" s="8" t="s">
        <v>137</v>
      </c>
      <c r="F4" s="8" t="s">
        <v>138</v>
      </c>
      <c r="G4" s="8" t="s">
        <v>139</v>
      </c>
      <c r="H4" s="8" t="s">
        <v>140</v>
      </c>
      <c r="J4" s="3" t="s">
        <v>141</v>
      </c>
    </row>
    <row r="5" customFormat="false" ht="15" hidden="false" customHeight="false" outlineLevel="0" collapsed="false">
      <c r="A5" s="0" t="n">
        <v>0</v>
      </c>
      <c r="B5" s="22" t="n">
        <f aca="false">IF(A5=0,Inputs!$B$10,IF(A5&lt;3,Inputs!$B$11,Inputs!$B$12))</f>
        <v>0.115</v>
      </c>
      <c r="C5" s="17" t="n">
        <f aca="false">1</f>
        <v>1</v>
      </c>
      <c r="D5" s="23" t="n">
        <f aca="false">1-C5</f>
        <v>0</v>
      </c>
      <c r="E5" s="23" t="n">
        <f aca="false">Payor!D20</f>
        <v>1</v>
      </c>
      <c r="F5" s="16" t="n">
        <f aca="false">C5*Inputs!$B$8</f>
        <v>2.79</v>
      </c>
      <c r="G5" s="16" t="n">
        <f aca="false">F5*Inputs!$B$19*E5</f>
        <v>1.5345</v>
      </c>
      <c r="H5" s="16" t="n">
        <f aca="false">F5-G5</f>
        <v>1.2555</v>
      </c>
      <c r="J5" s="17" t="n">
        <f aca="false">C5</f>
        <v>1</v>
      </c>
    </row>
    <row r="6" customFormat="false" ht="15" hidden="false" customHeight="false" outlineLevel="0" collapsed="false">
      <c r="A6" s="0" t="n">
        <v>1</v>
      </c>
      <c r="B6" s="22" t="n">
        <f aca="false">IF(A6=0,Inputs!$B$10,IF(A6&lt;3,Inputs!$B$11,Inputs!$B$12))</f>
        <v>0.055</v>
      </c>
      <c r="C6" s="17" t="n">
        <f aca="false">C5*(1-B5)</f>
        <v>0.885</v>
      </c>
      <c r="D6" s="23" t="n">
        <f aca="false">1-C6</f>
        <v>0.115</v>
      </c>
      <c r="E6" s="23" t="n">
        <f aca="false">Payor!D21</f>
        <v>1</v>
      </c>
      <c r="F6" s="16" t="n">
        <f aca="false">C6*Inputs!$B$8</f>
        <v>2.46915</v>
      </c>
      <c r="G6" s="16" t="n">
        <f aca="false">F6*Inputs!$B$19*E6</f>
        <v>1.3580325</v>
      </c>
      <c r="H6" s="16" t="n">
        <f aca="false">F6-G6</f>
        <v>1.1111175</v>
      </c>
      <c r="J6" s="17" t="n">
        <f aca="false">J5+C6</f>
        <v>1.885</v>
      </c>
    </row>
    <row r="7" customFormat="false" ht="15" hidden="false" customHeight="false" outlineLevel="0" collapsed="false">
      <c r="A7" s="0" t="n">
        <v>2</v>
      </c>
      <c r="B7" s="22" t="n">
        <f aca="false">IF(A7=0,Inputs!$B$10,IF(A7&lt;3,Inputs!$B$11,Inputs!$B$12))</f>
        <v>0.055</v>
      </c>
      <c r="C7" s="17" t="n">
        <f aca="false">C6*(1-B6)</f>
        <v>0.836325</v>
      </c>
      <c r="D7" s="23" t="n">
        <f aca="false">1-C7</f>
        <v>0.163675</v>
      </c>
      <c r="E7" s="23" t="n">
        <f aca="false">Payor!D22</f>
        <v>1</v>
      </c>
      <c r="F7" s="16" t="n">
        <f aca="false">C7*Inputs!$B$8</f>
        <v>2.33334675</v>
      </c>
      <c r="G7" s="16" t="n">
        <f aca="false">F7*Inputs!$B$19*E7</f>
        <v>1.2833407125</v>
      </c>
      <c r="H7" s="16" t="n">
        <f aca="false">F7-G7</f>
        <v>1.0500060375</v>
      </c>
      <c r="J7" s="17" t="n">
        <f aca="false">J6+C7</f>
        <v>2.721325</v>
      </c>
    </row>
    <row r="8" customFormat="false" ht="15" hidden="false" customHeight="false" outlineLevel="0" collapsed="false">
      <c r="A8" s="0" t="n">
        <v>3</v>
      </c>
      <c r="B8" s="22" t="n">
        <f aca="false">IF(A8=0,Inputs!$B$10,IF(A8&lt;3,Inputs!$B$11,Inputs!$B$12))</f>
        <v>0.04</v>
      </c>
      <c r="C8" s="17" t="n">
        <f aca="false">C7*(1-B7)</f>
        <v>0.790327125</v>
      </c>
      <c r="D8" s="23" t="n">
        <f aca="false">1-C8</f>
        <v>0.209672875</v>
      </c>
      <c r="E8" s="23" t="n">
        <f aca="false">Payor!D23</f>
        <v>1</v>
      </c>
      <c r="F8" s="16" t="n">
        <f aca="false">C8*Inputs!$B$8</f>
        <v>2.20501267875</v>
      </c>
      <c r="G8" s="16" t="n">
        <f aca="false">F8*Inputs!$B$19*E8</f>
        <v>1.2127569733125</v>
      </c>
      <c r="H8" s="16" t="n">
        <f aca="false">F8-G8</f>
        <v>0.9922557054375</v>
      </c>
      <c r="J8" s="17" t="n">
        <f aca="false">J7+C8</f>
        <v>3.511652125</v>
      </c>
    </row>
    <row r="9" customFormat="false" ht="15" hidden="false" customHeight="false" outlineLevel="0" collapsed="false">
      <c r="A9" s="0" t="n">
        <v>4</v>
      </c>
      <c r="B9" s="22" t="n">
        <f aca="false">IF(A9=0,Inputs!$B$10,IF(A9&lt;3,Inputs!$B$11,Inputs!$B$12))</f>
        <v>0.04</v>
      </c>
      <c r="C9" s="17" t="n">
        <f aca="false">C8*(1-B8)</f>
        <v>0.75871404</v>
      </c>
      <c r="D9" s="23" t="n">
        <f aca="false">1-C9</f>
        <v>0.24128596</v>
      </c>
      <c r="E9" s="23" t="n">
        <f aca="false">Payor!D24</f>
        <v>1</v>
      </c>
      <c r="F9" s="16" t="n">
        <f aca="false">C9*Inputs!$B$8</f>
        <v>2.1168121716</v>
      </c>
      <c r="G9" s="16" t="n">
        <f aca="false">F9*Inputs!$B$19*E9</f>
        <v>1.16424669438</v>
      </c>
      <c r="H9" s="16" t="n">
        <f aca="false">F9-G9</f>
        <v>0.95256547722</v>
      </c>
      <c r="J9" s="17" t="n">
        <f aca="false">J8+C9</f>
        <v>4.270366165</v>
      </c>
    </row>
    <row r="10" customFormat="false" ht="15" hidden="false" customHeight="false" outlineLevel="0" collapsed="false">
      <c r="A10" s="0" t="n">
        <v>5</v>
      </c>
      <c r="B10" s="22" t="n">
        <f aca="false">IF(A10=0,Inputs!$B$10,IF(A10&lt;3,Inputs!$B$11,Inputs!$B$12))</f>
        <v>0.04</v>
      </c>
      <c r="C10" s="17" t="n">
        <f aca="false">C9*(1-B9)</f>
        <v>0.7283654784</v>
      </c>
      <c r="D10" s="23" t="n">
        <f aca="false">1-C10</f>
        <v>0.2716345216</v>
      </c>
      <c r="E10" s="23" t="n">
        <f aca="false">Payor!D25</f>
        <v>0.9</v>
      </c>
      <c r="F10" s="16" t="n">
        <f aca="false">C10*Inputs!$B$8</f>
        <v>2.032139684736</v>
      </c>
      <c r="G10" s="16" t="n">
        <f aca="false">F10*Inputs!$B$19*E10</f>
        <v>1.00590914394432</v>
      </c>
      <c r="H10" s="16" t="n">
        <f aca="false">F10-G10</f>
        <v>1.02623054079168</v>
      </c>
      <c r="J10" s="17" t="n">
        <f aca="false">J9+C10</f>
        <v>4.9987316434</v>
      </c>
    </row>
    <row r="11" customFormat="false" ht="15" hidden="false" customHeight="false" outlineLevel="0" collapsed="false">
      <c r="A11" s="0" t="n">
        <v>6</v>
      </c>
      <c r="B11" s="22" t="n">
        <f aca="false">IF(A11=0,Inputs!$B$10,IF(A11&lt;3,Inputs!$B$11,Inputs!$B$12))</f>
        <v>0.04</v>
      </c>
      <c r="C11" s="17" t="n">
        <f aca="false">C10*(1-B10)</f>
        <v>0.699230859264</v>
      </c>
      <c r="D11" s="23" t="n">
        <f aca="false">1-C11</f>
        <v>0.300769140736</v>
      </c>
      <c r="E11" s="23" t="n">
        <f aca="false">Payor!D26</f>
        <v>0.9</v>
      </c>
      <c r="F11" s="16" t="n">
        <f aca="false">C11*Inputs!$B$8</f>
        <v>1.95085409734656</v>
      </c>
      <c r="G11" s="16" t="n">
        <f aca="false">F11*Inputs!$B$19*E11</f>
        <v>0.965672778186547</v>
      </c>
      <c r="H11" s="16" t="n">
        <f aca="false">F11-G11</f>
        <v>0.985181319160013</v>
      </c>
      <c r="J11" s="17" t="n">
        <f aca="false">J10+C11</f>
        <v>5.697962502664</v>
      </c>
    </row>
    <row r="12" customFormat="false" ht="15" hidden="false" customHeight="false" outlineLevel="0" collapsed="false">
      <c r="A12" s="0" t="n">
        <v>7</v>
      </c>
      <c r="B12" s="22" t="n">
        <f aca="false">IF(A12=0,Inputs!$B$10,IF(A12&lt;3,Inputs!$B$11,Inputs!$B$12))</f>
        <v>0.04</v>
      </c>
      <c r="C12" s="17" t="n">
        <f aca="false">C11*(1-B11)</f>
        <v>0.67126162489344</v>
      </c>
      <c r="D12" s="23" t="n">
        <f aca="false">1-C12</f>
        <v>0.32873837510656</v>
      </c>
      <c r="E12" s="23" t="n">
        <f aca="false">Payor!D27</f>
        <v>0.9</v>
      </c>
      <c r="F12" s="16" t="n">
        <f aca="false">C12*Inputs!$B$8</f>
        <v>1.8728199334527</v>
      </c>
      <c r="G12" s="16" t="n">
        <f aca="false">F12*Inputs!$B$19*E12</f>
        <v>0.927045867059085</v>
      </c>
      <c r="H12" s="16" t="n">
        <f aca="false">F12-G12</f>
        <v>0.945774066393612</v>
      </c>
      <c r="J12" s="17" t="n">
        <f aca="false">J11+C12</f>
        <v>6.36922412755744</v>
      </c>
    </row>
    <row r="13" customFormat="false" ht="15" hidden="false" customHeight="false" outlineLevel="0" collapsed="false">
      <c r="A13" s="0" t="n">
        <v>8</v>
      </c>
      <c r="B13" s="22" t="n">
        <f aca="false">IF(A13=0,Inputs!$B$10,IF(A13&lt;3,Inputs!$B$11,Inputs!$B$12))</f>
        <v>0.04</v>
      </c>
      <c r="C13" s="17" t="n">
        <f aca="false">C12*(1-B12)</f>
        <v>0.644411159897702</v>
      </c>
      <c r="D13" s="23" t="n">
        <f aca="false">1-C13</f>
        <v>0.355588840102298</v>
      </c>
      <c r="E13" s="23" t="n">
        <f aca="false">Payor!D28</f>
        <v>0.9</v>
      </c>
      <c r="F13" s="16" t="n">
        <f aca="false">C13*Inputs!$B$8</f>
        <v>1.79790713611459</v>
      </c>
      <c r="G13" s="16" t="n">
        <f aca="false">F13*Inputs!$B$19*E13</f>
        <v>0.889964032376722</v>
      </c>
      <c r="H13" s="16" t="n">
        <f aca="false">F13-G13</f>
        <v>0.907943103737868</v>
      </c>
      <c r="J13" s="17" t="n">
        <f aca="false">J12+C13</f>
        <v>7.01363528745514</v>
      </c>
    </row>
    <row r="14" customFormat="false" ht="15" hidden="false" customHeight="false" outlineLevel="0" collapsed="false">
      <c r="A14" s="0" t="n">
        <v>9</v>
      </c>
      <c r="B14" s="22" t="n">
        <f aca="false">IF(A14=0,Inputs!$B$10,IF(A14&lt;3,Inputs!$B$11,Inputs!$B$12))</f>
        <v>0.04</v>
      </c>
      <c r="C14" s="17" t="n">
        <f aca="false">C13*(1-B13)</f>
        <v>0.618634713501794</v>
      </c>
      <c r="D14" s="23" t="n">
        <f aca="false">1-C14</f>
        <v>0.381365286498206</v>
      </c>
      <c r="E14" s="23" t="n">
        <f aca="false">Payor!D29</f>
        <v>0.9</v>
      </c>
      <c r="F14" s="16" t="n">
        <f aca="false">C14*Inputs!$B$8</f>
        <v>1.72599085067001</v>
      </c>
      <c r="G14" s="16" t="n">
        <f aca="false">F14*Inputs!$B$19*E14</f>
        <v>0.854365471081653</v>
      </c>
      <c r="H14" s="16" t="n">
        <f aca="false">F14-G14</f>
        <v>0.871625379588353</v>
      </c>
      <c r="J14" s="17" t="n">
        <f aca="false">J13+C14</f>
        <v>7.63227000095694</v>
      </c>
    </row>
    <row r="15" customFormat="false" ht="15" hidden="false" customHeight="false" outlineLevel="0" collapsed="false">
      <c r="A15" s="0" t="n">
        <v>10</v>
      </c>
      <c r="B15" s="22" t="n">
        <f aca="false">IF(A15=0,Inputs!$B$10,IF(A15&lt;3,Inputs!$B$11,Inputs!$B$12))</f>
        <v>0.04</v>
      </c>
      <c r="C15" s="17" t="n">
        <f aca="false">C14*(1-B14)</f>
        <v>0.593889324961722</v>
      </c>
      <c r="D15" s="23" t="n">
        <f aca="false">1-C15</f>
        <v>0.406110675038278</v>
      </c>
      <c r="E15" s="23" t="n">
        <f aca="false">Payor!D30</f>
        <v>0.8</v>
      </c>
      <c r="F15" s="16" t="n">
        <f aca="false">C15*Inputs!$B$8</f>
        <v>1.65695121664321</v>
      </c>
      <c r="G15" s="16" t="n">
        <f aca="false">F15*Inputs!$B$19*E15</f>
        <v>0.729058535323011</v>
      </c>
      <c r="H15" s="16" t="n">
        <f aca="false">F15-G15</f>
        <v>0.927892681320195</v>
      </c>
      <c r="J15" s="17" t="n">
        <f aca="false">J14+C15</f>
        <v>8.22615932591866</v>
      </c>
    </row>
    <row r="16" customFormat="false" ht="15" hidden="false" customHeight="false" outlineLevel="0" collapsed="false">
      <c r="A16" s="0" t="n">
        <v>11</v>
      </c>
      <c r="B16" s="22" t="n">
        <f aca="false">IF(A16=0,Inputs!$B$10,IF(A16&lt;3,Inputs!$B$11,Inputs!$B$12))</f>
        <v>0.04</v>
      </c>
      <c r="C16" s="17" t="n">
        <f aca="false">C15*(1-B15)</f>
        <v>0.570133751963253</v>
      </c>
      <c r="D16" s="23" t="n">
        <f aca="false">1-C16</f>
        <v>0.429866248036747</v>
      </c>
      <c r="E16" s="23" t="n">
        <f aca="false">Payor!D31</f>
        <v>0.8</v>
      </c>
      <c r="F16" s="16" t="n">
        <f aca="false">C16*Inputs!$B$8</f>
        <v>1.59067316797748</v>
      </c>
      <c r="G16" s="16" t="n">
        <f aca="false">F16*Inputs!$B$19*E16</f>
        <v>0.69989619391009</v>
      </c>
      <c r="H16" s="16" t="n">
        <f aca="false">F16-G16</f>
        <v>0.890776974067387</v>
      </c>
      <c r="J16" s="17" t="n">
        <f aca="false">J15+C16</f>
        <v>8.79629307788191</v>
      </c>
    </row>
    <row r="17" customFormat="false" ht="15" hidden="false" customHeight="false" outlineLevel="0" collapsed="false">
      <c r="A17" s="0" t="n">
        <v>12</v>
      </c>
      <c r="B17" s="22" t="n">
        <f aca="false">IF(A17=0,Inputs!$B$10,IF(A17&lt;3,Inputs!$B$11,Inputs!$B$12))</f>
        <v>0.04</v>
      </c>
      <c r="C17" s="17" t="n">
        <f aca="false">C16*(1-B16)</f>
        <v>0.547328401884723</v>
      </c>
      <c r="D17" s="23" t="n">
        <f aca="false">1-C17</f>
        <v>0.452671598115277</v>
      </c>
      <c r="E17" s="23" t="n">
        <f aca="false">Payor!D32</f>
        <v>0.8</v>
      </c>
      <c r="F17" s="16" t="n">
        <f aca="false">C17*Inputs!$B$8</f>
        <v>1.52704624125838</v>
      </c>
      <c r="G17" s="16" t="n">
        <f aca="false">F17*Inputs!$B$19*E17</f>
        <v>0.671900346153686</v>
      </c>
      <c r="H17" s="16" t="n">
        <f aca="false">F17-G17</f>
        <v>0.855145895104692</v>
      </c>
      <c r="J17" s="17" t="n">
        <f aca="false">J16+C17</f>
        <v>9.34362147976663</v>
      </c>
    </row>
    <row r="18" customFormat="false" ht="15" hidden="false" customHeight="false" outlineLevel="0" collapsed="false">
      <c r="A18" s="0" t="n">
        <v>13</v>
      </c>
      <c r="B18" s="22" t="n">
        <f aca="false">IF(A18=0,Inputs!$B$10,IF(A18&lt;3,Inputs!$B$11,Inputs!$B$12))</f>
        <v>0.04</v>
      </c>
      <c r="C18" s="17" t="n">
        <f aca="false">C17*(1-B17)</f>
        <v>0.525435265809334</v>
      </c>
      <c r="D18" s="23" t="n">
        <f aca="false">1-C18</f>
        <v>0.474564734190666</v>
      </c>
      <c r="E18" s="23" t="n">
        <f aca="false">Payor!D33</f>
        <v>0.8</v>
      </c>
      <c r="F18" s="16" t="n">
        <f aca="false">C18*Inputs!$B$8</f>
        <v>1.46596439160804</v>
      </c>
      <c r="G18" s="16" t="n">
        <f aca="false">F18*Inputs!$B$19*E18</f>
        <v>0.645024332307539</v>
      </c>
      <c r="H18" s="16" t="n">
        <f aca="false">F18-G18</f>
        <v>0.820940059300504</v>
      </c>
      <c r="J18" s="17" t="n">
        <f aca="false">J17+C18</f>
        <v>9.86905674557597</v>
      </c>
    </row>
    <row r="19" customFormat="false" ht="15" hidden="false" customHeight="false" outlineLevel="0" collapsed="false">
      <c r="A19" s="0" t="n">
        <v>14</v>
      </c>
      <c r="B19" s="22" t="n">
        <f aca="false">IF(A19=0,Inputs!$B$10,IF(A19&lt;3,Inputs!$B$11,Inputs!$B$12))</f>
        <v>0.04</v>
      </c>
      <c r="C19" s="17" t="n">
        <f aca="false">C18*(1-B18)</f>
        <v>0.504417855176961</v>
      </c>
      <c r="D19" s="23" t="n">
        <f aca="false">1-C19</f>
        <v>0.495582144823039</v>
      </c>
      <c r="E19" s="23" t="n">
        <f aca="false">Payor!D34</f>
        <v>0.8</v>
      </c>
      <c r="F19" s="16" t="n">
        <f aca="false">C19*Inputs!$B$8</f>
        <v>1.40732581594372</v>
      </c>
      <c r="G19" s="16" t="n">
        <f aca="false">F19*Inputs!$B$19*E19</f>
        <v>0.619223359015237</v>
      </c>
      <c r="H19" s="16" t="n">
        <f aca="false">F19-G19</f>
        <v>0.788102456928484</v>
      </c>
      <c r="J19" s="17" t="n">
        <f aca="false">J18+C19</f>
        <v>10.3734746007529</v>
      </c>
    </row>
    <row r="20" customFormat="false" ht="15" hidden="false" customHeight="false" outlineLevel="0" collapsed="false">
      <c r="A20" s="0" t="n">
        <v>15</v>
      </c>
      <c r="B20" s="22" t="n">
        <f aca="false">IF(A20=0,Inputs!$B$10,IF(A20&lt;3,Inputs!$B$11,Inputs!$B$12))</f>
        <v>0.04</v>
      </c>
      <c r="C20" s="17" t="n">
        <f aca="false">C19*(1-B19)</f>
        <v>0.484241140969883</v>
      </c>
      <c r="D20" s="23" t="n">
        <f aca="false">1-C20</f>
        <v>0.515758859030117</v>
      </c>
      <c r="E20" s="23" t="n">
        <f aca="false">Payor!D35</f>
        <v>0.7</v>
      </c>
      <c r="F20" s="16" t="n">
        <f aca="false">C20*Inputs!$B$8</f>
        <v>1.35103278330597</v>
      </c>
      <c r="G20" s="16" t="n">
        <f aca="false">F20*Inputs!$B$19*E20</f>
        <v>0.520147621572799</v>
      </c>
      <c r="H20" s="16" t="n">
        <f aca="false">F20-G20</f>
        <v>0.830885161733173</v>
      </c>
      <c r="J20" s="17" t="n">
        <f aca="false">J19+C20</f>
        <v>10.8577157417228</v>
      </c>
    </row>
    <row r="21" customFormat="false" ht="15" hidden="false" customHeight="false" outlineLevel="0" collapsed="false">
      <c r="A21" s="0" t="n">
        <v>16</v>
      </c>
      <c r="B21" s="22" t="n">
        <f aca="false">IF(A21=0,Inputs!$B$10,IF(A21&lt;3,Inputs!$B$11,Inputs!$B$12))</f>
        <v>0.04</v>
      </c>
      <c r="C21" s="17" t="n">
        <f aca="false">C20*(1-B20)</f>
        <v>0.464871495331087</v>
      </c>
      <c r="D21" s="23" t="n">
        <f aca="false">1-C21</f>
        <v>0.535128504668913</v>
      </c>
      <c r="E21" s="23" t="n">
        <f aca="false">Payor!D36</f>
        <v>0.7</v>
      </c>
      <c r="F21" s="16" t="n">
        <f aca="false">C21*Inputs!$B$8</f>
        <v>1.29699147197373</v>
      </c>
      <c r="G21" s="16" t="n">
        <f aca="false">F21*Inputs!$B$19*E21</f>
        <v>0.499341716709887</v>
      </c>
      <c r="H21" s="16" t="n">
        <f aca="false">F21-G21</f>
        <v>0.797649755263846</v>
      </c>
      <c r="J21" s="17" t="n">
        <f aca="false">J20+C21</f>
        <v>11.3225872370539</v>
      </c>
    </row>
    <row r="22" customFormat="false" ht="15" hidden="false" customHeight="false" outlineLevel="0" collapsed="false">
      <c r="A22" s="0" t="n">
        <v>17</v>
      </c>
      <c r="B22" s="22" t="n">
        <f aca="false">IF(A22=0,Inputs!$B$10,IF(A22&lt;3,Inputs!$B$11,Inputs!$B$12))</f>
        <v>0.04</v>
      </c>
      <c r="C22" s="17" t="n">
        <f aca="false">C21*(1-B21)</f>
        <v>0.446276635517844</v>
      </c>
      <c r="D22" s="23" t="n">
        <f aca="false">1-C22</f>
        <v>0.553723364482156</v>
      </c>
      <c r="E22" s="23" t="n">
        <f aca="false">Payor!D37</f>
        <v>0.7</v>
      </c>
      <c r="F22" s="16" t="n">
        <f aca="false">C22*Inputs!$B$8</f>
        <v>1.24511181309478</v>
      </c>
      <c r="G22" s="16" t="n">
        <f aca="false">F22*Inputs!$B$19*E22</f>
        <v>0.479368048041492</v>
      </c>
      <c r="H22" s="16" t="n">
        <f aca="false">F22-G22</f>
        <v>0.765743765053292</v>
      </c>
      <c r="J22" s="17" t="n">
        <f aca="false">J21+C22</f>
        <v>11.7688638725717</v>
      </c>
    </row>
    <row r="23" customFormat="false" ht="15" hidden="false" customHeight="false" outlineLevel="0" collapsed="false">
      <c r="A23" s="0" t="n">
        <v>18</v>
      </c>
      <c r="B23" s="22" t="n">
        <f aca="false">IF(A23=0,Inputs!$B$10,IF(A23&lt;3,Inputs!$B$11,Inputs!$B$12))</f>
        <v>0.04</v>
      </c>
      <c r="C23" s="17" t="n">
        <f aca="false">C22*(1-B22)</f>
        <v>0.42842557009713</v>
      </c>
      <c r="D23" s="23" t="n">
        <f aca="false">1-C23</f>
        <v>0.57157442990287</v>
      </c>
      <c r="E23" s="23" t="n">
        <f aca="false">Payor!D38</f>
        <v>0.7</v>
      </c>
      <c r="F23" s="16" t="n">
        <f aca="false">C23*Inputs!$B$8</f>
        <v>1.19530734057099</v>
      </c>
      <c r="G23" s="16" t="n">
        <f aca="false">F23*Inputs!$B$19*E23</f>
        <v>0.460193326119832</v>
      </c>
      <c r="H23" s="16" t="n">
        <f aca="false">F23-G23</f>
        <v>0.73511401445116</v>
      </c>
      <c r="J23" s="17" t="n">
        <f aca="false">J22+C23</f>
        <v>12.1972894426689</v>
      </c>
    </row>
    <row r="24" customFormat="false" ht="15" hidden="false" customHeight="false" outlineLevel="0" collapsed="false">
      <c r="A24" s="0" t="n">
        <v>19</v>
      </c>
      <c r="B24" s="22" t="n">
        <f aca="false">IF(A24=0,Inputs!$B$10,IF(A24&lt;3,Inputs!$B$11,Inputs!$B$12))</f>
        <v>0.04</v>
      </c>
      <c r="C24" s="17" t="n">
        <f aca="false">C23*(1-B23)</f>
        <v>0.411288547293245</v>
      </c>
      <c r="D24" s="23" t="n">
        <f aca="false">1-C24</f>
        <v>0.588711452706755</v>
      </c>
      <c r="E24" s="23" t="n">
        <f aca="false">Payor!D39</f>
        <v>0.7</v>
      </c>
      <c r="F24" s="16" t="n">
        <f aca="false">C24*Inputs!$B$8</f>
        <v>1.14749504694815</v>
      </c>
      <c r="G24" s="16" t="n">
        <f aca="false">F24*Inputs!$B$19*E24</f>
        <v>0.441785593075039</v>
      </c>
      <c r="H24" s="16" t="n">
        <f aca="false">F24-G24</f>
        <v>0.705709453873114</v>
      </c>
      <c r="J24" s="17" t="n">
        <f aca="false">J23+C24</f>
        <v>12.6085779899621</v>
      </c>
    </row>
    <row r="25" customFormat="false" ht="15" hidden="false" customHeight="false" outlineLevel="0" collapsed="false">
      <c r="A25" s="0" t="n">
        <v>20</v>
      </c>
      <c r="B25" s="22" t="n">
        <f aca="false">IF(A25=0,Inputs!$B$10,IF(A25&lt;3,Inputs!$B$11,Inputs!$B$12))</f>
        <v>0.04</v>
      </c>
      <c r="C25" s="17" t="n">
        <f aca="false">C24*(1-B24)</f>
        <v>0.394837005401515</v>
      </c>
      <c r="D25" s="23" t="n">
        <f aca="false">1-C25</f>
        <v>0.605162994598485</v>
      </c>
      <c r="E25" s="23" t="n">
        <f aca="false">Payor!D40</f>
        <v>0.7</v>
      </c>
      <c r="F25" s="16" t="n">
        <f aca="false">C25*Inputs!$B$8</f>
        <v>1.10159524507023</v>
      </c>
      <c r="G25" s="16" t="n">
        <f aca="false">F25*Inputs!$B$19*E25</f>
        <v>0.424114169352037</v>
      </c>
      <c r="H25" s="16" t="n">
        <f aca="false">F25-G25</f>
        <v>0.677481075718189</v>
      </c>
      <c r="J25" s="17" t="n">
        <f aca="false">J24+C25</f>
        <v>13.0034149953636</v>
      </c>
    </row>
    <row r="26" customFormat="false" ht="15" hidden="false" customHeight="false" outlineLevel="0" collapsed="false">
      <c r="A26" s="0" t="n">
        <v>21</v>
      </c>
      <c r="B26" s="22" t="n">
        <f aca="false">IF(A26=0,Inputs!$B$10,IF(A26&lt;3,Inputs!$B$11,Inputs!$B$12))</f>
        <v>0.04</v>
      </c>
      <c r="C26" s="17" t="n">
        <f aca="false">C25*(1-B25)</f>
        <v>0.379043525185454</v>
      </c>
      <c r="D26" s="23" t="n">
        <f aca="false">1-C26</f>
        <v>0.620956474814546</v>
      </c>
      <c r="E26" s="23" t="n">
        <f aca="false">Payor!D41</f>
        <v>0.6</v>
      </c>
      <c r="F26" s="16" t="n">
        <f aca="false">C26*Inputs!$B$8</f>
        <v>1.05753143526742</v>
      </c>
      <c r="G26" s="16" t="n">
        <f aca="false">F26*Inputs!$B$19*E26</f>
        <v>0.348985373638248</v>
      </c>
      <c r="H26" s="16" t="n">
        <f aca="false">F26-G26</f>
        <v>0.70854606162917</v>
      </c>
      <c r="J26" s="17" t="n">
        <f aca="false">J25+C26</f>
        <v>13.3824585205491</v>
      </c>
    </row>
    <row r="27" customFormat="false" ht="15" hidden="false" customHeight="false" outlineLevel="0" collapsed="false">
      <c r="A27" s="0" t="n">
        <v>22</v>
      </c>
      <c r="B27" s="22" t="n">
        <f aca="false">IF(A27=0,Inputs!$B$10,IF(A27&lt;3,Inputs!$B$11,Inputs!$B$12))</f>
        <v>0.04</v>
      </c>
      <c r="C27" s="17" t="n">
        <f aca="false">C26*(1-B26)</f>
        <v>0.363881784178036</v>
      </c>
      <c r="D27" s="23" t="n">
        <f aca="false">1-C27</f>
        <v>0.636118215821964</v>
      </c>
      <c r="E27" s="23" t="n">
        <f aca="false">Payor!D42</f>
        <v>0.6</v>
      </c>
      <c r="F27" s="16" t="n">
        <f aca="false">C27*Inputs!$B$8</f>
        <v>1.01523017785672</v>
      </c>
      <c r="G27" s="16" t="n">
        <f aca="false">F27*Inputs!$B$19*E27</f>
        <v>0.335025958692718</v>
      </c>
      <c r="H27" s="16" t="n">
        <f aca="false">F27-G27</f>
        <v>0.680204219164003</v>
      </c>
      <c r="J27" s="17" t="n">
        <f aca="false">J26+C27</f>
        <v>13.7463403047271</v>
      </c>
    </row>
    <row r="28" customFormat="false" ht="15" hidden="false" customHeight="false" outlineLevel="0" collapsed="false">
      <c r="A28" s="0" t="n">
        <v>23</v>
      </c>
      <c r="B28" s="22" t="n">
        <f aca="false">IF(A28=0,Inputs!$B$10,IF(A28&lt;3,Inputs!$B$11,Inputs!$B$12))</f>
        <v>0.04</v>
      </c>
      <c r="C28" s="17" t="n">
        <f aca="false">C27*(1-B27)</f>
        <v>0.349326512810915</v>
      </c>
      <c r="D28" s="23" t="n">
        <f aca="false">1-C28</f>
        <v>0.650673487189085</v>
      </c>
      <c r="E28" s="23" t="n">
        <f aca="false">Payor!D43</f>
        <v>0.6</v>
      </c>
      <c r="F28" s="16" t="n">
        <f aca="false">C28*Inputs!$B$8</f>
        <v>0.974620970742452</v>
      </c>
      <c r="G28" s="16" t="n">
        <f aca="false">F28*Inputs!$B$19*E28</f>
        <v>0.321624920345009</v>
      </c>
      <c r="H28" s="16" t="n">
        <f aca="false">F28-G28</f>
        <v>0.652996050397443</v>
      </c>
      <c r="J28" s="17" t="n">
        <f aca="false">J27+C28</f>
        <v>14.095666817538</v>
      </c>
    </row>
    <row r="29" customFormat="false" ht="15" hidden="false" customHeight="false" outlineLevel="0" collapsed="false">
      <c r="A29" s="0" t="n">
        <v>24</v>
      </c>
      <c r="B29" s="22" t="n">
        <f aca="false">IF(A29=0,Inputs!$B$10,IF(A29&lt;3,Inputs!$B$11,Inputs!$B$12))</f>
        <v>0.04</v>
      </c>
      <c r="C29" s="17" t="n">
        <f aca="false">C28*(1-B28)</f>
        <v>0.335353452298478</v>
      </c>
      <c r="D29" s="23" t="n">
        <f aca="false">1-C29</f>
        <v>0.664646547701522</v>
      </c>
      <c r="E29" s="23" t="n">
        <f aca="false">Payor!D44</f>
        <v>0.6</v>
      </c>
      <c r="F29" s="16" t="n">
        <f aca="false">C29*Inputs!$B$8</f>
        <v>0.935636131912754</v>
      </c>
      <c r="G29" s="16" t="n">
        <f aca="false">F29*Inputs!$B$19*E29</f>
        <v>0.308759923531209</v>
      </c>
      <c r="H29" s="16" t="n">
        <f aca="false">F29-G29</f>
        <v>0.626876208381545</v>
      </c>
      <c r="J29" s="17" t="n">
        <f aca="false">J28+C29</f>
        <v>14.4310202698365</v>
      </c>
    </row>
    <row r="30" customFormat="false" ht="15" hidden="false" customHeight="false" outlineLevel="0" collapsed="false">
      <c r="A30" s="0" t="n">
        <v>25</v>
      </c>
      <c r="B30" s="22" t="n">
        <f aca="false">IF(A30=0,Inputs!$B$10,IF(A30&lt;3,Inputs!$B$11,Inputs!$B$12))</f>
        <v>0.04</v>
      </c>
      <c r="C30" s="17" t="n">
        <f aca="false">C29*(1-B29)</f>
        <v>0.321939314206539</v>
      </c>
      <c r="D30" s="23" t="n">
        <f aca="false">1-C30</f>
        <v>0.678060685793461</v>
      </c>
      <c r="E30" s="23" t="n">
        <f aca="false">Payor!D45</f>
        <v>0.6</v>
      </c>
      <c r="F30" s="16" t="n">
        <f aca="false">C30*Inputs!$B$8</f>
        <v>0.898210686636244</v>
      </c>
      <c r="G30" s="16" t="n">
        <f aca="false">F30*Inputs!$B$19*E30</f>
        <v>0.296409526589961</v>
      </c>
      <c r="H30" s="16" t="n">
        <f aca="false">F30-G30</f>
        <v>0.601801160046283</v>
      </c>
      <c r="J30" s="17" t="n">
        <f aca="false">J29+C30</f>
        <v>14.7529595840431</v>
      </c>
    </row>
    <row r="31" customFormat="false" ht="15" hidden="false" customHeight="false" outlineLevel="0" collapsed="false">
      <c r="A31" s="0" t="n">
        <v>26</v>
      </c>
      <c r="B31" s="22" t="n">
        <f aca="false">IF(A31=0,Inputs!$B$10,IF(A31&lt;3,Inputs!$B$11,Inputs!$B$12))</f>
        <v>0.04</v>
      </c>
      <c r="C31" s="17" t="n">
        <f aca="false">C30*(1-B30)</f>
        <v>0.309061741638277</v>
      </c>
      <c r="D31" s="23" t="n">
        <f aca="false">1-C31</f>
        <v>0.690938258361723</v>
      </c>
      <c r="E31" s="23" t="n">
        <f aca="false">Payor!D46</f>
        <v>0.6</v>
      </c>
      <c r="F31" s="16" t="n">
        <f aca="false">C31*Inputs!$B$8</f>
        <v>0.862282259170794</v>
      </c>
      <c r="G31" s="16" t="n">
        <f aca="false">F31*Inputs!$B$19*E31</f>
        <v>0.284553145526362</v>
      </c>
      <c r="H31" s="16" t="n">
        <f aca="false">F31-G31</f>
        <v>0.577729113644432</v>
      </c>
      <c r="J31" s="17" t="n">
        <f aca="false">J30+C31</f>
        <v>15.0620213256813</v>
      </c>
    </row>
    <row r="32" customFormat="false" ht="15" hidden="false" customHeight="false" outlineLevel="0" collapsed="false">
      <c r="A32" s="0" t="n">
        <v>27</v>
      </c>
      <c r="B32" s="22" t="n">
        <f aca="false">IF(A32=0,Inputs!$B$10,IF(A32&lt;3,Inputs!$B$11,Inputs!$B$12))</f>
        <v>0.04</v>
      </c>
      <c r="C32" s="17" t="n">
        <f aca="false">C31*(1-B31)</f>
        <v>0.296699271972746</v>
      </c>
      <c r="D32" s="23" t="n">
        <f aca="false">1-C32</f>
        <v>0.703300728027254</v>
      </c>
      <c r="E32" s="23" t="n">
        <f aca="false">Payor!D47</f>
        <v>0.5</v>
      </c>
      <c r="F32" s="16" t="n">
        <f aca="false">C32*Inputs!$B$8</f>
        <v>0.827790968803962</v>
      </c>
      <c r="G32" s="16" t="n">
        <f aca="false">F32*Inputs!$B$19*E32</f>
        <v>0.22764251642109</v>
      </c>
      <c r="H32" s="16" t="n">
        <f aca="false">F32-G32</f>
        <v>0.600148452382873</v>
      </c>
      <c r="J32" s="17" t="n">
        <f aca="false">J31+C32</f>
        <v>15.3587205976541</v>
      </c>
    </row>
    <row r="33" customFormat="false" ht="15" hidden="false" customHeight="false" outlineLevel="0" collapsed="false">
      <c r="A33" s="0" t="n">
        <v>28</v>
      </c>
      <c r="B33" s="22" t="n">
        <f aca="false">IF(A33=0,Inputs!$B$10,IF(A33&lt;3,Inputs!$B$11,Inputs!$B$12))</f>
        <v>0.04</v>
      </c>
      <c r="C33" s="17" t="n">
        <f aca="false">C32*(1-B32)</f>
        <v>0.284831301093837</v>
      </c>
      <c r="D33" s="23" t="n">
        <f aca="false">1-C33</f>
        <v>0.715168698906164</v>
      </c>
      <c r="E33" s="23" t="n">
        <f aca="false">Payor!D48</f>
        <v>0.5</v>
      </c>
      <c r="F33" s="16" t="n">
        <f aca="false">C33*Inputs!$B$8</f>
        <v>0.794679330051804</v>
      </c>
      <c r="G33" s="16" t="n">
        <f aca="false">F33*Inputs!$B$19*E33</f>
        <v>0.218536815764246</v>
      </c>
      <c r="H33" s="16" t="n">
        <f aca="false">F33-G33</f>
        <v>0.576142514287558</v>
      </c>
      <c r="J33" s="17" t="n">
        <f aca="false">J32+C33</f>
        <v>15.6435518987479</v>
      </c>
    </row>
    <row r="34" customFormat="false" ht="15" hidden="false" customHeight="false" outlineLevel="0" collapsed="false">
      <c r="A34" s="0" t="n">
        <v>29</v>
      </c>
      <c r="B34" s="22" t="n">
        <f aca="false">IF(A34=0,Inputs!$B$10,IF(A34&lt;3,Inputs!$B$11,Inputs!$B$12))</f>
        <v>0.04</v>
      </c>
      <c r="C34" s="17" t="n">
        <f aca="false">C33*(1-B33)</f>
        <v>0.273438049050083</v>
      </c>
      <c r="D34" s="23" t="n">
        <f aca="false">1-C34</f>
        <v>0.726561950949917</v>
      </c>
      <c r="E34" s="23" t="n">
        <f aca="false">Payor!D49</f>
        <v>0.5</v>
      </c>
      <c r="F34" s="16" t="n">
        <f aca="false">C34*Inputs!$B$8</f>
        <v>0.762892156849732</v>
      </c>
      <c r="G34" s="16" t="n">
        <f aca="false">F34*Inputs!$B$19*E34</f>
        <v>0.209795343133676</v>
      </c>
      <c r="H34" s="16" t="n">
        <f aca="false">F34-G34</f>
        <v>0.553096813716056</v>
      </c>
      <c r="J34" s="17" t="n">
        <f aca="false">J33+C34</f>
        <v>15.916989947798</v>
      </c>
    </row>
    <row r="35" customFormat="false" ht="15" hidden="false" customHeight="false" outlineLevel="0" collapsed="false">
      <c r="A35" s="0" t="n">
        <v>30</v>
      </c>
      <c r="B35" s="22" t="n">
        <f aca="false">IF(A35=0,Inputs!$B$10,IF(A35&lt;3,Inputs!$B$11,Inputs!$B$12))</f>
        <v>0.04</v>
      </c>
      <c r="C35" s="17" t="n">
        <f aca="false">C34*(1-B34)</f>
        <v>0.26250052708808</v>
      </c>
      <c r="D35" s="23" t="n">
        <f aca="false">1-C35</f>
        <v>0.73749947291192</v>
      </c>
      <c r="E35" s="23" t="n">
        <f aca="false">Payor!D50</f>
        <v>0.5</v>
      </c>
      <c r="F35" s="16" t="n">
        <f aca="false">C35*Inputs!$B$8</f>
        <v>0.732376470575742</v>
      </c>
      <c r="G35" s="16" t="n">
        <f aca="false">F35*Inputs!$B$19*E35</f>
        <v>0.201403529408329</v>
      </c>
      <c r="H35" s="16" t="n">
        <f aca="false">F35-G35</f>
        <v>0.530972941167413</v>
      </c>
      <c r="J35" s="17" t="n">
        <f aca="false">J34+C35</f>
        <v>16.1794904748861</v>
      </c>
    </row>
    <row r="36" customFormat="false" ht="15" hidden="false" customHeight="false" outlineLevel="0" collapsed="false">
      <c r="A36" s="0" t="n">
        <v>31</v>
      </c>
      <c r="B36" s="22" t="n">
        <f aca="false">IF(A36=0,Inputs!$B$10,IF(A36&lt;3,Inputs!$B$11,Inputs!$B$12))</f>
        <v>0.04</v>
      </c>
      <c r="C36" s="17" t="n">
        <f aca="false">C35*(1-B35)</f>
        <v>0.252000506004557</v>
      </c>
      <c r="D36" s="23" t="n">
        <f aca="false">1-C36</f>
        <v>0.747999493995444</v>
      </c>
      <c r="E36" s="23" t="n">
        <f aca="false">Payor!D51</f>
        <v>0.5</v>
      </c>
      <c r="F36" s="16" t="n">
        <f aca="false">C36*Inputs!$B$8</f>
        <v>0.703081411752713</v>
      </c>
      <c r="G36" s="16" t="n">
        <f aca="false">F36*Inputs!$B$19*E36</f>
        <v>0.193347388231996</v>
      </c>
      <c r="H36" s="16" t="n">
        <f aca="false">F36-G36</f>
        <v>0.509734023520717</v>
      </c>
      <c r="J36" s="17" t="n">
        <f aca="false">J35+C36</f>
        <v>16.4314909808906</v>
      </c>
    </row>
    <row r="37" customFormat="false" ht="15" hidden="false" customHeight="false" outlineLevel="0" collapsed="false">
      <c r="A37" s="0" t="n">
        <v>32</v>
      </c>
      <c r="B37" s="22" t="n">
        <f aca="false">IF(A37=0,Inputs!$B$10,IF(A37&lt;3,Inputs!$B$11,Inputs!$B$12))</f>
        <v>0.04</v>
      </c>
      <c r="C37" s="17" t="n">
        <f aca="false">C36*(1-B36)</f>
        <v>0.241920485764374</v>
      </c>
      <c r="D37" s="23" t="n">
        <f aca="false">1-C37</f>
        <v>0.758079514235626</v>
      </c>
      <c r="E37" s="23" t="n">
        <f aca="false">Payor!D52</f>
        <v>0.5</v>
      </c>
      <c r="F37" s="16" t="n">
        <f aca="false">C37*Inputs!$B$8</f>
        <v>0.674958155282604</v>
      </c>
      <c r="G37" s="16" t="n">
        <f aca="false">F37*Inputs!$B$19*E37</f>
        <v>0.185613492702716</v>
      </c>
      <c r="H37" s="16" t="n">
        <f aca="false">F37-G37</f>
        <v>0.489344662579888</v>
      </c>
      <c r="J37" s="17" t="n">
        <f aca="false">J36+C37</f>
        <v>16.673411466655</v>
      </c>
    </row>
    <row r="38" customFormat="false" ht="15" hidden="false" customHeight="false" outlineLevel="0" collapsed="false">
      <c r="A38" s="0" t="n">
        <v>33</v>
      </c>
      <c r="B38" s="22" t="n">
        <f aca="false">IF(A38=0,Inputs!$B$10,IF(A38&lt;3,Inputs!$B$11,Inputs!$B$12))</f>
        <v>0.04</v>
      </c>
      <c r="C38" s="17" t="n">
        <f aca="false">C37*(1-B37)</f>
        <v>0.232243666333799</v>
      </c>
      <c r="D38" s="23" t="n">
        <f aca="false">1-C38</f>
        <v>0.767756333666201</v>
      </c>
      <c r="E38" s="23" t="n">
        <f aca="false">Payor!D53</f>
        <v>0.5</v>
      </c>
      <c r="F38" s="16" t="n">
        <f aca="false">C38*Inputs!$B$8</f>
        <v>0.6479598290713</v>
      </c>
      <c r="G38" s="16" t="n">
        <f aca="false">F38*Inputs!$B$19*E38</f>
        <v>0.178188952994608</v>
      </c>
      <c r="H38" s="16" t="n">
        <f aca="false">F38-G38</f>
        <v>0.469770876076692</v>
      </c>
      <c r="J38" s="17" t="n">
        <f aca="false">J37+C38</f>
        <v>16.9056551329888</v>
      </c>
    </row>
    <row r="39" customFormat="false" ht="15" hidden="false" customHeight="false" outlineLevel="0" collapsed="false">
      <c r="A39" s="0" t="n">
        <v>34</v>
      </c>
      <c r="B39" s="22" t="n">
        <f aca="false">IF(A39=0,Inputs!$B$10,IF(A39&lt;3,Inputs!$B$11,Inputs!$B$12))</f>
        <v>0.04</v>
      </c>
      <c r="C39" s="17" t="n">
        <f aca="false">C38*(1-B38)</f>
        <v>0.222953919680447</v>
      </c>
      <c r="D39" s="23" t="n">
        <f aca="false">1-C39</f>
        <v>0.777046080319553</v>
      </c>
      <c r="E39" s="23" t="n">
        <f aca="false">Payor!D54</f>
        <v>0.4</v>
      </c>
      <c r="F39" s="16" t="n">
        <f aca="false">C39*Inputs!$B$8</f>
        <v>0.622041435908448</v>
      </c>
      <c r="G39" s="16" t="n">
        <f aca="false">F39*Inputs!$B$19*E39</f>
        <v>0.136849115899859</v>
      </c>
      <c r="H39" s="16" t="n">
        <f aca="false">F39-G39</f>
        <v>0.485192320008589</v>
      </c>
      <c r="J39" s="17" t="n">
        <f aca="false">J38+C39</f>
        <v>17.1286090526693</v>
      </c>
    </row>
    <row r="40" customFormat="false" ht="15" hidden="false" customHeight="false" outlineLevel="0" collapsed="false">
      <c r="A40" s="0" t="n">
        <v>35</v>
      </c>
      <c r="B40" s="22" t="n">
        <f aca="false">IF(A40=0,Inputs!$B$10,IF(A40&lt;3,Inputs!$B$11,Inputs!$B$12))</f>
        <v>0.04</v>
      </c>
      <c r="C40" s="17" t="n">
        <f aca="false">C39*(1-B39)</f>
        <v>0.214035762893229</v>
      </c>
      <c r="D40" s="23" t="n">
        <f aca="false">1-C40</f>
        <v>0.785964237106771</v>
      </c>
      <c r="E40" s="23" t="n">
        <f aca="false">Payor!D55</f>
        <v>0.4</v>
      </c>
      <c r="F40" s="16" t="n">
        <f aca="false">C40*Inputs!$B$8</f>
        <v>0.59715977847211</v>
      </c>
      <c r="G40" s="16" t="n">
        <f aca="false">F40*Inputs!$B$19*E40</f>
        <v>0.131375151263864</v>
      </c>
      <c r="H40" s="16" t="n">
        <f aca="false">F40-G40</f>
        <v>0.465784627208246</v>
      </c>
      <c r="J40" s="17" t="n">
        <f aca="false">J39+C40</f>
        <v>17.3426448155625</v>
      </c>
    </row>
    <row r="41" customFormat="false" ht="15" hidden="false" customHeight="false" outlineLevel="0" collapsed="false">
      <c r="A41" s="0" t="n">
        <v>36</v>
      </c>
      <c r="B41" s="22" t="n">
        <f aca="false">IF(A41=0,Inputs!$B$10,IF(A41&lt;3,Inputs!$B$11,Inputs!$B$12))</f>
        <v>0.04</v>
      </c>
      <c r="C41" s="17" t="n">
        <f aca="false">C40*(1-B40)</f>
        <v>0.2054743323775</v>
      </c>
      <c r="D41" s="23" t="n">
        <f aca="false">1-C41</f>
        <v>0.7945256676225</v>
      </c>
      <c r="E41" s="23" t="n">
        <f aca="false">Payor!D56</f>
        <v>0.4</v>
      </c>
      <c r="F41" s="16" t="n">
        <f aca="false">C41*Inputs!$B$8</f>
        <v>0.573273387333226</v>
      </c>
      <c r="G41" s="16" t="n">
        <f aca="false">F41*Inputs!$B$19*E41</f>
        <v>0.12612014521331</v>
      </c>
      <c r="H41" s="16" t="n">
        <f aca="false">F41-G41</f>
        <v>0.447153242119916</v>
      </c>
      <c r="J41" s="17" t="n">
        <f aca="false">J40+C41</f>
        <v>17.54811914794</v>
      </c>
    </row>
    <row r="42" customFormat="false" ht="15" hidden="false" customHeight="false" outlineLevel="0" collapsed="false">
      <c r="A42" s="0" t="n">
        <v>37</v>
      </c>
      <c r="B42" s="22" t="n">
        <f aca="false">IF(A42=0,Inputs!$B$10,IF(A42&lt;3,Inputs!$B$11,Inputs!$B$12))</f>
        <v>0.04</v>
      </c>
      <c r="C42" s="17" t="n">
        <f aca="false">C41*(1-B41)</f>
        <v>0.1972553590824</v>
      </c>
      <c r="D42" s="23" t="n">
        <f aca="false">1-C42</f>
        <v>0.8027446409176</v>
      </c>
      <c r="E42" s="23" t="n">
        <f aca="false">Payor!D57</f>
        <v>0.4</v>
      </c>
      <c r="F42" s="16" t="n">
        <f aca="false">C42*Inputs!$B$8</f>
        <v>0.550342451839897</v>
      </c>
      <c r="G42" s="16" t="n">
        <f aca="false">F42*Inputs!$B$19*E42</f>
        <v>0.121075339404777</v>
      </c>
      <c r="H42" s="16" t="n">
        <f aca="false">F42-G42</f>
        <v>0.429267112435119</v>
      </c>
      <c r="J42" s="17" t="n">
        <f aca="false">J41+C42</f>
        <v>17.7453745070224</v>
      </c>
    </row>
    <row r="43" customFormat="false" ht="15" hidden="false" customHeight="false" outlineLevel="0" collapsed="false">
      <c r="A43" s="0" t="n">
        <v>38</v>
      </c>
      <c r="B43" s="22" t="n">
        <f aca="false">IF(A43=0,Inputs!$B$10,IF(A43&lt;3,Inputs!$B$11,Inputs!$B$12))</f>
        <v>0.04</v>
      </c>
      <c r="C43" s="17" t="n">
        <f aca="false">C42*(1-B42)</f>
        <v>0.189365144719104</v>
      </c>
      <c r="D43" s="23" t="n">
        <f aca="false">1-C43</f>
        <v>0.810634855280896</v>
      </c>
      <c r="E43" s="23" t="n">
        <f aca="false">Payor!D58</f>
        <v>0.4</v>
      </c>
      <c r="F43" s="16" t="n">
        <f aca="false">C43*Inputs!$B$8</f>
        <v>0.528328753766301</v>
      </c>
      <c r="G43" s="16" t="n">
        <f aca="false">F43*Inputs!$B$19*E43</f>
        <v>0.116232325828586</v>
      </c>
      <c r="H43" s="16" t="n">
        <f aca="false">F43-G43</f>
        <v>0.412096427937715</v>
      </c>
      <c r="J43" s="17" t="n">
        <f aca="false">J42+C43</f>
        <v>17.9347396517415</v>
      </c>
    </row>
    <row r="44" customFormat="false" ht="15" hidden="false" customHeight="false" outlineLevel="0" collapsed="false">
      <c r="A44" s="0" t="n">
        <v>39</v>
      </c>
      <c r="B44" s="22" t="n">
        <f aca="false">IF(A44=0,Inputs!$B$10,IF(A44&lt;3,Inputs!$B$11,Inputs!$B$12))</f>
        <v>0.04</v>
      </c>
      <c r="C44" s="17" t="n">
        <f aca="false">C43*(1-B43)</f>
        <v>0.18179053893034</v>
      </c>
      <c r="D44" s="23" t="n">
        <f aca="false">1-C44</f>
        <v>0.81820946106966</v>
      </c>
      <c r="E44" s="23" t="n">
        <f aca="false">Payor!D59</f>
        <v>0.4</v>
      </c>
      <c r="F44" s="16" t="n">
        <f aca="false">C44*Inputs!$B$8</f>
        <v>0.507195603615649</v>
      </c>
      <c r="G44" s="16" t="n">
        <f aca="false">F44*Inputs!$B$19*E44</f>
        <v>0.111583032795443</v>
      </c>
      <c r="H44" s="16" t="n">
        <f aca="false">F44-G44</f>
        <v>0.395612570820206</v>
      </c>
      <c r="J44" s="17" t="n">
        <f aca="false">J43+C44</f>
        <v>18.1165301906718</v>
      </c>
    </row>
    <row r="45" customFormat="false" ht="15" hidden="false" customHeight="false" outlineLevel="0" collapsed="false">
      <c r="A45" s="0" t="n">
        <v>40</v>
      </c>
      <c r="B45" s="22" t="n">
        <f aca="false">IF(A45=0,Inputs!$B$10,IF(A45&lt;3,Inputs!$B$11,Inputs!$B$12))</f>
        <v>0.04</v>
      </c>
      <c r="C45" s="17" t="n">
        <f aca="false">C44*(1-B44)</f>
        <v>0.174518917373126</v>
      </c>
      <c r="D45" s="23" t="n">
        <f aca="false">1-C45</f>
        <v>0.825481082626874</v>
      </c>
      <c r="E45" s="23" t="n">
        <f aca="false">Payor!D60</f>
        <v>0.4</v>
      </c>
      <c r="F45" s="16" t="n">
        <f aca="false">C45*Inputs!$B$8</f>
        <v>0.486907779471023</v>
      </c>
      <c r="G45" s="16" t="n">
        <f aca="false">F45*Inputs!$B$19*E45</f>
        <v>0.107119711483625</v>
      </c>
      <c r="H45" s="16" t="n">
        <f aca="false">F45-G45</f>
        <v>0.379788067987398</v>
      </c>
      <c r="J45" s="17" t="n">
        <f aca="false">J44+C45</f>
        <v>18.291049108045</v>
      </c>
    </row>
    <row r="46" customFormat="false" ht="15" hidden="false" customHeight="false" outlineLevel="0" collapsed="false">
      <c r="A46" s="0" t="n">
        <v>41</v>
      </c>
      <c r="B46" s="22" t="n">
        <f aca="false">IF(A46=0,Inputs!$B$10,IF(A46&lt;3,Inputs!$B$11,Inputs!$B$12))</f>
        <v>0.04</v>
      </c>
      <c r="C46" s="17" t="n">
        <f aca="false">C45*(1-B45)</f>
        <v>0.167538160678201</v>
      </c>
      <c r="D46" s="23" t="n">
        <f aca="false">1-C46</f>
        <v>0.832461839321799</v>
      </c>
      <c r="E46" s="23" t="n">
        <f aca="false">Payor!D61</f>
        <v>0.4</v>
      </c>
      <c r="F46" s="16" t="n">
        <f aca="false">C46*Inputs!$B$8</f>
        <v>0.467431468292182</v>
      </c>
      <c r="G46" s="16" t="n">
        <f aca="false">F46*Inputs!$B$19*E46</f>
        <v>0.10283492302428</v>
      </c>
      <c r="H46" s="16" t="n">
        <f aca="false">F46-G46</f>
        <v>0.364596545267902</v>
      </c>
      <c r="J46" s="17" t="n">
        <f aca="false">J45+C46</f>
        <v>18.4585872687232</v>
      </c>
    </row>
    <row r="47" customFormat="false" ht="15" hidden="false" customHeight="false" outlineLevel="0" collapsed="false">
      <c r="A47" s="0" t="n">
        <v>42</v>
      </c>
      <c r="B47" s="22" t="n">
        <f aca="false">IF(A47=0,Inputs!$B$10,IF(A47&lt;3,Inputs!$B$11,Inputs!$B$12))</f>
        <v>0.04</v>
      </c>
      <c r="C47" s="17" t="n">
        <f aca="false">C46*(1-B46)</f>
        <v>0.160836634251073</v>
      </c>
      <c r="D47" s="23" t="n">
        <f aca="false">1-C47</f>
        <v>0.839163365748927</v>
      </c>
      <c r="E47" s="23" t="n">
        <f aca="false">Payor!D62</f>
        <v>0.3</v>
      </c>
      <c r="F47" s="16" t="n">
        <f aca="false">C47*Inputs!$B$8</f>
        <v>0.448734209560494</v>
      </c>
      <c r="G47" s="16" t="n">
        <f aca="false">F47*Inputs!$B$19*E47</f>
        <v>0.0740411445774816</v>
      </c>
      <c r="H47" s="16" t="n">
        <f aca="false">F47-G47</f>
        <v>0.374693064983013</v>
      </c>
      <c r="J47" s="17" t="n">
        <f aca="false">J46+C47</f>
        <v>18.6194239029742</v>
      </c>
    </row>
    <row r="48" customFormat="false" ht="15" hidden="false" customHeight="false" outlineLevel="0" collapsed="false">
      <c r="A48" s="0" t="n">
        <v>43</v>
      </c>
      <c r="B48" s="22" t="n">
        <f aca="false">IF(A48=0,Inputs!$B$10,IF(A48&lt;3,Inputs!$B$11,Inputs!$B$12))</f>
        <v>0.04</v>
      </c>
      <c r="C48" s="17" t="n">
        <f aca="false">C47*(1-B47)</f>
        <v>0.15440316888103</v>
      </c>
      <c r="D48" s="23" t="n">
        <f aca="false">1-C48</f>
        <v>0.84559683111897</v>
      </c>
      <c r="E48" s="23" t="n">
        <f aca="false">Payor!D63</f>
        <v>0.3</v>
      </c>
      <c r="F48" s="16" t="n">
        <f aca="false">C48*Inputs!$B$8</f>
        <v>0.430784841178075</v>
      </c>
      <c r="G48" s="16" t="n">
        <f aca="false">F48*Inputs!$B$19*E48</f>
        <v>0.0710794987943823</v>
      </c>
      <c r="H48" s="16" t="n">
        <f aca="false">F48-G48</f>
        <v>0.359705342383692</v>
      </c>
      <c r="J48" s="17" t="n">
        <f aca="false">J47+C48</f>
        <v>18.7738270718553</v>
      </c>
    </row>
    <row r="49" customFormat="false" ht="15" hidden="false" customHeight="false" outlineLevel="0" collapsed="false">
      <c r="A49" s="0" t="n">
        <v>44</v>
      </c>
      <c r="B49" s="22" t="n">
        <f aca="false">IF(A49=0,Inputs!$B$10,IF(A49&lt;3,Inputs!$B$11,Inputs!$B$12))</f>
        <v>0.04</v>
      </c>
      <c r="C49" s="17" t="n">
        <f aca="false">C48*(1-B48)</f>
        <v>0.148227042125789</v>
      </c>
      <c r="D49" s="23" t="n">
        <f aca="false">1-C49</f>
        <v>0.851772957874211</v>
      </c>
      <c r="E49" s="23" t="n">
        <f aca="false">Payor!D64</f>
        <v>0.3</v>
      </c>
      <c r="F49" s="16" t="n">
        <f aca="false">C49*Inputs!$B$8</f>
        <v>0.413553447530952</v>
      </c>
      <c r="G49" s="16" t="n">
        <f aca="false">F49*Inputs!$B$19*E49</f>
        <v>0.068236318842607</v>
      </c>
      <c r="H49" s="16" t="n">
        <f aca="false">F49-G49</f>
        <v>0.345317128688345</v>
      </c>
      <c r="J49" s="17" t="n">
        <f aca="false">J48+C49</f>
        <v>18.922054113981</v>
      </c>
    </row>
    <row r="50" customFormat="false" ht="15" hidden="false" customHeight="false" outlineLevel="0" collapsed="false">
      <c r="A50" s="0" t="n">
        <v>45</v>
      </c>
      <c r="B50" s="22" t="n">
        <f aca="false">IF(A50=0,Inputs!$B$10,IF(A50&lt;3,Inputs!$B$11,Inputs!$B$12))</f>
        <v>0.04</v>
      </c>
      <c r="C50" s="17" t="n">
        <f aca="false">C49*(1-B49)</f>
        <v>0.142297960440758</v>
      </c>
      <c r="D50" s="23" t="n">
        <f aca="false">1-C50</f>
        <v>0.857702039559243</v>
      </c>
      <c r="E50" s="23" t="n">
        <f aca="false">Payor!D65</f>
        <v>0.3</v>
      </c>
      <c r="F50" s="16" t="n">
        <f aca="false">C50*Inputs!$B$8</f>
        <v>0.397011309629714</v>
      </c>
      <c r="G50" s="16" t="n">
        <f aca="false">F50*Inputs!$B$19*E50</f>
        <v>0.0655068660889027</v>
      </c>
      <c r="H50" s="16" t="n">
        <f aca="false">F50-G50</f>
        <v>0.331504443540811</v>
      </c>
      <c r="J50" s="17" t="n">
        <f aca="false">J49+C50</f>
        <v>19.0643520744218</v>
      </c>
    </row>
    <row r="51" customFormat="false" ht="15" hidden="false" customHeight="false" outlineLevel="0" collapsed="false">
      <c r="A51" s="0" t="n">
        <v>46</v>
      </c>
      <c r="B51" s="22" t="n">
        <f aca="false">IF(A51=0,Inputs!$B$10,IF(A51&lt;3,Inputs!$B$11,Inputs!$B$12))</f>
        <v>0.04</v>
      </c>
      <c r="C51" s="17" t="n">
        <f aca="false">C50*(1-B50)</f>
        <v>0.136606042023127</v>
      </c>
      <c r="D51" s="23" t="n">
        <f aca="false">1-C51</f>
        <v>0.863393957976873</v>
      </c>
      <c r="E51" s="23" t="n">
        <f aca="false">Payor!D66</f>
        <v>0.3</v>
      </c>
      <c r="F51" s="16" t="n">
        <f aca="false">C51*Inputs!$B$8</f>
        <v>0.381130857244525</v>
      </c>
      <c r="G51" s="16" t="n">
        <f aca="false">F51*Inputs!$B$19*E51</f>
        <v>0.0628865914453466</v>
      </c>
      <c r="H51" s="16" t="n">
        <f aca="false">F51-G51</f>
        <v>0.318244265799178</v>
      </c>
      <c r="J51" s="17" t="n">
        <f aca="false">J50+C51</f>
        <v>19.2009581164449</v>
      </c>
    </row>
    <row r="52" customFormat="false" ht="15" hidden="false" customHeight="false" outlineLevel="0" collapsed="false">
      <c r="A52" s="0" t="n">
        <v>47</v>
      </c>
      <c r="B52" s="22" t="n">
        <f aca="false">IF(A52=0,Inputs!$B$10,IF(A52&lt;3,Inputs!$B$11,Inputs!$B$12))</f>
        <v>0.04</v>
      </c>
      <c r="C52" s="17" t="n">
        <f aca="false">C51*(1-B51)</f>
        <v>0.131141800342202</v>
      </c>
      <c r="D52" s="23" t="n">
        <f aca="false">1-C52</f>
        <v>0.868858199657798</v>
      </c>
      <c r="E52" s="23" t="n">
        <f aca="false">Payor!D67</f>
        <v>0.3</v>
      </c>
      <c r="F52" s="16" t="n">
        <f aca="false">C52*Inputs!$B$8</f>
        <v>0.365885622954744</v>
      </c>
      <c r="G52" s="16" t="n">
        <f aca="false">F52*Inputs!$B$19*E52</f>
        <v>0.0603711277875327</v>
      </c>
      <c r="H52" s="16" t="n">
        <f aca="false">F52-G52</f>
        <v>0.305514495167211</v>
      </c>
      <c r="J52" s="17" t="n">
        <f aca="false">J51+C52</f>
        <v>19.3320999167871</v>
      </c>
    </row>
    <row r="53" customFormat="false" ht="15" hidden="false" customHeight="false" outlineLevel="0" collapsed="false">
      <c r="A53" s="0" t="n">
        <v>48</v>
      </c>
      <c r="B53" s="22" t="n">
        <f aca="false">IF(A53=0,Inputs!$B$10,IF(A53&lt;3,Inputs!$B$11,Inputs!$B$12))</f>
        <v>0.04</v>
      </c>
      <c r="C53" s="17" t="n">
        <f aca="false">C52*(1-B52)</f>
        <v>0.125896128328514</v>
      </c>
      <c r="D53" s="23" t="n">
        <f aca="false">1-C53</f>
        <v>0.874103871671486</v>
      </c>
      <c r="E53" s="23" t="n">
        <f aca="false">Payor!D68</f>
        <v>0.3</v>
      </c>
      <c r="F53" s="16" t="n">
        <f aca="false">C53*Inputs!$B$8</f>
        <v>0.351250198036554</v>
      </c>
      <c r="G53" s="16" t="n">
        <f aca="false">F53*Inputs!$B$19*E53</f>
        <v>0.0579562826760314</v>
      </c>
      <c r="H53" s="16" t="n">
        <f aca="false">F53-G53</f>
        <v>0.293293915360523</v>
      </c>
      <c r="J53" s="17" t="n">
        <f aca="false">J52+C53</f>
        <v>19.4579960451156</v>
      </c>
    </row>
    <row r="54" customFormat="false" ht="15" hidden="false" customHeight="false" outlineLevel="0" collapsed="false">
      <c r="A54" s="0" t="n">
        <v>49</v>
      </c>
      <c r="B54" s="22" t="n">
        <f aca="false">IF(A54=0,Inputs!$B$10,IF(A54&lt;3,Inputs!$B$11,Inputs!$B$12))</f>
        <v>0.04</v>
      </c>
      <c r="C54" s="17" t="n">
        <f aca="false">C53*(1-B53)</f>
        <v>0.120860283195373</v>
      </c>
      <c r="D54" s="23" t="n">
        <f aca="false">1-C54</f>
        <v>0.879139716804627</v>
      </c>
      <c r="E54" s="23" t="n">
        <f aca="false">Payor!D69</f>
        <v>0.3</v>
      </c>
      <c r="F54" s="16" t="n">
        <f aca="false">C54*Inputs!$B$8</f>
        <v>0.337200190115092</v>
      </c>
      <c r="G54" s="16" t="n">
        <f aca="false">F54*Inputs!$B$19*E54</f>
        <v>0.0556380313689902</v>
      </c>
      <c r="H54" s="16" t="n">
        <f aca="false">F54-G54</f>
        <v>0.281562158746102</v>
      </c>
      <c r="J54" s="17" t="n">
        <f aca="false">J53+C54</f>
        <v>19.578856328311</v>
      </c>
    </row>
    <row r="55" customFormat="false" ht="15" hidden="false" customHeight="false" outlineLevel="0" collapsed="false">
      <c r="A55" s="0" t="n">
        <v>50</v>
      </c>
      <c r="B55" s="22" t="n">
        <f aca="false">IF(A55=0,Inputs!$B$10,IF(A55&lt;3,Inputs!$B$11,Inputs!$B$12))</f>
        <v>0.04</v>
      </c>
      <c r="C55" s="17" t="n">
        <f aca="false">C54*(1-B54)</f>
        <v>0.116025871867559</v>
      </c>
      <c r="D55" s="23" t="n">
        <f aca="false">1-C55</f>
        <v>0.883974128132442</v>
      </c>
      <c r="E55" s="23" t="n">
        <f aca="false">Payor!D70</f>
        <v>0.3</v>
      </c>
      <c r="F55" s="16" t="n">
        <f aca="false">C55*Inputs!$B$8</f>
        <v>0.323712182510488</v>
      </c>
      <c r="G55" s="16" t="n">
        <f aca="false">F55*Inputs!$B$19*E55</f>
        <v>0.0534125101142306</v>
      </c>
      <c r="H55" s="16" t="n">
        <f aca="false">F55-G55</f>
        <v>0.270299672396258</v>
      </c>
      <c r="J55" s="17" t="n">
        <f aca="false">J54+C55</f>
        <v>19.6948822001786</v>
      </c>
    </row>
    <row r="56" customFormat="false" ht="15" hidden="false" customHeight="false" outlineLevel="0" collapsed="false">
      <c r="A56" s="0" t="n">
        <v>51</v>
      </c>
      <c r="B56" s="22" t="n">
        <f aca="false">IF(A56=0,Inputs!$B$10,IF(A56&lt;3,Inputs!$B$11,Inputs!$B$12))</f>
        <v>0.04</v>
      </c>
      <c r="C56" s="17" t="n">
        <f aca="false">C55*(1-B55)</f>
        <v>0.111384836992856</v>
      </c>
      <c r="D56" s="23" t="n">
        <f aca="false">1-C56</f>
        <v>0.888615163007144</v>
      </c>
      <c r="E56" s="23" t="n">
        <f aca="false">Payor!D71</f>
        <v>0.3</v>
      </c>
      <c r="F56" s="16" t="n">
        <f aca="false">C56*Inputs!$B$8</f>
        <v>0.310763695210069</v>
      </c>
      <c r="G56" s="16" t="n">
        <f aca="false">F56*Inputs!$B$19*E56</f>
        <v>0.0512760097096614</v>
      </c>
      <c r="H56" s="16" t="n">
        <f aca="false">F56-G56</f>
        <v>0.259487685500407</v>
      </c>
      <c r="J56" s="17" t="n">
        <f aca="false">J55+C56</f>
        <v>19.8062670371714</v>
      </c>
    </row>
    <row r="57" customFormat="false" ht="15" hidden="false" customHeight="false" outlineLevel="0" collapsed="false">
      <c r="A57" s="0" t="n">
        <v>52</v>
      </c>
      <c r="B57" s="22" t="n">
        <f aca="false">IF(A57=0,Inputs!$B$10,IF(A57&lt;3,Inputs!$B$11,Inputs!$B$12))</f>
        <v>0.04</v>
      </c>
      <c r="C57" s="17" t="n">
        <f aca="false">C56*(1-B56)</f>
        <v>0.106929443513142</v>
      </c>
      <c r="D57" s="23" t="n">
        <f aca="false">1-C57</f>
        <v>0.893070556486858</v>
      </c>
      <c r="E57" s="23" t="n">
        <f aca="false">Payor!D72</f>
        <v>0.2</v>
      </c>
      <c r="F57" s="16" t="n">
        <f aca="false">C57*Inputs!$B$8</f>
        <v>0.298333147401666</v>
      </c>
      <c r="G57" s="16" t="n">
        <f aca="false">F57*Inputs!$B$19*E57</f>
        <v>0.0328166462141833</v>
      </c>
      <c r="H57" s="16" t="n">
        <f aca="false">F57-G57</f>
        <v>0.265516501187483</v>
      </c>
      <c r="J57" s="17" t="n">
        <f aca="false">J56+C57</f>
        <v>19.9131964806846</v>
      </c>
    </row>
    <row r="58" customFormat="false" ht="15" hidden="false" customHeight="false" outlineLevel="0" collapsed="false">
      <c r="A58" s="0" t="n">
        <v>53</v>
      </c>
      <c r="B58" s="22" t="n">
        <f aca="false">IF(A58=0,Inputs!$B$10,IF(A58&lt;3,Inputs!$B$11,Inputs!$B$12))</f>
        <v>0.04</v>
      </c>
      <c r="C58" s="17" t="n">
        <f aca="false">C57*(1-B57)</f>
        <v>0.102652265772616</v>
      </c>
      <c r="D58" s="23" t="n">
        <f aca="false">1-C58</f>
        <v>0.897347734227384</v>
      </c>
      <c r="E58" s="23" t="n">
        <f aca="false">Payor!D73</f>
        <v>0.2</v>
      </c>
      <c r="F58" s="16" t="n">
        <f aca="false">C58*Inputs!$B$8</f>
        <v>0.286399821505599</v>
      </c>
      <c r="G58" s="16" t="n">
        <f aca="false">F58*Inputs!$B$19*E58</f>
        <v>0.0315039803656159</v>
      </c>
      <c r="H58" s="16" t="n">
        <f aca="false">F58-G58</f>
        <v>0.254895841139983</v>
      </c>
      <c r="J58" s="17" t="n">
        <f aca="false">J57+C58</f>
        <v>20.0158487464572</v>
      </c>
    </row>
    <row r="59" customFormat="false" ht="15" hidden="false" customHeight="false" outlineLevel="0" collapsed="false">
      <c r="A59" s="0" t="n">
        <v>54</v>
      </c>
      <c r="B59" s="22" t="n">
        <f aca="false">IF(A59=0,Inputs!$B$10,IF(A59&lt;3,Inputs!$B$11,Inputs!$B$12))</f>
        <v>0.04</v>
      </c>
      <c r="C59" s="17" t="n">
        <f aca="false">C58*(1-B58)</f>
        <v>0.0985461751417116</v>
      </c>
      <c r="D59" s="23" t="n">
        <f aca="false">1-C59</f>
        <v>0.901453824858288</v>
      </c>
      <c r="E59" s="23" t="n">
        <f aca="false">Payor!D74</f>
        <v>0.2</v>
      </c>
      <c r="F59" s="16" t="n">
        <f aca="false">C59*Inputs!$B$8</f>
        <v>0.274943828645375</v>
      </c>
      <c r="G59" s="16" t="n">
        <f aca="false">F59*Inputs!$B$19*E59</f>
        <v>0.0302438211509913</v>
      </c>
      <c r="H59" s="16" t="n">
        <f aca="false">F59-G59</f>
        <v>0.244700007494384</v>
      </c>
      <c r="J59" s="17" t="n">
        <f aca="false">J58+C59</f>
        <v>20.1143949215989</v>
      </c>
    </row>
    <row r="60" customFormat="false" ht="15" hidden="false" customHeight="false" outlineLevel="0" collapsed="false">
      <c r="A60" s="0" t="n">
        <v>55</v>
      </c>
      <c r="B60" s="22" t="n">
        <f aca="false">IF(A60=0,Inputs!$B$10,IF(A60&lt;3,Inputs!$B$11,Inputs!$B$12))</f>
        <v>0.04</v>
      </c>
      <c r="C60" s="17" t="n">
        <f aca="false">C59*(1-B59)</f>
        <v>0.0946043281360431</v>
      </c>
      <c r="D60" s="23" t="n">
        <f aca="false">1-C60</f>
        <v>0.905395671863957</v>
      </c>
      <c r="E60" s="23" t="n">
        <f aca="false">Payor!D75</f>
        <v>0.2</v>
      </c>
      <c r="F60" s="16" t="n">
        <f aca="false">C60*Inputs!$B$8</f>
        <v>0.26394607549956</v>
      </c>
      <c r="G60" s="16" t="n">
        <f aca="false">F60*Inputs!$B$19*E60</f>
        <v>0.0290340683049516</v>
      </c>
      <c r="H60" s="16" t="n">
        <f aca="false">F60-G60</f>
        <v>0.234912007194609</v>
      </c>
      <c r="J60" s="17" t="n">
        <f aca="false">J59+C60</f>
        <v>20.2089992497349</v>
      </c>
    </row>
    <row r="61" customFormat="false" ht="15" hidden="false" customHeight="false" outlineLevel="0" collapsed="false">
      <c r="A61" s="0" t="n">
        <v>56</v>
      </c>
      <c r="B61" s="22" t="n">
        <f aca="false">IF(A61=0,Inputs!$B$10,IF(A61&lt;3,Inputs!$B$11,Inputs!$B$12))</f>
        <v>0.04</v>
      </c>
      <c r="C61" s="17" t="n">
        <f aca="false">C60*(1-B60)</f>
        <v>0.0908201550106014</v>
      </c>
      <c r="D61" s="23" t="n">
        <f aca="false">1-C61</f>
        <v>0.909179844989399</v>
      </c>
      <c r="E61" s="23" t="n">
        <f aca="false">Payor!D76</f>
        <v>0.2</v>
      </c>
      <c r="F61" s="16" t="n">
        <f aca="false">C61*Inputs!$B$8</f>
        <v>0.253388232479578</v>
      </c>
      <c r="G61" s="16" t="n">
        <f aca="false">F61*Inputs!$B$19*E61</f>
        <v>0.0278727055727536</v>
      </c>
      <c r="H61" s="16" t="n">
        <f aca="false">F61-G61</f>
        <v>0.225515526906824</v>
      </c>
      <c r="J61" s="17" t="n">
        <f aca="false">J60+C61</f>
        <v>20.2998194047455</v>
      </c>
    </row>
    <row r="62" customFormat="false" ht="15" hidden="false" customHeight="false" outlineLevel="0" collapsed="false">
      <c r="A62" s="0" t="n">
        <v>57</v>
      </c>
      <c r="B62" s="22" t="n">
        <f aca="false">IF(A62=0,Inputs!$B$10,IF(A62&lt;3,Inputs!$B$11,Inputs!$B$12))</f>
        <v>0.04</v>
      </c>
      <c r="C62" s="17" t="n">
        <f aca="false">C61*(1-B61)</f>
        <v>0.0871873488101773</v>
      </c>
      <c r="D62" s="23" t="n">
        <f aca="false">1-C62</f>
        <v>0.912812651189823</v>
      </c>
      <c r="E62" s="23" t="n">
        <f aca="false">Payor!D77</f>
        <v>0.2</v>
      </c>
      <c r="F62" s="16" t="n">
        <f aca="false">C62*Inputs!$B$8</f>
        <v>0.243252703180395</v>
      </c>
      <c r="G62" s="16" t="n">
        <f aca="false">F62*Inputs!$B$19*E62</f>
        <v>0.0267577973498434</v>
      </c>
      <c r="H62" s="16" t="n">
        <f aca="false">F62-G62</f>
        <v>0.216494905830551</v>
      </c>
      <c r="J62" s="17" t="n">
        <f aca="false">J61+C62</f>
        <v>20.3870067535557</v>
      </c>
    </row>
    <row r="63" customFormat="false" ht="15" hidden="false" customHeight="false" outlineLevel="0" collapsed="false">
      <c r="A63" s="0" t="n">
        <v>58</v>
      </c>
      <c r="B63" s="22" t="n">
        <f aca="false">IF(A63=0,Inputs!$B$10,IF(A63&lt;3,Inputs!$B$11,Inputs!$B$12))</f>
        <v>0.04</v>
      </c>
      <c r="C63" s="17" t="n">
        <f aca="false">C62*(1-B62)</f>
        <v>0.0836998548577703</v>
      </c>
      <c r="D63" s="23" t="n">
        <f aca="false">1-C63</f>
        <v>0.91630014514223</v>
      </c>
      <c r="E63" s="23" t="n">
        <f aca="false">Payor!D78</f>
        <v>0.2</v>
      </c>
      <c r="F63" s="16" t="n">
        <f aca="false">C63*Inputs!$B$8</f>
        <v>0.233522595053179</v>
      </c>
      <c r="G63" s="16" t="n">
        <f aca="false">F63*Inputs!$B$19*E63</f>
        <v>0.0256874854558497</v>
      </c>
      <c r="H63" s="16" t="n">
        <f aca="false">F63-G63</f>
        <v>0.207835109597329</v>
      </c>
      <c r="J63" s="17" t="n">
        <f aca="false">J62+C63</f>
        <v>20.4707066084135</v>
      </c>
    </row>
    <row r="64" customFormat="false" ht="15" hidden="false" customHeight="false" outlineLevel="0" collapsed="false">
      <c r="A64" s="0" t="n">
        <v>59</v>
      </c>
      <c r="B64" s="22" t="n">
        <f aca="false">IF(A64=0,Inputs!$B$10,IF(A64&lt;3,Inputs!$B$11,Inputs!$B$12))</f>
        <v>0.04</v>
      </c>
      <c r="C64" s="17" t="n">
        <f aca="false">C63*(1-B63)</f>
        <v>0.0803518606634594</v>
      </c>
      <c r="D64" s="23" t="n">
        <f aca="false">1-C64</f>
        <v>0.919648139336541</v>
      </c>
      <c r="E64" s="23" t="n">
        <f aca="false">Payor!D79</f>
        <v>0.2</v>
      </c>
      <c r="F64" s="16" t="n">
        <f aca="false">C64*Inputs!$B$8</f>
        <v>0.224181691251052</v>
      </c>
      <c r="G64" s="16" t="n">
        <f aca="false">F64*Inputs!$B$19*E64</f>
        <v>0.0246599860376157</v>
      </c>
      <c r="H64" s="16" t="n">
        <f aca="false">F64-G64</f>
        <v>0.199521705213436</v>
      </c>
      <c r="J64" s="17" t="n">
        <f aca="false">J63+C64</f>
        <v>20.551058469077</v>
      </c>
    </row>
    <row r="65" customFormat="false" ht="15" hidden="false" customHeight="false" outlineLevel="0" collapsed="false">
      <c r="A65" s="0" t="n">
        <v>60</v>
      </c>
      <c r="B65" s="22" t="n">
        <f aca="false">IF(A65=0,Inputs!$B$10,IF(A65&lt;3,Inputs!$B$11,Inputs!$B$12))</f>
        <v>0.04</v>
      </c>
      <c r="C65" s="17" t="n">
        <f aca="false">C64*(1-B64)</f>
        <v>0.0771377862369211</v>
      </c>
      <c r="D65" s="23" t="n">
        <f aca="false">1-C65</f>
        <v>0.922862213763079</v>
      </c>
      <c r="E65" s="23" t="n">
        <f aca="false">Payor!D80</f>
        <v>0.2</v>
      </c>
      <c r="F65" s="16" t="n">
        <f aca="false">C65*Inputs!$B$8</f>
        <v>0.21521442360101</v>
      </c>
      <c r="G65" s="16" t="n">
        <f aca="false">F65*Inputs!$B$19*E65</f>
        <v>0.0236735865961111</v>
      </c>
      <c r="H65" s="16" t="n">
        <f aca="false">F65-G65</f>
        <v>0.191540837004899</v>
      </c>
      <c r="J65" s="17" t="n">
        <f aca="false">J64+C65</f>
        <v>20.6281962553139</v>
      </c>
    </row>
    <row r="66" customFormat="false" ht="15" hidden="false" customHeight="false" outlineLevel="0" collapsed="false">
      <c r="A66" s="0" t="n">
        <v>61</v>
      </c>
      <c r="B66" s="22" t="n">
        <f aca="false">IF(A66=0,Inputs!$B$10,IF(A66&lt;3,Inputs!$B$11,Inputs!$B$12))</f>
        <v>0.04</v>
      </c>
      <c r="C66" s="17" t="n">
        <f aca="false">C65*(1-B65)</f>
        <v>0.0740522747874442</v>
      </c>
      <c r="D66" s="23" t="n">
        <f aca="false">1-C66</f>
        <v>0.925947725212556</v>
      </c>
      <c r="E66" s="23" t="n">
        <f aca="false">Payor!D81</f>
        <v>0.2</v>
      </c>
      <c r="F66" s="16" t="n">
        <f aca="false">C66*Inputs!$B$8</f>
        <v>0.206605846656969</v>
      </c>
      <c r="G66" s="16" t="n">
        <f aca="false">F66*Inputs!$B$19*E66</f>
        <v>0.0227266431322666</v>
      </c>
      <c r="H66" s="16" t="n">
        <f aca="false">F66-G66</f>
        <v>0.183879203524703</v>
      </c>
      <c r="J66" s="17" t="n">
        <f aca="false">J65+C66</f>
        <v>20.7022485301013</v>
      </c>
    </row>
    <row r="67" customFormat="false" ht="15" hidden="false" customHeight="false" outlineLevel="0" collapsed="false">
      <c r="A67" s="0" t="n">
        <v>62</v>
      </c>
      <c r="B67" s="22" t="n">
        <f aca="false">IF(A67=0,Inputs!$B$10,IF(A67&lt;3,Inputs!$B$11,Inputs!$B$12))</f>
        <v>0.04</v>
      </c>
      <c r="C67" s="17" t="n">
        <f aca="false">C66*(1-B66)</f>
        <v>0.0710901837959464</v>
      </c>
      <c r="D67" s="23" t="n">
        <f aca="false">1-C67</f>
        <v>0.928909816204054</v>
      </c>
      <c r="E67" s="23" t="n">
        <f aca="false">Payor!D82</f>
        <v>0.2</v>
      </c>
      <c r="F67" s="16" t="n">
        <f aca="false">C67*Inputs!$B$8</f>
        <v>0.198341612790691</v>
      </c>
      <c r="G67" s="16" t="n">
        <f aca="false">F67*Inputs!$B$19*E67</f>
        <v>0.021817577406976</v>
      </c>
      <c r="H67" s="16" t="n">
        <f aca="false">F67-G67</f>
        <v>0.176524035383715</v>
      </c>
      <c r="J67" s="17" t="n">
        <f aca="false">J66+C67</f>
        <v>20.7733387138973</v>
      </c>
    </row>
    <row r="68" customFormat="false" ht="15" hidden="false" customHeight="false" outlineLevel="0" collapsed="false">
      <c r="A68" s="0" t="n">
        <v>63</v>
      </c>
      <c r="B68" s="22" t="n">
        <f aca="false">IF(A68=0,Inputs!$B$10,IF(A68&lt;3,Inputs!$B$11,Inputs!$B$12))</f>
        <v>0.04</v>
      </c>
      <c r="C68" s="17" t="n">
        <f aca="false">C67*(1-B67)</f>
        <v>0.0682465764441086</v>
      </c>
      <c r="D68" s="23" t="n">
        <f aca="false">1-C68</f>
        <v>0.931753423555891</v>
      </c>
      <c r="E68" s="23" t="n">
        <f aca="false">Payor!D83</f>
        <v>0.2</v>
      </c>
      <c r="F68" s="16" t="n">
        <f aca="false">C68*Inputs!$B$8</f>
        <v>0.190407948279063</v>
      </c>
      <c r="G68" s="16" t="n">
        <f aca="false">F68*Inputs!$B$19*E68</f>
        <v>0.0209448743106969</v>
      </c>
      <c r="H68" s="16" t="n">
        <f aca="false">F68-G68</f>
        <v>0.169463073968366</v>
      </c>
      <c r="J68" s="17" t="n">
        <f aca="false">J67+C68</f>
        <v>20.8415852903414</v>
      </c>
    </row>
    <row r="69" customFormat="false" ht="15" hidden="false" customHeight="false" outlineLevel="0" collapsed="false">
      <c r="A69" s="0" t="n">
        <v>64</v>
      </c>
      <c r="B69" s="22" t="n">
        <f aca="false">IF(A69=0,Inputs!$B$10,IF(A69&lt;3,Inputs!$B$11,Inputs!$B$12))</f>
        <v>0.04</v>
      </c>
      <c r="C69" s="17" t="n">
        <f aca="false">C68*(1-B68)</f>
        <v>0.0655167133863442</v>
      </c>
      <c r="D69" s="23" t="n">
        <f aca="false">1-C69</f>
        <v>0.934483286613656</v>
      </c>
      <c r="E69" s="23" t="n">
        <f aca="false">Payor!D84</f>
        <v>0.2</v>
      </c>
      <c r="F69" s="16" t="n">
        <f aca="false">C69*Inputs!$B$8</f>
        <v>0.1827916303479</v>
      </c>
      <c r="G69" s="16" t="n">
        <f aca="false">F69*Inputs!$B$19*E69</f>
        <v>0.020107079338269</v>
      </c>
      <c r="H69" s="16" t="n">
        <f aca="false">F69-G69</f>
        <v>0.162684551009631</v>
      </c>
      <c r="J69" s="17" t="n">
        <f aca="false">J68+C69</f>
        <v>20.9071020037277</v>
      </c>
    </row>
    <row r="70" customFormat="false" ht="15" hidden="false" customHeight="false" outlineLevel="0" collapsed="false">
      <c r="A70" s="0" t="n">
        <v>65</v>
      </c>
      <c r="B70" s="22" t="n">
        <f aca="false">IF(A70=0,Inputs!$B$10,IF(A70&lt;3,Inputs!$B$11,Inputs!$B$12))</f>
        <v>0.04</v>
      </c>
      <c r="C70" s="17" t="n">
        <f aca="false">C69*(1-B69)</f>
        <v>0.0628960448508905</v>
      </c>
      <c r="D70" s="23" t="n">
        <f aca="false">1-C70</f>
        <v>0.93710395514911</v>
      </c>
      <c r="E70" s="23" t="n">
        <f aca="false">Payor!D85</f>
        <v>0.2</v>
      </c>
      <c r="F70" s="16" t="n">
        <f aca="false">C70*Inputs!$B$8</f>
        <v>0.175479965133984</v>
      </c>
      <c r="G70" s="16" t="n">
        <f aca="false">F70*Inputs!$B$19*E70</f>
        <v>0.0193027961647383</v>
      </c>
      <c r="H70" s="16" t="n">
        <f aca="false">F70-G70</f>
        <v>0.156177168969246</v>
      </c>
      <c r="J70" s="17" t="n">
        <f aca="false">J69+C70</f>
        <v>20.9699980485786</v>
      </c>
    </row>
    <row r="71" customFormat="false" ht="15" hidden="false" customHeight="false" outlineLevel="0" collapsed="false">
      <c r="A71" s="0" t="n">
        <v>66</v>
      </c>
      <c r="B71" s="22" t="n">
        <f aca="false">IF(A71=0,Inputs!$B$10,IF(A71&lt;3,Inputs!$B$11,Inputs!$B$12))</f>
        <v>0.04</v>
      </c>
      <c r="C71" s="17" t="n">
        <f aca="false">C70*(1-B70)</f>
        <v>0.0603802030568548</v>
      </c>
      <c r="D71" s="23" t="n">
        <f aca="false">1-C71</f>
        <v>0.939619796943145</v>
      </c>
      <c r="E71" s="23" t="n">
        <f aca="false">Payor!D86</f>
        <v>0.2</v>
      </c>
      <c r="F71" s="16" t="n">
        <f aca="false">C71*Inputs!$B$8</f>
        <v>0.168460766528625</v>
      </c>
      <c r="G71" s="16" t="n">
        <f aca="false">F71*Inputs!$B$19*E71</f>
        <v>0.0185306843181488</v>
      </c>
      <c r="H71" s="16" t="n">
        <f aca="false">F71-G71</f>
        <v>0.149930082210476</v>
      </c>
      <c r="J71" s="17" t="n">
        <f aca="false">J70+C71</f>
        <v>21.0303782516355</v>
      </c>
    </row>
    <row r="72" customFormat="false" ht="15" hidden="false" customHeight="false" outlineLevel="0" collapsed="false">
      <c r="A72" s="0" t="n">
        <v>67</v>
      </c>
      <c r="B72" s="22" t="n">
        <f aca="false">IF(A72=0,Inputs!$B$10,IF(A72&lt;3,Inputs!$B$11,Inputs!$B$12))</f>
        <v>0.04</v>
      </c>
      <c r="C72" s="17" t="n">
        <f aca="false">C71*(1-B71)</f>
        <v>0.0579649949345806</v>
      </c>
      <c r="D72" s="23" t="n">
        <f aca="false">1-C72</f>
        <v>0.942035005065419</v>
      </c>
      <c r="E72" s="23" t="n">
        <f aca="false">Payor!D87</f>
        <v>0.2</v>
      </c>
      <c r="F72" s="16" t="n">
        <f aca="false">C72*Inputs!$B$8</f>
        <v>0.16172233586748</v>
      </c>
      <c r="G72" s="16" t="n">
        <f aca="false">F72*Inputs!$B$19*E72</f>
        <v>0.0177894569454228</v>
      </c>
      <c r="H72" s="16" t="n">
        <f aca="false">F72-G72</f>
        <v>0.143932878922057</v>
      </c>
      <c r="J72" s="17" t="n">
        <f aca="false">J71+C72</f>
        <v>21.08834324657</v>
      </c>
    </row>
    <row r="73" customFormat="false" ht="15" hidden="false" customHeight="false" outlineLevel="0" collapsed="false">
      <c r="A73" s="0" t="n">
        <v>68</v>
      </c>
      <c r="B73" s="22" t="n">
        <f aca="false">IF(A73=0,Inputs!$B$10,IF(A73&lt;3,Inputs!$B$11,Inputs!$B$12))</f>
        <v>0.04</v>
      </c>
      <c r="C73" s="17" t="n">
        <f aca="false">C72*(1-B72)</f>
        <v>0.0556463951371974</v>
      </c>
      <c r="D73" s="23" t="n">
        <f aca="false">1-C73</f>
        <v>0.944353604862803</v>
      </c>
      <c r="E73" s="23" t="n">
        <f aca="false">Payor!D88</f>
        <v>0.1</v>
      </c>
      <c r="F73" s="16" t="n">
        <f aca="false">C73*Inputs!$B$8</f>
        <v>0.155253442432781</v>
      </c>
      <c r="G73" s="16" t="n">
        <f aca="false">F73*Inputs!$B$19*E73</f>
        <v>0.00853893933380294</v>
      </c>
      <c r="H73" s="16" t="n">
        <f aca="false">F73-G73</f>
        <v>0.146714503098978</v>
      </c>
      <c r="J73" s="17" t="n">
        <f aca="false">J72+C73</f>
        <v>21.1439896417072</v>
      </c>
    </row>
    <row r="74" customFormat="false" ht="15" hidden="false" customHeight="false" outlineLevel="0" collapsed="false">
      <c r="A74" s="0" t="n">
        <v>69</v>
      </c>
      <c r="B74" s="22" t="n">
        <f aca="false">IF(A74=0,Inputs!$B$10,IF(A74&lt;3,Inputs!$B$11,Inputs!$B$12))</f>
        <v>0.04</v>
      </c>
      <c r="C74" s="17" t="n">
        <f aca="false">C73*(1-B73)</f>
        <v>0.0534205393317095</v>
      </c>
      <c r="D74" s="23" t="n">
        <f aca="false">1-C74</f>
        <v>0.946579460668291</v>
      </c>
      <c r="E74" s="23" t="n">
        <f aca="false">Payor!D89</f>
        <v>0.1</v>
      </c>
      <c r="F74" s="16" t="n">
        <f aca="false">C74*Inputs!$B$8</f>
        <v>0.14904330473547</v>
      </c>
      <c r="G74" s="16" t="n">
        <f aca="false">F74*Inputs!$B$19*E74</f>
        <v>0.00819738176045083</v>
      </c>
      <c r="H74" s="16" t="n">
        <f aca="false">F74-G74</f>
        <v>0.140845922975019</v>
      </c>
      <c r="J74" s="17" t="n">
        <f aca="false">J73+C74</f>
        <v>21.197410181039</v>
      </c>
    </row>
    <row r="75" customFormat="false" ht="15" hidden="false" customHeight="false" outlineLevel="0" collapsed="false">
      <c r="A75" s="0" t="n">
        <v>70</v>
      </c>
      <c r="B75" s="22" t="n">
        <f aca="false">IF(A75=0,Inputs!$B$10,IF(A75&lt;3,Inputs!$B$11,Inputs!$B$12))</f>
        <v>0.04</v>
      </c>
      <c r="C75" s="17" t="n">
        <f aca="false">C74*(1-B74)</f>
        <v>0.0512837177584411</v>
      </c>
      <c r="D75" s="23" t="n">
        <f aca="false">1-C75</f>
        <v>0.948716282241559</v>
      </c>
      <c r="E75" s="23" t="n">
        <f aca="false">Payor!D90</f>
        <v>0.1</v>
      </c>
      <c r="F75" s="16" t="n">
        <f aca="false">C75*Inputs!$B$8</f>
        <v>0.143081572546051</v>
      </c>
      <c r="G75" s="16" t="n">
        <f aca="false">F75*Inputs!$B$19*E75</f>
        <v>0.00786948649003279</v>
      </c>
      <c r="H75" s="16" t="n">
        <f aca="false">F75-G75</f>
        <v>0.135212086056018</v>
      </c>
      <c r="J75" s="17" t="n">
        <f aca="false">J74+C75</f>
        <v>21.2486938987974</v>
      </c>
    </row>
    <row r="76" customFormat="false" ht="15" hidden="false" customHeight="false" outlineLevel="0" collapsed="false">
      <c r="A76" s="0" t="n">
        <v>71</v>
      </c>
      <c r="B76" s="22" t="n">
        <f aca="false">IF(A76=0,Inputs!$B$10,IF(A76&lt;3,Inputs!$B$11,Inputs!$B$12))</f>
        <v>0.04</v>
      </c>
      <c r="C76" s="17" t="n">
        <f aca="false">C75*(1-B75)</f>
        <v>0.0492323690481035</v>
      </c>
      <c r="D76" s="23" t="n">
        <f aca="false">1-C76</f>
        <v>0.950767630951897</v>
      </c>
      <c r="E76" s="23" t="n">
        <f aca="false">Payor!D91</f>
        <v>0.1</v>
      </c>
      <c r="F76" s="16" t="n">
        <f aca="false">C76*Inputs!$B$8</f>
        <v>0.137358309644209</v>
      </c>
      <c r="G76" s="16" t="n">
        <f aca="false">F76*Inputs!$B$19*E76</f>
        <v>0.00755470703043148</v>
      </c>
      <c r="H76" s="16" t="n">
        <f aca="false">F76-G76</f>
        <v>0.129803602613777</v>
      </c>
      <c r="J76" s="17" t="n">
        <f aca="false">J75+C76</f>
        <v>21.2979262678455</v>
      </c>
    </row>
    <row r="77" customFormat="false" ht="15" hidden="false" customHeight="false" outlineLevel="0" collapsed="false">
      <c r="A77" s="0" t="n">
        <v>72</v>
      </c>
      <c r="B77" s="22" t="n">
        <f aca="false">IF(A77=0,Inputs!$B$10,IF(A77&lt;3,Inputs!$B$11,Inputs!$B$12))</f>
        <v>0.04</v>
      </c>
      <c r="C77" s="17" t="n">
        <f aca="false">C76*(1-B76)</f>
        <v>0.0472630742861794</v>
      </c>
      <c r="D77" s="23" t="n">
        <f aca="false">1-C77</f>
        <v>0.952736925713821</v>
      </c>
      <c r="E77" s="23" t="n">
        <f aca="false">Payor!D92</f>
        <v>0.1</v>
      </c>
      <c r="F77" s="16" t="n">
        <f aca="false">C77*Inputs!$B$8</f>
        <v>0.13186397725844</v>
      </c>
      <c r="G77" s="16" t="n">
        <f aca="false">F77*Inputs!$B$19*E77</f>
        <v>0.00725251874921422</v>
      </c>
      <c r="H77" s="16" t="n">
        <f aca="false">F77-G77</f>
        <v>0.124611458509226</v>
      </c>
      <c r="J77" s="17" t="n">
        <f aca="false">J76+C77</f>
        <v>21.3451893421317</v>
      </c>
    </row>
    <row r="78" customFormat="false" ht="15" hidden="false" customHeight="false" outlineLevel="0" collapsed="false">
      <c r="A78" s="0" t="n">
        <v>73</v>
      </c>
      <c r="B78" s="22" t="n">
        <f aca="false">IF(A78=0,Inputs!$B$10,IF(A78&lt;3,Inputs!$B$11,Inputs!$B$12))</f>
        <v>0.04</v>
      </c>
      <c r="C78" s="17" t="n">
        <f aca="false">C77*(1-B77)</f>
        <v>0.0453725513147322</v>
      </c>
      <c r="D78" s="23" t="n">
        <f aca="false">1-C78</f>
        <v>0.954627448685268</v>
      </c>
      <c r="E78" s="23" t="n">
        <f aca="false">Payor!D93</f>
        <v>0.1</v>
      </c>
      <c r="F78" s="16" t="n">
        <f aca="false">C78*Inputs!$B$8</f>
        <v>0.126589418168103</v>
      </c>
      <c r="G78" s="16" t="n">
        <f aca="false">F78*Inputs!$B$19*E78</f>
        <v>0.00696241799924565</v>
      </c>
      <c r="H78" s="16" t="n">
        <f aca="false">F78-G78</f>
        <v>0.119627000168857</v>
      </c>
      <c r="J78" s="17" t="n">
        <f aca="false">J77+C78</f>
        <v>21.3905618934464</v>
      </c>
    </row>
    <row r="79" customFormat="false" ht="15" hidden="false" customHeight="false" outlineLevel="0" collapsed="false">
      <c r="A79" s="0" t="n">
        <v>74</v>
      </c>
      <c r="B79" s="22" t="n">
        <f aca="false">IF(A79=0,Inputs!$B$10,IF(A79&lt;3,Inputs!$B$11,Inputs!$B$12))</f>
        <v>0.04</v>
      </c>
      <c r="C79" s="17" t="n">
        <f aca="false">C78*(1-B78)</f>
        <v>0.0435576492621429</v>
      </c>
      <c r="D79" s="23" t="n">
        <f aca="false">1-C79</f>
        <v>0.956442350737857</v>
      </c>
      <c r="E79" s="23" t="n">
        <f aca="false">Payor!D94</f>
        <v>0.1</v>
      </c>
      <c r="F79" s="16" t="n">
        <f aca="false">C79*Inputs!$B$8</f>
        <v>0.121525841441379</v>
      </c>
      <c r="G79" s="16" t="n">
        <f aca="false">F79*Inputs!$B$19*E79</f>
        <v>0.00668392127927583</v>
      </c>
      <c r="H79" s="16" t="n">
        <f aca="false">F79-G79</f>
        <v>0.114841920162103</v>
      </c>
      <c r="J79" s="17" t="n">
        <f aca="false">J78+C79</f>
        <v>21.4341195427085</v>
      </c>
    </row>
    <row r="80" customFormat="false" ht="15" hidden="false" customHeight="false" outlineLevel="0" collapsed="false">
      <c r="A80" s="0" t="n">
        <v>75</v>
      </c>
      <c r="B80" s="22" t="n">
        <f aca="false">IF(A80=0,Inputs!$B$10,IF(A80&lt;3,Inputs!$B$11,Inputs!$B$12))</f>
        <v>0.04</v>
      </c>
      <c r="C80" s="17" t="n">
        <f aca="false">C79*(1-B79)</f>
        <v>0.0418153432916572</v>
      </c>
      <c r="D80" s="23" t="n">
        <f aca="false">1-C80</f>
        <v>0.958184656708343</v>
      </c>
      <c r="E80" s="23" t="n">
        <f aca="false">Payor!D95</f>
        <v>0.1</v>
      </c>
      <c r="F80" s="16" t="n">
        <f aca="false">C80*Inputs!$B$8</f>
        <v>0.116664807783724</v>
      </c>
      <c r="G80" s="16" t="n">
        <f aca="false">F80*Inputs!$B$19*E80</f>
        <v>0.00641656442810479</v>
      </c>
      <c r="H80" s="16" t="n">
        <f aca="false">F80-G80</f>
        <v>0.110248243355619</v>
      </c>
      <c r="J80" s="17" t="n">
        <f aca="false">J79+C80</f>
        <v>21.4759348860002</v>
      </c>
    </row>
    <row r="81" customFormat="false" ht="15" hidden="false" customHeight="false" outlineLevel="0" collapsed="false">
      <c r="A81" s="0" t="n">
        <v>76</v>
      </c>
      <c r="B81" s="22" t="n">
        <f aca="false">IF(A81=0,Inputs!$B$10,IF(A81&lt;3,Inputs!$B$11,Inputs!$B$12))</f>
        <v>0.04</v>
      </c>
      <c r="C81" s="17" t="n">
        <f aca="false">C80*(1-B80)</f>
        <v>0.0401427295599909</v>
      </c>
      <c r="D81" s="23" t="n">
        <f aca="false">1-C81</f>
        <v>0.959857270440009</v>
      </c>
      <c r="E81" s="23" t="n">
        <f aca="false">Payor!D96</f>
        <v>0.1</v>
      </c>
      <c r="F81" s="16" t="n">
        <f aca="false">C81*Inputs!$B$8</f>
        <v>0.111998215472375</v>
      </c>
      <c r="G81" s="16" t="n">
        <f aca="false">F81*Inputs!$B$19*E81</f>
        <v>0.0061599018509806</v>
      </c>
      <c r="H81" s="16" t="n">
        <f aca="false">F81-G81</f>
        <v>0.105838313621394</v>
      </c>
      <c r="J81" s="17" t="n">
        <f aca="false">J80+C81</f>
        <v>21.5160776155602</v>
      </c>
    </row>
    <row r="82" customFormat="false" ht="15" hidden="false" customHeight="false" outlineLevel="0" collapsed="false">
      <c r="A82" s="0" t="n">
        <v>77</v>
      </c>
      <c r="B82" s="22" t="n">
        <f aca="false">IF(A82=0,Inputs!$B$10,IF(A82&lt;3,Inputs!$B$11,Inputs!$B$12))</f>
        <v>0.04</v>
      </c>
      <c r="C82" s="17" t="n">
        <f aca="false">C81*(1-B81)</f>
        <v>0.0385370203775913</v>
      </c>
      <c r="D82" s="23" t="n">
        <f aca="false">1-C82</f>
        <v>0.961462979622409</v>
      </c>
      <c r="E82" s="23" t="n">
        <f aca="false">Payor!D97</f>
        <v>0.1</v>
      </c>
      <c r="F82" s="16" t="n">
        <f aca="false">C82*Inputs!$B$8</f>
        <v>0.10751828685348</v>
      </c>
      <c r="G82" s="16" t="n">
        <f aca="false">F82*Inputs!$B$19*E82</f>
        <v>0.00591350577694138</v>
      </c>
      <c r="H82" s="16" t="n">
        <f aca="false">F82-G82</f>
        <v>0.101604781076538</v>
      </c>
      <c r="J82" s="17" t="n">
        <f aca="false">J81+C82</f>
        <v>21.5546146359378</v>
      </c>
    </row>
    <row r="83" customFormat="false" ht="15" hidden="false" customHeight="false" outlineLevel="0" collapsed="false">
      <c r="A83" s="0" t="n">
        <v>78</v>
      </c>
      <c r="B83" s="22" t="n">
        <f aca="false">IF(A83=0,Inputs!$B$10,IF(A83&lt;3,Inputs!$B$11,Inputs!$B$12))</f>
        <v>0.04</v>
      </c>
      <c r="C83" s="17" t="n">
        <f aca="false">C82*(1-B82)</f>
        <v>0.0369955395624876</v>
      </c>
      <c r="D83" s="23" t="n">
        <f aca="false">1-C83</f>
        <v>0.963004460437512</v>
      </c>
      <c r="E83" s="23" t="n">
        <f aca="false">Payor!D98</f>
        <v>0.1</v>
      </c>
      <c r="F83" s="16" t="n">
        <f aca="false">C83*Inputs!$B$8</f>
        <v>0.10321755537934</v>
      </c>
      <c r="G83" s="16" t="n">
        <f aca="false">F83*Inputs!$B$19*E83</f>
        <v>0.00567696554586372</v>
      </c>
      <c r="H83" s="16" t="n">
        <f aca="false">F83-G83</f>
        <v>0.0975405898334767</v>
      </c>
      <c r="J83" s="17" t="n">
        <f aca="false">J82+C83</f>
        <v>21.5916101755003</v>
      </c>
    </row>
    <row r="84" customFormat="false" ht="15" hidden="false" customHeight="false" outlineLevel="0" collapsed="false">
      <c r="A84" s="0" t="n">
        <v>79</v>
      </c>
      <c r="B84" s="22" t="n">
        <f aca="false">IF(A84=0,Inputs!$B$10,IF(A84&lt;3,Inputs!$B$11,Inputs!$B$12))</f>
        <v>0.04</v>
      </c>
      <c r="C84" s="17" t="n">
        <f aca="false">C83*(1-B83)</f>
        <v>0.0355157179799881</v>
      </c>
      <c r="D84" s="23" t="n">
        <f aca="false">1-C84</f>
        <v>0.964484282020012</v>
      </c>
      <c r="E84" s="23" t="n">
        <f aca="false">Payor!D99</f>
        <v>0.1</v>
      </c>
      <c r="F84" s="16" t="n">
        <f aca="false">C84*Inputs!$B$8</f>
        <v>0.0990888531641668</v>
      </c>
      <c r="G84" s="16" t="n">
        <f aca="false">F84*Inputs!$B$19*E84</f>
        <v>0.00544988692402917</v>
      </c>
      <c r="H84" s="16" t="n">
        <f aca="false">F84-G84</f>
        <v>0.0936389662401376</v>
      </c>
      <c r="J84" s="17" t="n">
        <f aca="false">J83+C84</f>
        <v>21.6271258934803</v>
      </c>
    </row>
    <row r="85" customFormat="false" ht="15" hidden="false" customHeight="false" outlineLevel="0" collapsed="false">
      <c r="A85" s="0" t="n">
        <v>80</v>
      </c>
      <c r="B85" s="22" t="n">
        <f aca="false">IF(A85=0,Inputs!$B$10,IF(A85&lt;3,Inputs!$B$11,Inputs!$B$12))</f>
        <v>0.04</v>
      </c>
      <c r="C85" s="17" t="n">
        <f aca="false">C84*(1-B84)</f>
        <v>0.0340950892607886</v>
      </c>
      <c r="D85" s="23" t="n">
        <f aca="false">1-C85</f>
        <v>0.965904910739212</v>
      </c>
      <c r="E85" s="23" t="n">
        <f aca="false">Payor!D100</f>
        <v>0.1</v>
      </c>
      <c r="F85" s="16" t="n">
        <f aca="false">C85*Inputs!$B$8</f>
        <v>0.0951252990376001</v>
      </c>
      <c r="G85" s="16" t="n">
        <f aca="false">F85*Inputs!$B$19*E85</f>
        <v>0.00523189144706801</v>
      </c>
      <c r="H85" s="16" t="n">
        <f aca="false">F85-G85</f>
        <v>0.0898934075905321</v>
      </c>
      <c r="J85" s="17" t="n">
        <f aca="false">J84+C85</f>
        <v>21.6612209827411</v>
      </c>
    </row>
    <row r="86" customFormat="false" ht="15" hidden="false" customHeight="false" outlineLevel="0" collapsed="false">
      <c r="A86" s="0" t="n">
        <v>81</v>
      </c>
      <c r="B86" s="22" t="n">
        <f aca="false">IF(A86=0,Inputs!$B$10,IF(A86&lt;3,Inputs!$B$11,Inputs!$B$12))</f>
        <v>0.04</v>
      </c>
      <c r="C86" s="17" t="n">
        <f aca="false">C85*(1-B85)</f>
        <v>0.032731285690357</v>
      </c>
      <c r="D86" s="23" t="n">
        <f aca="false">1-C86</f>
        <v>0.967268714309643</v>
      </c>
      <c r="E86" s="23" t="n">
        <f aca="false">Payor!D101</f>
        <v>0.1</v>
      </c>
      <c r="F86" s="16" t="n">
        <f aca="false">C86*Inputs!$B$8</f>
        <v>0.0913202870760961</v>
      </c>
      <c r="G86" s="16" t="n">
        <f aca="false">F86*Inputs!$B$19*E86</f>
        <v>0.00502261578918529</v>
      </c>
      <c r="H86" s="16" t="n">
        <f aca="false">F86-G86</f>
        <v>0.0862976712869108</v>
      </c>
      <c r="J86" s="17" t="n">
        <f aca="false">J85+C86</f>
        <v>21.6939522684314</v>
      </c>
    </row>
    <row r="87" customFormat="false" ht="15" hidden="false" customHeight="false" outlineLevel="0" collapsed="false">
      <c r="A87" s="0" t="n">
        <v>82</v>
      </c>
      <c r="B87" s="22" t="n">
        <f aca="false">IF(A87=0,Inputs!$B$10,IF(A87&lt;3,Inputs!$B$11,Inputs!$B$12))</f>
        <v>0.04</v>
      </c>
      <c r="C87" s="17" t="n">
        <f aca="false">C86*(1-B86)</f>
        <v>0.0314220342627427</v>
      </c>
      <c r="D87" s="23" t="n">
        <f aca="false">1-C87</f>
        <v>0.968577965737257</v>
      </c>
      <c r="E87" s="23" t="n">
        <f aca="false">Payor!D102</f>
        <v>0.1</v>
      </c>
      <c r="F87" s="16" t="n">
        <f aca="false">C87*Inputs!$B$8</f>
        <v>0.0876674755930522</v>
      </c>
      <c r="G87" s="16" t="n">
        <f aca="false">F87*Inputs!$B$19*E87</f>
        <v>0.00482171115761787</v>
      </c>
      <c r="H87" s="16" t="n">
        <f aca="false">F87-G87</f>
        <v>0.0828457644354344</v>
      </c>
      <c r="J87" s="17" t="n">
        <f aca="false">J86+C87</f>
        <v>21.7253743026942</v>
      </c>
    </row>
    <row r="88" customFormat="false" ht="15" hidden="false" customHeight="false" outlineLevel="0" collapsed="false">
      <c r="A88" s="0" t="n">
        <v>83</v>
      </c>
      <c r="B88" s="22" t="n">
        <f aca="false">IF(A88=0,Inputs!$B$10,IF(A88&lt;3,Inputs!$B$11,Inputs!$B$12))</f>
        <v>0.04</v>
      </c>
      <c r="C88" s="17" t="n">
        <f aca="false">C87*(1-B87)</f>
        <v>0.030165152892233</v>
      </c>
      <c r="D88" s="23" t="n">
        <f aca="false">1-C88</f>
        <v>0.969834847107767</v>
      </c>
      <c r="E88" s="23" t="n">
        <f aca="false">Payor!D103</f>
        <v>0.1</v>
      </c>
      <c r="F88" s="16" t="n">
        <f aca="false">C88*Inputs!$B$8</f>
        <v>0.0841607765693302</v>
      </c>
      <c r="G88" s="16" t="n">
        <f aca="false">F88*Inputs!$B$19*E88</f>
        <v>0.00462884271131316</v>
      </c>
      <c r="H88" s="16" t="n">
        <f aca="false">F88-G88</f>
        <v>0.079531933858017</v>
      </c>
      <c r="J88" s="17" t="n">
        <f aca="false">J87+C88</f>
        <v>21.7555394555864</v>
      </c>
    </row>
    <row r="89" customFormat="false" ht="15" hidden="false" customHeight="false" outlineLevel="0" collapsed="false">
      <c r="A89" s="0" t="n">
        <v>84</v>
      </c>
      <c r="B89" s="22" t="n">
        <f aca="false">IF(A89=0,Inputs!$B$10,IF(A89&lt;3,Inputs!$B$11,Inputs!$B$12))</f>
        <v>0.04</v>
      </c>
      <c r="C89" s="17" t="n">
        <f aca="false">C88*(1-B88)</f>
        <v>0.0289585467765437</v>
      </c>
      <c r="D89" s="23" t="n">
        <f aca="false">1-C89</f>
        <v>0.971041453223456</v>
      </c>
      <c r="E89" s="23" t="n">
        <f aca="false">Payor!D104</f>
        <v>0.1</v>
      </c>
      <c r="F89" s="16" t="n">
        <f aca="false">C89*Inputs!$B$8</f>
        <v>0.0807943455065569</v>
      </c>
      <c r="G89" s="16" t="n">
        <f aca="false">F89*Inputs!$B$19*E89</f>
        <v>0.00444368900286063</v>
      </c>
      <c r="H89" s="16" t="n">
        <f aca="false">F89-G89</f>
        <v>0.0763506565036963</v>
      </c>
      <c r="J89" s="17" t="n">
        <f aca="false">J88+C89</f>
        <v>21.7844980023629</v>
      </c>
    </row>
    <row r="90" customFormat="false" ht="15" hidden="false" customHeight="false" outlineLevel="0" collapsed="false">
      <c r="A90" s="0" t="n">
        <v>85</v>
      </c>
      <c r="B90" s="22" t="n">
        <f aca="false">IF(A90=0,Inputs!$B$10,IF(A90&lt;3,Inputs!$B$11,Inputs!$B$12))</f>
        <v>0.04</v>
      </c>
      <c r="C90" s="17" t="n">
        <f aca="false">C89*(1-B89)</f>
        <v>0.027800204905482</v>
      </c>
      <c r="D90" s="23" t="n">
        <f aca="false">1-C90</f>
        <v>0.972199795094518</v>
      </c>
      <c r="E90" s="23" t="n">
        <f aca="false">Payor!D105</f>
        <v>0.1</v>
      </c>
      <c r="F90" s="16" t="n">
        <f aca="false">C90*Inputs!$B$8</f>
        <v>0.0775625716862947</v>
      </c>
      <c r="G90" s="16" t="n">
        <f aca="false">F90*Inputs!$B$19*E90</f>
        <v>0.00426594144274621</v>
      </c>
      <c r="H90" s="16" t="n">
        <f aca="false">F90-G90</f>
        <v>0.0732966302435485</v>
      </c>
      <c r="J90" s="17" t="n">
        <f aca="false">J89+C90</f>
        <v>21.8122982072684</v>
      </c>
    </row>
    <row r="91" customFormat="false" ht="15" hidden="false" customHeight="false" outlineLevel="0" collapsed="false">
      <c r="A91" s="0" t="n">
        <v>86</v>
      </c>
      <c r="B91" s="22" t="n">
        <f aca="false">IF(A91=0,Inputs!$B$10,IF(A91&lt;3,Inputs!$B$11,Inputs!$B$12))</f>
        <v>0.04</v>
      </c>
      <c r="C91" s="17" t="n">
        <f aca="false">C90*(1-B90)</f>
        <v>0.0266881967092627</v>
      </c>
      <c r="D91" s="23" t="n">
        <f aca="false">1-C91</f>
        <v>0.973311803290737</v>
      </c>
      <c r="E91" s="23" t="n">
        <f aca="false">Payor!D106</f>
        <v>0.1</v>
      </c>
      <c r="F91" s="16" t="n">
        <f aca="false">C91*Inputs!$B$8</f>
        <v>0.0744600688188429</v>
      </c>
      <c r="G91" s="16" t="n">
        <f aca="false">F91*Inputs!$B$19*E91</f>
        <v>0.00409530378503636</v>
      </c>
      <c r="H91" s="16" t="n">
        <f aca="false">F91-G91</f>
        <v>0.0703647650338065</v>
      </c>
      <c r="J91" s="17" t="n">
        <f aca="false">J90+C91</f>
        <v>21.8389864039777</v>
      </c>
    </row>
    <row r="92" customFormat="false" ht="15" hidden="false" customHeight="false" outlineLevel="0" collapsed="false">
      <c r="A92" s="0" t="n">
        <v>87</v>
      </c>
      <c r="B92" s="22" t="n">
        <f aca="false">IF(A92=0,Inputs!$B$10,IF(A92&lt;3,Inputs!$B$11,Inputs!$B$12))</f>
        <v>0.04</v>
      </c>
      <c r="C92" s="17" t="n">
        <f aca="false">C91*(1-B91)</f>
        <v>0.0256206688408922</v>
      </c>
      <c r="D92" s="23" t="n">
        <f aca="false">1-C92</f>
        <v>0.974379331159108</v>
      </c>
      <c r="E92" s="23" t="n">
        <f aca="false">Payor!D107</f>
        <v>0.1</v>
      </c>
      <c r="F92" s="16" t="n">
        <f aca="false">C92*Inputs!$B$8</f>
        <v>0.0714816660660892</v>
      </c>
      <c r="G92" s="16" t="n">
        <f aca="false">F92*Inputs!$B$19*E92</f>
        <v>0.0039314916336349</v>
      </c>
      <c r="H92" s="16" t="n">
        <f aca="false">F92-G92</f>
        <v>0.0675501744324542</v>
      </c>
      <c r="J92" s="17" t="n">
        <f aca="false">J91+C92</f>
        <v>21.8646070728186</v>
      </c>
    </row>
    <row r="93" customFormat="false" ht="15" hidden="false" customHeight="false" outlineLevel="0" collapsed="false">
      <c r="A93" s="0" t="n">
        <v>88</v>
      </c>
      <c r="B93" s="22" t="n">
        <f aca="false">IF(A93=0,Inputs!$B$10,IF(A93&lt;3,Inputs!$B$11,Inputs!$B$12))</f>
        <v>0.04</v>
      </c>
      <c r="C93" s="17" t="n">
        <f aca="false">C92*(1-B92)</f>
        <v>0.0245958420872565</v>
      </c>
      <c r="D93" s="23" t="n">
        <f aca="false">1-C93</f>
        <v>0.975404157912744</v>
      </c>
      <c r="E93" s="23" t="n">
        <f aca="false">Payor!D108</f>
        <v>0.1</v>
      </c>
      <c r="F93" s="16" t="n">
        <f aca="false">C93*Inputs!$B$8</f>
        <v>0.0686223994234456</v>
      </c>
      <c r="G93" s="16" t="n">
        <f aca="false">F93*Inputs!$B$19*E93</f>
        <v>0.00377423196828951</v>
      </c>
      <c r="H93" s="16" t="n">
        <f aca="false">F93-G93</f>
        <v>0.0648481674551561</v>
      </c>
      <c r="J93" s="17" t="n">
        <f aca="false">J92+C93</f>
        <v>21.8892029149058</v>
      </c>
    </row>
    <row r="94" customFormat="false" ht="15" hidden="false" customHeight="false" outlineLevel="0" collapsed="false">
      <c r="A94" s="0" t="n">
        <v>89</v>
      </c>
      <c r="B94" s="22" t="n">
        <f aca="false">IF(A94=0,Inputs!$B$10,IF(A94&lt;3,Inputs!$B$11,Inputs!$B$12))</f>
        <v>0.04</v>
      </c>
      <c r="C94" s="17" t="n">
        <f aca="false">C93*(1-B93)</f>
        <v>0.0236120084037662</v>
      </c>
      <c r="D94" s="23" t="n">
        <f aca="false">1-C94</f>
        <v>0.976387991596234</v>
      </c>
      <c r="E94" s="23" t="n">
        <f aca="false">Payor!D109</f>
        <v>0.1</v>
      </c>
      <c r="F94" s="16" t="n">
        <f aca="false">C94*Inputs!$B$8</f>
        <v>0.0658775034465078</v>
      </c>
      <c r="G94" s="16" t="n">
        <f aca="false">F94*Inputs!$B$19*E94</f>
        <v>0.00362326268955793</v>
      </c>
      <c r="H94" s="16" t="n">
        <f aca="false">F94-G94</f>
        <v>0.0622542407569498</v>
      </c>
      <c r="J94" s="17" t="n">
        <f aca="false">J93+C94</f>
        <v>21.9128149233096</v>
      </c>
    </row>
    <row r="95" customFormat="false" ht="15" hidden="false" customHeight="false" outlineLevel="0" collapsed="false">
      <c r="A95" s="0" t="n">
        <v>90</v>
      </c>
      <c r="B95" s="22" t="n">
        <f aca="false">IF(A95=0,Inputs!$B$10,IF(A95&lt;3,Inputs!$B$11,Inputs!$B$12))</f>
        <v>0.04</v>
      </c>
      <c r="C95" s="17" t="n">
        <f aca="false">C94*(1-B94)</f>
        <v>0.0226675280676156</v>
      </c>
      <c r="D95" s="23" t="n">
        <f aca="false">1-C95</f>
        <v>0.977332471932385</v>
      </c>
      <c r="E95" s="23" t="n">
        <f aca="false">Payor!D110</f>
        <v>0.1</v>
      </c>
      <c r="F95" s="16" t="n">
        <f aca="false">C95*Inputs!$B$8</f>
        <v>0.0632424033086474</v>
      </c>
      <c r="G95" s="16" t="n">
        <f aca="false">F95*Inputs!$B$19*E95</f>
        <v>0.00347833218197561</v>
      </c>
      <c r="H95" s="16" t="n">
        <f aca="false">F95-G95</f>
        <v>0.0597640711266718</v>
      </c>
      <c r="J95" s="17" t="n">
        <f aca="false">J94+C95</f>
        <v>21.9354824513772</v>
      </c>
    </row>
    <row r="96" customFormat="false" ht="15" hidden="false" customHeight="false" outlineLevel="0" collapsed="false">
      <c r="A96" s="0" t="n">
        <v>91</v>
      </c>
      <c r="B96" s="22" t="n">
        <f aca="false">IF(A96=0,Inputs!$B$10,IF(A96&lt;3,Inputs!$B$11,Inputs!$B$12))</f>
        <v>0.04</v>
      </c>
      <c r="C96" s="17" t="n">
        <f aca="false">C95*(1-B95)</f>
        <v>0.0217608269449109</v>
      </c>
      <c r="D96" s="23" t="n">
        <f aca="false">1-C96</f>
        <v>0.978239173055089</v>
      </c>
      <c r="E96" s="23" t="n">
        <f aca="false">Payor!D111</f>
        <v>0.1</v>
      </c>
      <c r="F96" s="16" t="n">
        <f aca="false">C96*Inputs!$B$8</f>
        <v>0.0607127071763015</v>
      </c>
      <c r="G96" s="16" t="n">
        <f aca="false">F96*Inputs!$B$19*E96</f>
        <v>0.00333919889469659</v>
      </c>
      <c r="H96" s="16" t="n">
        <f aca="false">F96-G96</f>
        <v>0.057373508281605</v>
      </c>
      <c r="J96" s="17" t="n">
        <f aca="false">J95+C96</f>
        <v>21.9572432783221</v>
      </c>
    </row>
    <row r="97" customFormat="false" ht="15" hidden="false" customHeight="false" outlineLevel="0" collapsed="false">
      <c r="A97" s="0" t="n">
        <v>92</v>
      </c>
      <c r="B97" s="22" t="n">
        <f aca="false">IF(A97=0,Inputs!$B$10,IF(A97&lt;3,Inputs!$B$11,Inputs!$B$12))</f>
        <v>0.04</v>
      </c>
      <c r="C97" s="17" t="n">
        <f aca="false">C96*(1-B96)</f>
        <v>0.0208903938671145</v>
      </c>
      <c r="D97" s="23" t="n">
        <f aca="false">1-C97</f>
        <v>0.979109606132885</v>
      </c>
      <c r="E97" s="23" t="n">
        <f aca="false">Payor!D112</f>
        <v>0.1</v>
      </c>
      <c r="F97" s="16" t="n">
        <f aca="false">C97*Inputs!$B$8</f>
        <v>0.0582841988892495</v>
      </c>
      <c r="G97" s="16" t="n">
        <f aca="false">F97*Inputs!$B$19*E97</f>
        <v>0.00320563093890872</v>
      </c>
      <c r="H97" s="16" t="n">
        <f aca="false">F97-G97</f>
        <v>0.0550785679503407</v>
      </c>
      <c r="J97" s="17" t="n">
        <f aca="false">J96+C97</f>
        <v>21.9781336721892</v>
      </c>
    </row>
    <row r="98" customFormat="false" ht="15" hidden="false" customHeight="false" outlineLevel="0" collapsed="false">
      <c r="A98" s="0" t="n">
        <v>93</v>
      </c>
      <c r="B98" s="22" t="n">
        <f aca="false">IF(A98=0,Inputs!$B$10,IF(A98&lt;3,Inputs!$B$11,Inputs!$B$12))</f>
        <v>0.04</v>
      </c>
      <c r="C98" s="17" t="n">
        <f aca="false">C97*(1-B97)</f>
        <v>0.0200547781124299</v>
      </c>
      <c r="D98" s="23" t="n">
        <f aca="false">1-C98</f>
        <v>0.97994522188757</v>
      </c>
      <c r="E98" s="23" t="n">
        <f aca="false">Payor!D113</f>
        <v>0.1</v>
      </c>
      <c r="F98" s="16" t="n">
        <f aca="false">C98*Inputs!$B$8</f>
        <v>0.0559528309336795</v>
      </c>
      <c r="G98" s="16" t="n">
        <f aca="false">F98*Inputs!$B$19*E98</f>
        <v>0.00307740570135237</v>
      </c>
      <c r="H98" s="16" t="n">
        <f aca="false">F98-G98</f>
        <v>0.0528754252323271</v>
      </c>
      <c r="J98" s="17" t="n">
        <f aca="false">J97+C98</f>
        <v>21.9981884503017</v>
      </c>
    </row>
    <row r="99" customFormat="false" ht="15" hidden="false" customHeight="false" outlineLevel="0" collapsed="false">
      <c r="A99" s="0" t="n">
        <v>94</v>
      </c>
      <c r="B99" s="22" t="n">
        <f aca="false">IF(A99=0,Inputs!$B$10,IF(A99&lt;3,Inputs!$B$11,Inputs!$B$12))</f>
        <v>0.04</v>
      </c>
      <c r="C99" s="17" t="n">
        <f aca="false">C98*(1-B98)</f>
        <v>0.0192525869879327</v>
      </c>
      <c r="D99" s="23" t="n">
        <f aca="false">1-C99</f>
        <v>0.980747413012067</v>
      </c>
      <c r="E99" s="23" t="n">
        <f aca="false">Payor!D114</f>
        <v>0.1</v>
      </c>
      <c r="F99" s="16" t="n">
        <f aca="false">C99*Inputs!$B$8</f>
        <v>0.0537147176963323</v>
      </c>
      <c r="G99" s="16" t="n">
        <f aca="false">F99*Inputs!$B$19*E99</f>
        <v>0.00295430947329828</v>
      </c>
      <c r="H99" s="16" t="n">
        <f aca="false">F99-G99</f>
        <v>0.050760408223034</v>
      </c>
      <c r="J99" s="17" t="n">
        <f aca="false">J98+C99</f>
        <v>22.0174410372896</v>
      </c>
    </row>
    <row r="100" customFormat="false" ht="15" hidden="false" customHeight="false" outlineLevel="0" collapsed="false">
      <c r="A100" s="0" t="n">
        <v>95</v>
      </c>
      <c r="B100" s="22" t="n">
        <f aca="false">IF(A100=0,Inputs!$B$10,IF(A100&lt;3,Inputs!$B$11,Inputs!$B$12))</f>
        <v>0.04</v>
      </c>
      <c r="C100" s="17" t="n">
        <f aca="false">C99*(1-B99)</f>
        <v>0.0184824835084154</v>
      </c>
      <c r="D100" s="23" t="n">
        <f aca="false">1-C100</f>
        <v>0.981517516491585</v>
      </c>
      <c r="E100" s="23" t="n">
        <f aca="false">Payor!D115</f>
        <v>0.1</v>
      </c>
      <c r="F100" s="16" t="n">
        <f aca="false">C100*Inputs!$B$8</f>
        <v>0.051566128988479</v>
      </c>
      <c r="G100" s="16" t="n">
        <f aca="false">F100*Inputs!$B$19*E100</f>
        <v>0.00283613709436635</v>
      </c>
      <c r="H100" s="16" t="n">
        <f aca="false">F100-G100</f>
        <v>0.0487299918941127</v>
      </c>
      <c r="J100" s="17" t="n">
        <f aca="false">J99+C100</f>
        <v>22.035923520798</v>
      </c>
    </row>
    <row r="101" customFormat="false" ht="15" hidden="false" customHeight="false" outlineLevel="0" collapsed="false">
      <c r="A101" s="0" t="n">
        <v>96</v>
      </c>
      <c r="B101" s="22" t="n">
        <f aca="false">IF(A101=0,Inputs!$B$10,IF(A101&lt;3,Inputs!$B$11,Inputs!$B$12))</f>
        <v>0.04</v>
      </c>
      <c r="C101" s="17" t="n">
        <f aca="false">C100*(1-B100)</f>
        <v>0.0177431841680788</v>
      </c>
      <c r="D101" s="23" t="n">
        <f aca="false">1-C101</f>
        <v>0.982256815831921</v>
      </c>
      <c r="E101" s="23" t="n">
        <f aca="false">Payor!D116</f>
        <v>0.1</v>
      </c>
      <c r="F101" s="16" t="n">
        <f aca="false">C101*Inputs!$B$8</f>
        <v>0.0495034838289399</v>
      </c>
      <c r="G101" s="16" t="n">
        <f aca="false">F101*Inputs!$B$19*E101</f>
        <v>0.00272269161059169</v>
      </c>
      <c r="H101" s="16" t="n">
        <f aca="false">F101-G101</f>
        <v>0.0467807922183482</v>
      </c>
      <c r="J101" s="17" t="n">
        <f aca="false">J100+C101</f>
        <v>22.0536667049661</v>
      </c>
    </row>
    <row r="102" customFormat="false" ht="15" hidden="false" customHeight="false" outlineLevel="0" collapsed="false">
      <c r="A102" s="0" t="n">
        <v>97</v>
      </c>
      <c r="B102" s="22" t="n">
        <f aca="false">IF(A102=0,Inputs!$B$10,IF(A102&lt;3,Inputs!$B$11,Inputs!$B$12))</f>
        <v>0.04</v>
      </c>
      <c r="C102" s="17" t="n">
        <f aca="false">C101*(1-B101)</f>
        <v>0.0170334568013556</v>
      </c>
      <c r="D102" s="23" t="n">
        <f aca="false">1-C102</f>
        <v>0.982966543198644</v>
      </c>
      <c r="E102" s="23" t="n">
        <f aca="false">Payor!D117</f>
        <v>0.1</v>
      </c>
      <c r="F102" s="16" t="n">
        <f aca="false">C102*Inputs!$B$8</f>
        <v>0.0475233444757823</v>
      </c>
      <c r="G102" s="16" t="n">
        <f aca="false">F102*Inputs!$B$19*E102</f>
        <v>0.00261378394616802</v>
      </c>
      <c r="H102" s="16" t="n">
        <f aca="false">F102-G102</f>
        <v>0.0449095605296142</v>
      </c>
      <c r="J102" s="17" t="n">
        <f aca="false">J101+C102</f>
        <v>22.0707001617674</v>
      </c>
    </row>
    <row r="103" customFormat="false" ht="15" hidden="false" customHeight="false" outlineLevel="0" collapsed="false">
      <c r="A103" s="0" t="n">
        <v>98</v>
      </c>
      <c r="B103" s="22" t="n">
        <f aca="false">IF(A103=0,Inputs!$B$10,IF(A103&lt;3,Inputs!$B$11,Inputs!$B$12))</f>
        <v>0.04</v>
      </c>
      <c r="C103" s="17" t="n">
        <f aca="false">C102*(1-B102)</f>
        <v>0.0163521185293014</v>
      </c>
      <c r="D103" s="23" t="n">
        <f aca="false">1-C103</f>
        <v>0.983647881470699</v>
      </c>
      <c r="E103" s="23" t="n">
        <f aca="false">Payor!D118</f>
        <v>0.1</v>
      </c>
      <c r="F103" s="16" t="n">
        <f aca="false">C103*Inputs!$B$8</f>
        <v>0.045622410696751</v>
      </c>
      <c r="G103" s="16" t="n">
        <f aca="false">F103*Inputs!$B$19*E103</f>
        <v>0.0025092325883213</v>
      </c>
      <c r="H103" s="16" t="n">
        <f aca="false">F103-G103</f>
        <v>0.0431131781084297</v>
      </c>
      <c r="J103" s="17" t="n">
        <f aca="false">J102+C103</f>
        <v>22.0870522802967</v>
      </c>
    </row>
    <row r="104" customFormat="false" ht="15" hidden="false" customHeight="false" outlineLevel="0" collapsed="false">
      <c r="A104" s="0" t="n">
        <v>99</v>
      </c>
      <c r="B104" s="22" t="n">
        <f aca="false">IF(A104=0,Inputs!$B$10,IF(A104&lt;3,Inputs!$B$11,Inputs!$B$12))</f>
        <v>0.04</v>
      </c>
      <c r="C104" s="17" t="n">
        <f aca="false">C103*(1-B103)</f>
        <v>0.0156980337881294</v>
      </c>
      <c r="D104" s="23" t="n">
        <f aca="false">1-C104</f>
        <v>0.984301966211871</v>
      </c>
      <c r="E104" s="23" t="n">
        <f aca="false">Payor!D119</f>
        <v>0.1</v>
      </c>
      <c r="F104" s="16" t="n">
        <f aca="false">C104*Inputs!$B$8</f>
        <v>0.0437975142688809</v>
      </c>
      <c r="G104" s="16" t="n">
        <f aca="false">F104*Inputs!$B$19*E104</f>
        <v>0.00240886328478845</v>
      </c>
      <c r="H104" s="16" t="n">
        <f aca="false">F104-G104</f>
        <v>0.0413886509840925</v>
      </c>
      <c r="J104" s="17" t="n">
        <f aca="false">J103+C104</f>
        <v>22.1027503140849</v>
      </c>
    </row>
    <row r="105" customFormat="false" ht="15" hidden="false" customHeight="false" outlineLevel="0" collapsed="false">
      <c r="A105" s="0" t="n">
        <v>100</v>
      </c>
      <c r="B105" s="22" t="n">
        <f aca="false">IF(A105=0,Inputs!$B$10,IF(A105&lt;3,Inputs!$B$11,Inputs!$B$12))</f>
        <v>0.04</v>
      </c>
      <c r="C105" s="17" t="n">
        <f aca="false">C104*(1-B104)</f>
        <v>0.0150701124366042</v>
      </c>
      <c r="D105" s="23" t="n">
        <f aca="false">1-C105</f>
        <v>0.984929887563396</v>
      </c>
      <c r="E105" s="23" t="n">
        <f aca="false">Payor!D120</f>
        <v>0.1</v>
      </c>
      <c r="F105" s="16" t="n">
        <f aca="false">C105*Inputs!$B$8</f>
        <v>0.0420456136981257</v>
      </c>
      <c r="G105" s="16" t="n">
        <f aca="false">F105*Inputs!$B$19*E105</f>
        <v>0.00231250875339691</v>
      </c>
      <c r="H105" s="16" t="n">
        <f aca="false">F105-G105</f>
        <v>0.0397331049447288</v>
      </c>
      <c r="J105" s="17" t="n">
        <f aca="false">J104+C105</f>
        <v>22.1178204265215</v>
      </c>
    </row>
    <row r="106" customFormat="false" ht="15" hidden="false" customHeight="false" outlineLevel="0" collapsed="false">
      <c r="A106" s="0" t="n">
        <v>101</v>
      </c>
      <c r="B106" s="22" t="n">
        <f aca="false">IF(A106=0,Inputs!$B$10,IF(A106&lt;3,Inputs!$B$11,Inputs!$B$12))</f>
        <v>0.04</v>
      </c>
      <c r="C106" s="17" t="n">
        <f aca="false">C105*(1-B105)</f>
        <v>0.01446730793914</v>
      </c>
      <c r="D106" s="23" t="n">
        <f aca="false">1-C106</f>
        <v>0.98553269206086</v>
      </c>
      <c r="E106" s="23" t="n">
        <f aca="false">Payor!D121</f>
        <v>0.1</v>
      </c>
      <c r="F106" s="16" t="n">
        <f aca="false">C106*Inputs!$B$8</f>
        <v>0.0403637891502007</v>
      </c>
      <c r="G106" s="16" t="n">
        <f aca="false">F106*Inputs!$B$19*E106</f>
        <v>0.00222000840326104</v>
      </c>
      <c r="H106" s="16" t="n">
        <f aca="false">F106-G106</f>
        <v>0.0381437807469396</v>
      </c>
      <c r="J106" s="17" t="n">
        <f aca="false">J105+C106</f>
        <v>22.1322877344606</v>
      </c>
    </row>
    <row r="107" customFormat="false" ht="15" hidden="false" customHeight="false" outlineLevel="0" collapsed="false">
      <c r="A107" s="0" t="n">
        <v>102</v>
      </c>
      <c r="B107" s="22" t="n">
        <f aca="false">IF(A107=0,Inputs!$B$10,IF(A107&lt;3,Inputs!$B$11,Inputs!$B$12))</f>
        <v>0.04</v>
      </c>
      <c r="C107" s="17" t="n">
        <f aca="false">C106*(1-B106)</f>
        <v>0.0138886156215744</v>
      </c>
      <c r="D107" s="23" t="n">
        <f aca="false">1-C107</f>
        <v>0.986111384378426</v>
      </c>
      <c r="E107" s="23" t="n">
        <f aca="false">Payor!D122</f>
        <v>0.1</v>
      </c>
      <c r="F107" s="16" t="n">
        <f aca="false">C107*Inputs!$B$8</f>
        <v>0.0387492375841926</v>
      </c>
      <c r="G107" s="16" t="n">
        <f aca="false">F107*Inputs!$B$19*E107</f>
        <v>0.0021312080671306</v>
      </c>
      <c r="H107" s="16" t="n">
        <f aca="false">F107-G107</f>
        <v>0.036618029517062</v>
      </c>
      <c r="J107" s="17" t="n">
        <f aca="false">J106+C107</f>
        <v>22.1461763500822</v>
      </c>
    </row>
    <row r="108" customFormat="false" ht="15" hidden="false" customHeight="false" outlineLevel="0" collapsed="false">
      <c r="A108" s="0" t="n">
        <v>103</v>
      </c>
      <c r="B108" s="22" t="n">
        <f aca="false">IF(A108=0,Inputs!$B$10,IF(A108&lt;3,Inputs!$B$11,Inputs!$B$12))</f>
        <v>0.04</v>
      </c>
      <c r="C108" s="17" t="n">
        <f aca="false">C107*(1-B107)</f>
        <v>0.0133330709967114</v>
      </c>
      <c r="D108" s="23" t="n">
        <f aca="false">1-C108</f>
        <v>0.986666929003289</v>
      </c>
      <c r="E108" s="23" t="n">
        <f aca="false">Payor!D123</f>
        <v>0.1</v>
      </c>
      <c r="F108" s="16" t="n">
        <f aca="false">C108*Inputs!$B$8</f>
        <v>0.0371992680808249</v>
      </c>
      <c r="G108" s="16" t="n">
        <f aca="false">F108*Inputs!$B$19*E108</f>
        <v>0.00204595974444537</v>
      </c>
      <c r="H108" s="16" t="n">
        <f aca="false">F108-G108</f>
        <v>0.0351533083363796</v>
      </c>
      <c r="J108" s="17" t="n">
        <f aca="false">J107+C108</f>
        <v>22.1595094210789</v>
      </c>
    </row>
    <row r="109" customFormat="false" ht="15" hidden="false" customHeight="false" outlineLevel="0" collapsed="false">
      <c r="A109" s="0" t="n">
        <v>104</v>
      </c>
      <c r="B109" s="22" t="n">
        <f aca="false">IF(A109=0,Inputs!$B$10,IF(A109&lt;3,Inputs!$B$11,Inputs!$B$12))</f>
        <v>0.04</v>
      </c>
      <c r="C109" s="17" t="n">
        <f aca="false">C108*(1-B108)</f>
        <v>0.012799748156843</v>
      </c>
      <c r="D109" s="23" t="n">
        <f aca="false">1-C109</f>
        <v>0.987200251843157</v>
      </c>
      <c r="E109" s="23" t="n">
        <f aca="false">Payor!D124</f>
        <v>0.1</v>
      </c>
      <c r="F109" s="16" t="n">
        <f aca="false">C109*Inputs!$B$8</f>
        <v>0.0357112973575919</v>
      </c>
      <c r="G109" s="16" t="n">
        <f aca="false">F109*Inputs!$B$19*E109</f>
        <v>0.00196412135466756</v>
      </c>
      <c r="H109" s="16" t="n">
        <f aca="false">F109-G109</f>
        <v>0.0337471760029244</v>
      </c>
      <c r="J109" s="17" t="n">
        <f aca="false">J108+C109</f>
        <v>22.1723091692357</v>
      </c>
    </row>
    <row r="110" customFormat="false" ht="15" hidden="false" customHeight="false" outlineLevel="0" collapsed="false">
      <c r="A110" s="0" t="n">
        <v>105</v>
      </c>
      <c r="B110" s="22" t="n">
        <f aca="false">IF(A110=0,Inputs!$B$10,IF(A110&lt;3,Inputs!$B$11,Inputs!$B$12))</f>
        <v>0.04</v>
      </c>
      <c r="C110" s="17" t="n">
        <f aca="false">C109*(1-B109)</f>
        <v>0.0122877582305693</v>
      </c>
      <c r="D110" s="23" t="n">
        <f aca="false">1-C110</f>
        <v>0.987712241769431</v>
      </c>
      <c r="E110" s="23" t="n">
        <f aca="false">Payor!D125</f>
        <v>0.1</v>
      </c>
      <c r="F110" s="16" t="n">
        <f aca="false">C110*Inputs!$B$8</f>
        <v>0.0342828454632883</v>
      </c>
      <c r="G110" s="16" t="n">
        <f aca="false">F110*Inputs!$B$19*E110</f>
        <v>0.00188555650048085</v>
      </c>
      <c r="H110" s="16" t="n">
        <f aca="false">F110-G110</f>
        <v>0.0323972889628074</v>
      </c>
      <c r="J110" s="17" t="n">
        <f aca="false">J109+C110</f>
        <v>22.1845969274663</v>
      </c>
    </row>
    <row r="111" customFormat="false" ht="15" hidden="false" customHeight="false" outlineLevel="0" collapsed="false">
      <c r="A111" s="0" t="n">
        <v>106</v>
      </c>
      <c r="B111" s="22" t="n">
        <f aca="false">IF(A111=0,Inputs!$B$10,IF(A111&lt;3,Inputs!$B$11,Inputs!$B$12))</f>
        <v>0.04</v>
      </c>
      <c r="C111" s="17" t="n">
        <f aca="false">C110*(1-B110)</f>
        <v>0.0117962479013465</v>
      </c>
      <c r="D111" s="23" t="n">
        <f aca="false">1-C111</f>
        <v>0.988203752098654</v>
      </c>
      <c r="E111" s="23" t="n">
        <f aca="false">Payor!D126</f>
        <v>0.1</v>
      </c>
      <c r="F111" s="16" t="n">
        <f aca="false">C111*Inputs!$B$8</f>
        <v>0.0329115316447567</v>
      </c>
      <c r="G111" s="16" t="n">
        <f aca="false">F111*Inputs!$B$19*E111</f>
        <v>0.00181013424046162</v>
      </c>
      <c r="H111" s="16" t="n">
        <f aca="false">F111-G111</f>
        <v>0.0311013974042951</v>
      </c>
      <c r="J111" s="17" t="n">
        <f aca="false">J110+C111</f>
        <v>22.1963931753677</v>
      </c>
    </row>
    <row r="112" customFormat="false" ht="15" hidden="false" customHeight="false" outlineLevel="0" collapsed="false">
      <c r="A112" s="0" t="n">
        <v>107</v>
      </c>
      <c r="B112" s="22" t="n">
        <f aca="false">IF(A112=0,Inputs!$B$10,IF(A112&lt;3,Inputs!$B$11,Inputs!$B$12))</f>
        <v>0.04</v>
      </c>
      <c r="C112" s="17" t="n">
        <f aca="false">C111*(1-B111)</f>
        <v>0.0113243979852926</v>
      </c>
      <c r="D112" s="23" t="n">
        <f aca="false">1-C112</f>
        <v>0.988675602014707</v>
      </c>
      <c r="E112" s="23" t="n">
        <f aca="false">Payor!D127</f>
        <v>0.1</v>
      </c>
      <c r="F112" s="16" t="n">
        <f aca="false">C112*Inputs!$B$8</f>
        <v>0.0315950703789665</v>
      </c>
      <c r="G112" s="16" t="n">
        <f aca="false">F112*Inputs!$B$19*E112</f>
        <v>0.00173772887084316</v>
      </c>
      <c r="H112" s="16" t="n">
        <f aca="false">F112-G112</f>
        <v>0.0298573415081233</v>
      </c>
      <c r="J112" s="17" t="n">
        <f aca="false">J111+C112</f>
        <v>22.207717573353</v>
      </c>
    </row>
    <row r="113" customFormat="false" ht="15" hidden="false" customHeight="false" outlineLevel="0" collapsed="false">
      <c r="A113" s="0" t="n">
        <v>108</v>
      </c>
      <c r="B113" s="22" t="n">
        <f aca="false">IF(A113=0,Inputs!$B$10,IF(A113&lt;3,Inputs!$B$11,Inputs!$B$12))</f>
        <v>0.04</v>
      </c>
      <c r="C113" s="17" t="n">
        <f aca="false">C112*(1-B112)</f>
        <v>0.0108714220658809</v>
      </c>
      <c r="D113" s="23" t="n">
        <f aca="false">1-C113</f>
        <v>0.989128577934119</v>
      </c>
      <c r="E113" s="23" t="n">
        <f aca="false">Payor!D128</f>
        <v>0</v>
      </c>
      <c r="F113" s="16" t="n">
        <f aca="false">C113*Inputs!$B$8</f>
        <v>0.0303312675638078</v>
      </c>
      <c r="G113" s="16" t="n">
        <f aca="false">F113*Inputs!$B$19*E113</f>
        <v>0</v>
      </c>
      <c r="H113" s="16" t="n">
        <f aca="false">F113-G113</f>
        <v>0.0303312675638078</v>
      </c>
      <c r="J113" s="17" t="n">
        <f aca="false">J112+C113</f>
        <v>22.2185889954188</v>
      </c>
    </row>
    <row r="114" customFormat="false" ht="15" hidden="false" customHeight="false" outlineLevel="0" collapsed="false">
      <c r="A114" s="0" t="n">
        <v>109</v>
      </c>
      <c r="B114" s="22" t="n">
        <f aca="false">IF(A114=0,Inputs!$B$10,IF(A114&lt;3,Inputs!$B$11,Inputs!$B$12))</f>
        <v>0.04</v>
      </c>
      <c r="C114" s="17" t="n">
        <f aca="false">C113*(1-B113)</f>
        <v>0.0104365651832457</v>
      </c>
      <c r="D114" s="23" t="n">
        <f aca="false">1-C114</f>
        <v>0.989563434816754</v>
      </c>
      <c r="E114" s="23" t="n">
        <f aca="false">Payor!D129</f>
        <v>0</v>
      </c>
      <c r="F114" s="16" t="n">
        <f aca="false">C114*Inputs!$B$8</f>
        <v>0.0291180168612555</v>
      </c>
      <c r="G114" s="16" t="n">
        <f aca="false">F114*Inputs!$B$19*E114</f>
        <v>0</v>
      </c>
      <c r="H114" s="16" t="n">
        <f aca="false">F114-G114</f>
        <v>0.0291180168612555</v>
      </c>
      <c r="J114" s="17" t="n">
        <f aca="false">J113+C114</f>
        <v>22.2290255606021</v>
      </c>
    </row>
    <row r="115" customFormat="false" ht="15" hidden="false" customHeight="false" outlineLevel="0" collapsed="false">
      <c r="A115" s="0" t="n">
        <v>110</v>
      </c>
      <c r="B115" s="22" t="n">
        <f aca="false">IF(A115=0,Inputs!$B$10,IF(A115&lt;3,Inputs!$B$11,Inputs!$B$12))</f>
        <v>0.04</v>
      </c>
      <c r="C115" s="17" t="n">
        <f aca="false">C114*(1-B114)</f>
        <v>0.0100191025759159</v>
      </c>
      <c r="D115" s="23" t="n">
        <f aca="false">1-C115</f>
        <v>0.989980897424084</v>
      </c>
      <c r="E115" s="23" t="n">
        <f aca="false">Payor!D130</f>
        <v>0</v>
      </c>
      <c r="F115" s="16" t="n">
        <f aca="false">C115*Inputs!$B$8</f>
        <v>0.0279532961868053</v>
      </c>
      <c r="G115" s="16" t="n">
        <f aca="false">F115*Inputs!$B$19*E115</f>
        <v>0</v>
      </c>
      <c r="H115" s="16" t="n">
        <f aca="false">F115-G115</f>
        <v>0.0279532961868053</v>
      </c>
      <c r="J115" s="17" t="n">
        <f aca="false">J114+C115</f>
        <v>22.239044663178</v>
      </c>
    </row>
    <row r="116" customFormat="false" ht="15" hidden="false" customHeight="false" outlineLevel="0" collapsed="false">
      <c r="A116" s="0" t="n">
        <v>111</v>
      </c>
      <c r="B116" s="22" t="n">
        <f aca="false">IF(A116=0,Inputs!$B$10,IF(A116&lt;3,Inputs!$B$11,Inputs!$B$12))</f>
        <v>0.04</v>
      </c>
      <c r="C116" s="17" t="n">
        <f aca="false">C115*(1-B115)</f>
        <v>0.00961833847287923</v>
      </c>
      <c r="D116" s="23" t="n">
        <f aca="false">1-C116</f>
        <v>0.990381661527121</v>
      </c>
      <c r="E116" s="23" t="n">
        <f aca="false">Payor!D131</f>
        <v>0</v>
      </c>
      <c r="F116" s="16" t="n">
        <f aca="false">C116*Inputs!$B$8</f>
        <v>0.026835164339333</v>
      </c>
      <c r="G116" s="16" t="n">
        <f aca="false">F116*Inputs!$B$19*E116</f>
        <v>0</v>
      </c>
      <c r="H116" s="16" t="n">
        <f aca="false">F116-G116</f>
        <v>0.026835164339333</v>
      </c>
      <c r="J116" s="17" t="n">
        <f aca="false">J115+C116</f>
        <v>22.2486630016509</v>
      </c>
    </row>
    <row r="117" customFormat="false" ht="15" hidden="false" customHeight="false" outlineLevel="0" collapsed="false">
      <c r="A117" s="0" t="n">
        <v>112</v>
      </c>
      <c r="B117" s="22" t="n">
        <f aca="false">IF(A117=0,Inputs!$B$10,IF(A117&lt;3,Inputs!$B$11,Inputs!$B$12))</f>
        <v>0.04</v>
      </c>
      <c r="C117" s="17" t="n">
        <f aca="false">C116*(1-B116)</f>
        <v>0.00923360493396406</v>
      </c>
      <c r="D117" s="23" t="n">
        <f aca="false">1-C117</f>
        <v>0.990766395066036</v>
      </c>
      <c r="E117" s="23" t="n">
        <f aca="false">Payor!D132</f>
        <v>0</v>
      </c>
      <c r="F117" s="16" t="n">
        <f aca="false">C117*Inputs!$B$8</f>
        <v>0.0257617577657597</v>
      </c>
      <c r="G117" s="16" t="n">
        <f aca="false">F117*Inputs!$B$19*E117</f>
        <v>0</v>
      </c>
      <c r="H117" s="16" t="n">
        <f aca="false">F117-G117</f>
        <v>0.0257617577657597</v>
      </c>
      <c r="J117" s="17" t="n">
        <f aca="false">J116+C117</f>
        <v>22.2578966065848</v>
      </c>
    </row>
    <row r="118" customFormat="false" ht="15" hidden="false" customHeight="false" outlineLevel="0" collapsed="false">
      <c r="A118" s="0" t="n">
        <v>113</v>
      </c>
      <c r="B118" s="22" t="n">
        <f aca="false">IF(A118=0,Inputs!$B$10,IF(A118&lt;3,Inputs!$B$11,Inputs!$B$12))</f>
        <v>0.04</v>
      </c>
      <c r="C118" s="17" t="n">
        <f aca="false">C117*(1-B117)</f>
        <v>0.0088642607366055</v>
      </c>
      <c r="D118" s="23" t="n">
        <f aca="false">1-C118</f>
        <v>0.991135739263395</v>
      </c>
      <c r="E118" s="23" t="n">
        <f aca="false">Payor!D133</f>
        <v>0</v>
      </c>
      <c r="F118" s="16" t="n">
        <f aca="false">C118*Inputs!$B$8</f>
        <v>0.0247312874551293</v>
      </c>
      <c r="G118" s="16" t="n">
        <f aca="false">F118*Inputs!$B$19*E118</f>
        <v>0</v>
      </c>
      <c r="H118" s="16" t="n">
        <f aca="false">F118-G118</f>
        <v>0.0247312874551293</v>
      </c>
      <c r="J118" s="17" t="n">
        <f aca="false">J117+C118</f>
        <v>22.2667608673214</v>
      </c>
    </row>
    <row r="119" customFormat="false" ht="15" hidden="false" customHeight="false" outlineLevel="0" collapsed="false">
      <c r="A119" s="0" t="n">
        <v>114</v>
      </c>
      <c r="B119" s="22" t="n">
        <f aca="false">IF(A119=0,Inputs!$B$10,IF(A119&lt;3,Inputs!$B$11,Inputs!$B$12))</f>
        <v>0.04</v>
      </c>
      <c r="C119" s="17" t="n">
        <f aca="false">C118*(1-B118)</f>
        <v>0.00850969030714128</v>
      </c>
      <c r="D119" s="23" t="n">
        <f aca="false">1-C119</f>
        <v>0.991490309692859</v>
      </c>
      <c r="E119" s="23" t="n">
        <f aca="false">Payor!D134</f>
        <v>0</v>
      </c>
      <c r="F119" s="16" t="n">
        <f aca="false">C119*Inputs!$B$8</f>
        <v>0.0237420359569242</v>
      </c>
      <c r="G119" s="16" t="n">
        <f aca="false">F119*Inputs!$B$19*E119</f>
        <v>0</v>
      </c>
      <c r="H119" s="16" t="n">
        <f aca="false">F119-G119</f>
        <v>0.0237420359569242</v>
      </c>
      <c r="J119" s="17" t="n">
        <f aca="false">J118+C119</f>
        <v>22.2752705576286</v>
      </c>
    </row>
    <row r="120" customFormat="false" ht="15" hidden="false" customHeight="false" outlineLevel="0" collapsed="false">
      <c r="A120" s="0" t="n">
        <v>115</v>
      </c>
      <c r="B120" s="22" t="n">
        <f aca="false">IF(A120=0,Inputs!$B$10,IF(A120&lt;3,Inputs!$B$11,Inputs!$B$12))</f>
        <v>0.04</v>
      </c>
      <c r="C120" s="17" t="n">
        <f aca="false">C119*(1-B119)</f>
        <v>0.00816930269485562</v>
      </c>
      <c r="D120" s="23" t="n">
        <f aca="false">1-C120</f>
        <v>0.991830697305144</v>
      </c>
      <c r="E120" s="23" t="n">
        <f aca="false">Payor!D135</f>
        <v>0</v>
      </c>
      <c r="F120" s="16" t="n">
        <f aca="false">C120*Inputs!$B$8</f>
        <v>0.0227923545186472</v>
      </c>
      <c r="G120" s="16" t="n">
        <f aca="false">F120*Inputs!$B$19*E120</f>
        <v>0</v>
      </c>
      <c r="H120" s="16" t="n">
        <f aca="false">F120-G120</f>
        <v>0.0227923545186472</v>
      </c>
      <c r="J120" s="17" t="n">
        <f aca="false">J119+C120</f>
        <v>22.2834398603234</v>
      </c>
    </row>
    <row r="121" customFormat="false" ht="15" hidden="false" customHeight="false" outlineLevel="0" collapsed="false">
      <c r="A121" s="0" t="n">
        <v>116</v>
      </c>
      <c r="B121" s="22" t="n">
        <f aca="false">IF(A121=0,Inputs!$B$10,IF(A121&lt;3,Inputs!$B$11,Inputs!$B$12))</f>
        <v>0.04</v>
      </c>
      <c r="C121" s="17" t="n">
        <f aca="false">C120*(1-B120)</f>
        <v>0.0078425305870614</v>
      </c>
      <c r="D121" s="23" t="n">
        <f aca="false">1-C121</f>
        <v>0.992157469412939</v>
      </c>
      <c r="E121" s="23" t="n">
        <f aca="false">Payor!D136</f>
        <v>0</v>
      </c>
      <c r="F121" s="16" t="n">
        <f aca="false">C121*Inputs!$B$8</f>
        <v>0.0218806603379013</v>
      </c>
      <c r="G121" s="16" t="n">
        <f aca="false">F121*Inputs!$B$19*E121</f>
        <v>0</v>
      </c>
      <c r="H121" s="16" t="n">
        <f aca="false">F121-G121</f>
        <v>0.0218806603379013</v>
      </c>
      <c r="J121" s="17" t="n">
        <f aca="false">J120+C121</f>
        <v>22.2912823909105</v>
      </c>
    </row>
    <row r="122" customFormat="false" ht="15" hidden="false" customHeight="false" outlineLevel="0" collapsed="false">
      <c r="A122" s="0" t="n">
        <v>117</v>
      </c>
      <c r="B122" s="22" t="n">
        <f aca="false">IF(A122=0,Inputs!$B$10,IF(A122&lt;3,Inputs!$B$11,Inputs!$B$12))</f>
        <v>0.04</v>
      </c>
      <c r="C122" s="17" t="n">
        <f aca="false">C121*(1-B121)</f>
        <v>0.00752882936357894</v>
      </c>
      <c r="D122" s="23" t="n">
        <f aca="false">1-C122</f>
        <v>0.992471170636421</v>
      </c>
      <c r="E122" s="23" t="n">
        <f aca="false">Payor!D137</f>
        <v>0</v>
      </c>
      <c r="F122" s="16" t="n">
        <f aca="false">C122*Inputs!$B$8</f>
        <v>0.0210054339243853</v>
      </c>
      <c r="G122" s="16" t="n">
        <f aca="false">F122*Inputs!$B$19*E122</f>
        <v>0</v>
      </c>
      <c r="H122" s="16" t="n">
        <f aca="false">F122-G122</f>
        <v>0.0210054339243853</v>
      </c>
      <c r="J122" s="17" t="n">
        <f aca="false">J121+C122</f>
        <v>22.2988112202741</v>
      </c>
    </row>
    <row r="123" customFormat="false" ht="15" hidden="false" customHeight="false" outlineLevel="0" collapsed="false">
      <c r="A123" s="0" t="n">
        <v>118</v>
      </c>
      <c r="B123" s="22" t="n">
        <f aca="false">IF(A123=0,Inputs!$B$10,IF(A123&lt;3,Inputs!$B$11,Inputs!$B$12))</f>
        <v>0.04</v>
      </c>
      <c r="C123" s="17" t="n">
        <f aca="false">C122*(1-B122)</f>
        <v>0.00722767618903579</v>
      </c>
      <c r="D123" s="23" t="n">
        <f aca="false">1-C123</f>
        <v>0.992772323810964</v>
      </c>
      <c r="E123" s="23" t="n">
        <f aca="false">Payor!D138</f>
        <v>0</v>
      </c>
      <c r="F123" s="16" t="n">
        <f aca="false">C123*Inputs!$B$8</f>
        <v>0.0201652165674098</v>
      </c>
      <c r="G123" s="16" t="n">
        <f aca="false">F123*Inputs!$B$19*E123</f>
        <v>0</v>
      </c>
      <c r="H123" s="16" t="n">
        <f aca="false">F123-G123</f>
        <v>0.0201652165674098</v>
      </c>
      <c r="J123" s="17" t="n">
        <f aca="false">J122+C123</f>
        <v>22.3060388964631</v>
      </c>
    </row>
    <row r="124" customFormat="false" ht="15" hidden="false" customHeight="false" outlineLevel="0" collapsed="false">
      <c r="A124" s="0" t="n">
        <v>119</v>
      </c>
      <c r="B124" s="22" t="n">
        <f aca="false">IF(A124=0,Inputs!$B$10,IF(A124&lt;3,Inputs!$B$11,Inputs!$B$12))</f>
        <v>0.04</v>
      </c>
      <c r="C124" s="17" t="n">
        <f aca="false">C123*(1-B123)</f>
        <v>0.00693856914147435</v>
      </c>
      <c r="D124" s="23" t="n">
        <f aca="false">1-C124</f>
        <v>0.993061430858526</v>
      </c>
      <c r="E124" s="23" t="n">
        <f aca="false">Payor!D139</f>
        <v>0</v>
      </c>
      <c r="F124" s="16" t="n">
        <f aca="false">C124*Inputs!$B$8</f>
        <v>0.0193586079047135</v>
      </c>
      <c r="G124" s="16" t="n">
        <f aca="false">F124*Inputs!$B$19*E124</f>
        <v>0</v>
      </c>
      <c r="H124" s="16" t="n">
        <f aca="false">F124-G124</f>
        <v>0.0193586079047135</v>
      </c>
      <c r="J124" s="17" t="n">
        <f aca="false">J123+C124</f>
        <v>22.3129774656046</v>
      </c>
    </row>
    <row r="125" customFormat="false" ht="15" hidden="false" customHeight="false" outlineLevel="0" collapsed="false">
      <c r="A125" s="0" t="n">
        <v>120</v>
      </c>
      <c r="B125" s="22" t="n">
        <f aca="false">IF(A125=0,Inputs!$B$10,IF(A125&lt;3,Inputs!$B$11,Inputs!$B$12))</f>
        <v>0.04</v>
      </c>
      <c r="C125" s="17" t="n">
        <f aca="false">C124*(1-B124)</f>
        <v>0.00666102637581538</v>
      </c>
      <c r="D125" s="23" t="n">
        <f aca="false">1-C125</f>
        <v>0.993338973624185</v>
      </c>
      <c r="E125" s="23" t="n">
        <f aca="false">Payor!D140</f>
        <v>0</v>
      </c>
      <c r="F125" s="16" t="n">
        <f aca="false">C125*Inputs!$B$8</f>
        <v>0.0185842635885249</v>
      </c>
      <c r="G125" s="16" t="n">
        <f aca="false">F125*Inputs!$B$19*E125</f>
        <v>0</v>
      </c>
      <c r="H125" s="16" t="n">
        <f aca="false">F125-G125</f>
        <v>0.0185842635885249</v>
      </c>
      <c r="J125" s="17" t="n">
        <f aca="false">J124+C125</f>
        <v>22.3196384919804</v>
      </c>
    </row>
    <row r="126" customFormat="false" ht="15" hidden="false" customHeight="false" outlineLevel="0" collapsed="false">
      <c r="A126" s="0" t="n">
        <v>121</v>
      </c>
      <c r="B126" s="22" t="n">
        <f aca="false">IF(A126=0,Inputs!$B$10,IF(A126&lt;3,Inputs!$B$11,Inputs!$B$12))</f>
        <v>0.04</v>
      </c>
      <c r="C126" s="17" t="n">
        <f aca="false">C125*(1-B125)</f>
        <v>0.00639458532078276</v>
      </c>
      <c r="D126" s="23" t="n">
        <f aca="false">1-C126</f>
        <v>0.993605414679217</v>
      </c>
      <c r="E126" s="23" t="n">
        <f aca="false">Payor!D141</f>
        <v>0</v>
      </c>
      <c r="F126" s="16" t="n">
        <f aca="false">C126*Inputs!$B$8</f>
        <v>0.0178408930449839</v>
      </c>
      <c r="G126" s="16" t="n">
        <f aca="false">F126*Inputs!$B$19*E126</f>
        <v>0</v>
      </c>
      <c r="H126" s="16" t="n">
        <f aca="false">F126-G126</f>
        <v>0.0178408930449839</v>
      </c>
      <c r="J126" s="17" t="n">
        <f aca="false">J125+C126</f>
        <v>22.3260330773012</v>
      </c>
    </row>
    <row r="127" customFormat="false" ht="15" hidden="false" customHeight="false" outlineLevel="0" collapsed="false">
      <c r="A127" s="0" t="n">
        <v>122</v>
      </c>
      <c r="B127" s="22" t="n">
        <f aca="false">IF(A127=0,Inputs!$B$10,IF(A127&lt;3,Inputs!$B$11,Inputs!$B$12))</f>
        <v>0.04</v>
      </c>
      <c r="C127" s="17" t="n">
        <f aca="false">C126*(1-B126)</f>
        <v>0.00613880190795145</v>
      </c>
      <c r="D127" s="23" t="n">
        <f aca="false">1-C127</f>
        <v>0.993861198092049</v>
      </c>
      <c r="E127" s="23" t="n">
        <f aca="false">Payor!D142</f>
        <v>0</v>
      </c>
      <c r="F127" s="16" t="n">
        <f aca="false">C127*Inputs!$B$8</f>
        <v>0.0171272573231846</v>
      </c>
      <c r="G127" s="16" t="n">
        <f aca="false">F127*Inputs!$B$19*E127</f>
        <v>0</v>
      </c>
      <c r="H127" s="16" t="n">
        <f aca="false">F127-G127</f>
        <v>0.0171272573231846</v>
      </c>
      <c r="J127" s="17" t="n">
        <f aca="false">J126+C127</f>
        <v>22.3321718792091</v>
      </c>
    </row>
    <row r="128" customFormat="false" ht="15" hidden="false" customHeight="false" outlineLevel="0" collapsed="false">
      <c r="A128" s="0" t="n">
        <v>123</v>
      </c>
      <c r="B128" s="22" t="n">
        <f aca="false">IF(A128=0,Inputs!$B$10,IF(A128&lt;3,Inputs!$B$11,Inputs!$B$12))</f>
        <v>0.04</v>
      </c>
      <c r="C128" s="17" t="n">
        <f aca="false">C127*(1-B127)</f>
        <v>0.0058932498316334</v>
      </c>
      <c r="D128" s="23" t="n">
        <f aca="false">1-C128</f>
        <v>0.994106750168367</v>
      </c>
      <c r="E128" s="23" t="n">
        <f aca="false">Payor!D143</f>
        <v>0</v>
      </c>
      <c r="F128" s="16" t="n">
        <f aca="false">C128*Inputs!$B$8</f>
        <v>0.0164421670302572</v>
      </c>
      <c r="G128" s="16" t="n">
        <f aca="false">F128*Inputs!$B$19*E128</f>
        <v>0</v>
      </c>
      <c r="H128" s="16" t="n">
        <f aca="false">F128-G128</f>
        <v>0.0164421670302572</v>
      </c>
      <c r="J128" s="17" t="n">
        <f aca="false">J127+C128</f>
        <v>22.3380651290408</v>
      </c>
    </row>
    <row r="129" customFormat="false" ht="15" hidden="false" customHeight="false" outlineLevel="0" collapsed="false">
      <c r="A129" s="0" t="n">
        <v>124</v>
      </c>
      <c r="B129" s="22" t="n">
        <f aca="false">IF(A129=0,Inputs!$B$10,IF(A129&lt;3,Inputs!$B$11,Inputs!$B$12))</f>
        <v>0.04</v>
      </c>
      <c r="C129" s="17" t="n">
        <f aca="false">C128*(1-B128)</f>
        <v>0.00565751983836806</v>
      </c>
      <c r="D129" s="23" t="n">
        <f aca="false">1-C129</f>
        <v>0.994342480161632</v>
      </c>
      <c r="E129" s="23" t="n">
        <f aca="false">Payor!D144</f>
        <v>0</v>
      </c>
      <c r="F129" s="16" t="n">
        <f aca="false">C129*Inputs!$B$8</f>
        <v>0.0157844803490469</v>
      </c>
      <c r="G129" s="16" t="n">
        <f aca="false">F129*Inputs!$B$19*E129</f>
        <v>0</v>
      </c>
      <c r="H129" s="16" t="n">
        <f aca="false">F129-G129</f>
        <v>0.0157844803490469</v>
      </c>
      <c r="J129" s="17" t="n">
        <f aca="false">J128+C129</f>
        <v>22.3437226488791</v>
      </c>
    </row>
    <row r="130" customFormat="false" ht="15" hidden="false" customHeight="false" outlineLevel="0" collapsed="false">
      <c r="A130" s="0" t="n">
        <v>125</v>
      </c>
      <c r="B130" s="22" t="n">
        <f aca="false">IF(A130=0,Inputs!$B$10,IF(A130&lt;3,Inputs!$B$11,Inputs!$B$12))</f>
        <v>0.04</v>
      </c>
      <c r="C130" s="17" t="n">
        <f aca="false">C129*(1-B129)</f>
        <v>0.00543121904483334</v>
      </c>
      <c r="D130" s="23" t="n">
        <f aca="false">1-C130</f>
        <v>0.994568780955167</v>
      </c>
      <c r="E130" s="23" t="n">
        <f aca="false">Payor!D145</f>
        <v>0</v>
      </c>
      <c r="F130" s="16" t="n">
        <f aca="false">C130*Inputs!$B$8</f>
        <v>0.015153101135085</v>
      </c>
      <c r="G130" s="16" t="n">
        <f aca="false">F130*Inputs!$B$19*E130</f>
        <v>0</v>
      </c>
      <c r="H130" s="16" t="n">
        <f aca="false">F130-G130</f>
        <v>0.015153101135085</v>
      </c>
      <c r="J130" s="17" t="n">
        <f aca="false">J129+C130</f>
        <v>22.349153867924</v>
      </c>
    </row>
    <row r="131" customFormat="false" ht="15" hidden="false" customHeight="false" outlineLevel="0" collapsed="false">
      <c r="A131" s="0" t="n">
        <v>126</v>
      </c>
      <c r="B131" s="22" t="n">
        <f aca="false">IF(A131=0,Inputs!$B$10,IF(A131&lt;3,Inputs!$B$11,Inputs!$B$12))</f>
        <v>0.04</v>
      </c>
      <c r="C131" s="17" t="n">
        <f aca="false">C130*(1-B130)</f>
        <v>0.00521397028304</v>
      </c>
      <c r="D131" s="23" t="n">
        <f aca="false">1-C131</f>
        <v>0.99478602971696</v>
      </c>
      <c r="E131" s="23" t="n">
        <f aca="false">Payor!D146</f>
        <v>0</v>
      </c>
      <c r="F131" s="16" t="n">
        <f aca="false">C131*Inputs!$B$8</f>
        <v>0.0145469770896816</v>
      </c>
      <c r="G131" s="16" t="n">
        <f aca="false">F131*Inputs!$B$19*E131</f>
        <v>0</v>
      </c>
      <c r="H131" s="16" t="n">
        <f aca="false">F131-G131</f>
        <v>0.0145469770896816</v>
      </c>
      <c r="J131" s="17" t="n">
        <f aca="false">J130+C131</f>
        <v>22.354367838207</v>
      </c>
    </row>
    <row r="132" customFormat="false" ht="15" hidden="false" customHeight="false" outlineLevel="0" collapsed="false">
      <c r="A132" s="0" t="n">
        <v>127</v>
      </c>
      <c r="B132" s="22" t="n">
        <f aca="false">IF(A132=0,Inputs!$B$10,IF(A132&lt;3,Inputs!$B$11,Inputs!$B$12))</f>
        <v>0.04</v>
      </c>
      <c r="C132" s="17" t="n">
        <f aca="false">C131*(1-B131)</f>
        <v>0.0050054114717184</v>
      </c>
      <c r="D132" s="23" t="n">
        <f aca="false">1-C132</f>
        <v>0.994994588528282</v>
      </c>
      <c r="E132" s="23" t="n">
        <f aca="false">Payor!D147</f>
        <v>0</v>
      </c>
      <c r="F132" s="16" t="n">
        <f aca="false">C132*Inputs!$B$8</f>
        <v>0.0139650980060943</v>
      </c>
      <c r="G132" s="16" t="n">
        <f aca="false">F132*Inputs!$B$19*E132</f>
        <v>0</v>
      </c>
      <c r="H132" s="16" t="n">
        <f aca="false">F132-G132</f>
        <v>0.0139650980060943</v>
      </c>
      <c r="J132" s="17" t="n">
        <f aca="false">J131+C132</f>
        <v>22.3593732496787</v>
      </c>
    </row>
    <row r="133" customFormat="false" ht="15" hidden="false" customHeight="false" outlineLevel="0" collapsed="false">
      <c r="A133" s="0" t="n">
        <v>128</v>
      </c>
      <c r="B133" s="22" t="n">
        <f aca="false">IF(A133=0,Inputs!$B$10,IF(A133&lt;3,Inputs!$B$11,Inputs!$B$12))</f>
        <v>0.04</v>
      </c>
      <c r="C133" s="17" t="n">
        <f aca="false">C132*(1-B132)</f>
        <v>0.00480519501284967</v>
      </c>
      <c r="D133" s="23" t="n">
        <f aca="false">1-C133</f>
        <v>0.99519480498715</v>
      </c>
      <c r="E133" s="23" t="n">
        <f aca="false">Payor!D148</f>
        <v>0</v>
      </c>
      <c r="F133" s="16" t="n">
        <f aca="false">C133*Inputs!$B$8</f>
        <v>0.0134064940858506</v>
      </c>
      <c r="G133" s="16" t="n">
        <f aca="false">F133*Inputs!$B$19*E133</f>
        <v>0</v>
      </c>
      <c r="H133" s="16" t="n">
        <f aca="false">F133-G133</f>
        <v>0.0134064940858506</v>
      </c>
      <c r="J133" s="17" t="n">
        <f aca="false">J132+C133</f>
        <v>22.3641784446916</v>
      </c>
    </row>
    <row r="134" customFormat="false" ht="15" hidden="false" customHeight="false" outlineLevel="0" collapsed="false">
      <c r="A134" s="0" t="n">
        <v>129</v>
      </c>
      <c r="B134" s="22" t="n">
        <f aca="false">IF(A134=0,Inputs!$B$10,IF(A134&lt;3,Inputs!$B$11,Inputs!$B$12))</f>
        <v>0.04</v>
      </c>
      <c r="C134" s="17" t="n">
        <f aca="false">C133*(1-B133)</f>
        <v>0.00461298721233568</v>
      </c>
      <c r="D134" s="23" t="n">
        <f aca="false">1-C134</f>
        <v>0.995387012787664</v>
      </c>
      <c r="E134" s="23" t="n">
        <f aca="false">Payor!D149</f>
        <v>0</v>
      </c>
      <c r="F134" s="16" t="n">
        <f aca="false">C134*Inputs!$B$8</f>
        <v>0.0128702343224165</v>
      </c>
      <c r="G134" s="16" t="n">
        <f aca="false">F134*Inputs!$B$19*E134</f>
        <v>0</v>
      </c>
      <c r="H134" s="16" t="n">
        <f aca="false">F134-G134</f>
        <v>0.0128702343224165</v>
      </c>
      <c r="J134" s="17" t="n">
        <f aca="false">J133+C134</f>
        <v>22.3687914319039</v>
      </c>
    </row>
    <row r="135" customFormat="false" ht="15" hidden="false" customHeight="false" outlineLevel="0" collapsed="false">
      <c r="A135" s="0" t="n">
        <v>130</v>
      </c>
      <c r="B135" s="22" t="n">
        <f aca="false">IF(A135=0,Inputs!$B$10,IF(A135&lt;3,Inputs!$B$11,Inputs!$B$12))</f>
        <v>0.04</v>
      </c>
      <c r="C135" s="17" t="n">
        <f aca="false">C134*(1-B134)</f>
        <v>0.00442846772384225</v>
      </c>
      <c r="D135" s="23" t="n">
        <f aca="false">1-C135</f>
        <v>0.995571532276158</v>
      </c>
      <c r="E135" s="23" t="n">
        <f aca="false">Payor!D150</f>
        <v>0</v>
      </c>
      <c r="F135" s="16" t="n">
        <f aca="false">C135*Inputs!$B$8</f>
        <v>0.0123554249495199</v>
      </c>
      <c r="G135" s="16" t="n">
        <f aca="false">F135*Inputs!$B$19*E135</f>
        <v>0</v>
      </c>
      <c r="H135" s="16" t="n">
        <f aca="false">F135-G135</f>
        <v>0.0123554249495199</v>
      </c>
      <c r="J135" s="17" t="n">
        <f aca="false">J134+C135</f>
        <v>22.3732198996278</v>
      </c>
    </row>
    <row r="136" customFormat="false" ht="15" hidden="false" customHeight="false" outlineLevel="0" collapsed="false">
      <c r="A136" s="0" t="n">
        <v>131</v>
      </c>
      <c r="B136" s="22" t="n">
        <f aca="false">IF(A136=0,Inputs!$B$10,IF(A136&lt;3,Inputs!$B$11,Inputs!$B$12))</f>
        <v>0.04</v>
      </c>
      <c r="C136" s="17" t="n">
        <f aca="false">C135*(1-B135)</f>
        <v>0.00425132901488856</v>
      </c>
      <c r="D136" s="23" t="n">
        <f aca="false">1-C136</f>
        <v>0.995748670985111</v>
      </c>
      <c r="E136" s="23" t="n">
        <f aca="false">Payor!D151</f>
        <v>0</v>
      </c>
      <c r="F136" s="16" t="n">
        <f aca="false">C136*Inputs!$B$8</f>
        <v>0.0118612079515391</v>
      </c>
      <c r="G136" s="16" t="n">
        <f aca="false">F136*Inputs!$B$19*E136</f>
        <v>0</v>
      </c>
      <c r="H136" s="16" t="n">
        <f aca="false">F136-G136</f>
        <v>0.0118612079515391</v>
      </c>
      <c r="J136" s="17" t="n">
        <f aca="false">J135+C136</f>
        <v>22.3774712286427</v>
      </c>
    </row>
    <row r="137" customFormat="false" ht="15" hidden="false" customHeight="false" outlineLevel="0" collapsed="false">
      <c r="A137" s="0" t="n">
        <v>132</v>
      </c>
      <c r="B137" s="22" t="n">
        <f aca="false">IF(A137=0,Inputs!$B$10,IF(A137&lt;3,Inputs!$B$11,Inputs!$B$12))</f>
        <v>0.04</v>
      </c>
      <c r="C137" s="17" t="n">
        <f aca="false">C136*(1-B136)</f>
        <v>0.00408127585429302</v>
      </c>
      <c r="D137" s="23" t="n">
        <f aca="false">1-C137</f>
        <v>0.995918724145707</v>
      </c>
      <c r="E137" s="23" t="n">
        <f aca="false">Payor!D152</f>
        <v>0</v>
      </c>
      <c r="F137" s="16" t="n">
        <f aca="false">C137*Inputs!$B$8</f>
        <v>0.0113867596334775</v>
      </c>
      <c r="G137" s="16" t="n">
        <f aca="false">F137*Inputs!$B$19*E137</f>
        <v>0</v>
      </c>
      <c r="H137" s="16" t="n">
        <f aca="false">F137-G137</f>
        <v>0.0113867596334775</v>
      </c>
      <c r="J137" s="17" t="n">
        <f aca="false">J136+C137</f>
        <v>22.381552504497</v>
      </c>
    </row>
    <row r="138" customFormat="false" ht="15" hidden="false" customHeight="false" outlineLevel="0" collapsed="false">
      <c r="A138" s="0" t="n">
        <v>133</v>
      </c>
      <c r="B138" s="22" t="n">
        <f aca="false">IF(A138=0,Inputs!$B$10,IF(A138&lt;3,Inputs!$B$11,Inputs!$B$12))</f>
        <v>0.04</v>
      </c>
      <c r="C138" s="17" t="n">
        <f aca="false">C137*(1-B137)</f>
        <v>0.0039180248201213</v>
      </c>
      <c r="D138" s="23" t="n">
        <f aca="false">1-C138</f>
        <v>0.996081975179879</v>
      </c>
      <c r="E138" s="23" t="n">
        <f aca="false">Payor!D153</f>
        <v>0</v>
      </c>
      <c r="F138" s="16" t="n">
        <f aca="false">C138*Inputs!$B$8</f>
        <v>0.0109312892481384</v>
      </c>
      <c r="G138" s="16" t="n">
        <f aca="false">F138*Inputs!$B$19*E138</f>
        <v>0</v>
      </c>
      <c r="H138" s="16" t="n">
        <f aca="false">F138-G138</f>
        <v>0.0109312892481384</v>
      </c>
      <c r="J138" s="17" t="n">
        <f aca="false">J137+C138</f>
        <v>22.3854705293171</v>
      </c>
    </row>
    <row r="139" customFormat="false" ht="15" hidden="false" customHeight="false" outlineLevel="0" collapsed="false">
      <c r="A139" s="0" t="n">
        <v>134</v>
      </c>
      <c r="B139" s="22" t="n">
        <f aca="false">IF(A139=0,Inputs!$B$10,IF(A139&lt;3,Inputs!$B$11,Inputs!$B$12))</f>
        <v>0.04</v>
      </c>
      <c r="C139" s="17" t="n">
        <f aca="false">C138*(1-B138)</f>
        <v>0.00376130382731645</v>
      </c>
      <c r="D139" s="23" t="n">
        <f aca="false">1-C139</f>
        <v>0.996238696172684</v>
      </c>
      <c r="E139" s="23" t="n">
        <f aca="false">Payor!D154</f>
        <v>0</v>
      </c>
      <c r="F139" s="16" t="n">
        <f aca="false">C139*Inputs!$B$8</f>
        <v>0.0104940376782129</v>
      </c>
      <c r="G139" s="16" t="n">
        <f aca="false">F139*Inputs!$B$19*E139</f>
        <v>0</v>
      </c>
      <c r="H139" s="16" t="n">
        <f aca="false">F139-G139</f>
        <v>0.0104940376782129</v>
      </c>
      <c r="J139" s="17" t="n">
        <f aca="false">J138+C139</f>
        <v>22.3892318331444</v>
      </c>
    </row>
    <row r="140" customFormat="false" ht="15" hidden="false" customHeight="false" outlineLevel="0" collapsed="false">
      <c r="A140" s="0" t="n">
        <v>135</v>
      </c>
      <c r="B140" s="22" t="n">
        <f aca="false">IF(A140=0,Inputs!$B$10,IF(A140&lt;3,Inputs!$B$11,Inputs!$B$12))</f>
        <v>0.04</v>
      </c>
      <c r="C140" s="17" t="n">
        <f aca="false">C139*(1-B139)</f>
        <v>0.00361085167422379</v>
      </c>
      <c r="D140" s="23" t="n">
        <f aca="false">1-C140</f>
        <v>0.996389148325776</v>
      </c>
      <c r="E140" s="23" t="n">
        <f aca="false">Payor!D155</f>
        <v>0</v>
      </c>
      <c r="F140" s="16" t="n">
        <f aca="false">C140*Inputs!$B$8</f>
        <v>0.0100742761710844</v>
      </c>
      <c r="G140" s="16" t="n">
        <f aca="false">F140*Inputs!$B$19*E140</f>
        <v>0</v>
      </c>
      <c r="H140" s="16" t="n">
        <f aca="false">F140-G140</f>
        <v>0.0100742761710844</v>
      </c>
      <c r="J140" s="17" t="n">
        <f aca="false">J139+C140</f>
        <v>22.3928426848186</v>
      </c>
    </row>
    <row r="141" customFormat="false" ht="15" hidden="false" customHeight="false" outlineLevel="0" collapsed="false">
      <c r="A141" s="0" t="n">
        <v>136</v>
      </c>
      <c r="B141" s="22" t="n">
        <f aca="false">IF(A141=0,Inputs!$B$10,IF(A141&lt;3,Inputs!$B$11,Inputs!$B$12))</f>
        <v>0.04</v>
      </c>
      <c r="C141" s="17" t="n">
        <f aca="false">C140*(1-B140)</f>
        <v>0.00346641760725484</v>
      </c>
      <c r="D141" s="23" t="n">
        <f aca="false">1-C141</f>
        <v>0.996533582392745</v>
      </c>
      <c r="E141" s="23" t="n">
        <f aca="false">Payor!D156</f>
        <v>0</v>
      </c>
      <c r="F141" s="16" t="n">
        <f aca="false">C141*Inputs!$B$8</f>
        <v>0.009671305124241</v>
      </c>
      <c r="G141" s="16" t="n">
        <f aca="false">F141*Inputs!$B$19*E141</f>
        <v>0</v>
      </c>
      <c r="H141" s="16" t="n">
        <f aca="false">F141-G141</f>
        <v>0.009671305124241</v>
      </c>
      <c r="J141" s="17" t="n">
        <f aca="false">J140+C141</f>
        <v>22.3963091024259</v>
      </c>
    </row>
    <row r="142" customFormat="false" ht="15" hidden="false" customHeight="false" outlineLevel="0" collapsed="false">
      <c r="A142" s="0" t="n">
        <v>137</v>
      </c>
      <c r="B142" s="22" t="n">
        <f aca="false">IF(A142=0,Inputs!$B$10,IF(A142&lt;3,Inputs!$B$11,Inputs!$B$12))</f>
        <v>0.04</v>
      </c>
      <c r="C142" s="17" t="n">
        <f aca="false">C141*(1-B141)</f>
        <v>0.00332776090296464</v>
      </c>
      <c r="D142" s="23" t="n">
        <f aca="false">1-C142</f>
        <v>0.996672239097035</v>
      </c>
      <c r="E142" s="23" t="n">
        <f aca="false">Payor!D157</f>
        <v>0</v>
      </c>
      <c r="F142" s="16" t="n">
        <f aca="false">C142*Inputs!$B$8</f>
        <v>0.00928445291927136</v>
      </c>
      <c r="G142" s="16" t="n">
        <f aca="false">F142*Inputs!$B$19*E142</f>
        <v>0</v>
      </c>
      <c r="H142" s="16" t="n">
        <f aca="false">F142-G142</f>
        <v>0.00928445291927136</v>
      </c>
      <c r="J142" s="17" t="n">
        <f aca="false">J141+C142</f>
        <v>22.3996368633288</v>
      </c>
    </row>
    <row r="143" customFormat="false" ht="15" hidden="false" customHeight="false" outlineLevel="0" collapsed="false">
      <c r="A143" s="0" t="n">
        <v>138</v>
      </c>
      <c r="B143" s="22" t="n">
        <f aca="false">IF(A143=0,Inputs!$B$10,IF(A143&lt;3,Inputs!$B$11,Inputs!$B$12))</f>
        <v>0.04</v>
      </c>
      <c r="C143" s="17" t="n">
        <f aca="false">C142*(1-B142)</f>
        <v>0.00319465046684606</v>
      </c>
      <c r="D143" s="23" t="n">
        <f aca="false">1-C143</f>
        <v>0.996805349533154</v>
      </c>
      <c r="E143" s="23" t="n">
        <f aca="false">Payor!D158</f>
        <v>0</v>
      </c>
      <c r="F143" s="16" t="n">
        <f aca="false">C143*Inputs!$B$8</f>
        <v>0.0089130748025005</v>
      </c>
      <c r="G143" s="16" t="n">
        <f aca="false">F143*Inputs!$B$19*E143</f>
        <v>0</v>
      </c>
      <c r="H143" s="16" t="n">
        <f aca="false">F143-G143</f>
        <v>0.0089130748025005</v>
      </c>
      <c r="J143" s="17" t="n">
        <f aca="false">J142+C143</f>
        <v>22.4028315137957</v>
      </c>
    </row>
    <row r="144" customFormat="false" ht="15" hidden="false" customHeight="false" outlineLevel="0" collapsed="false">
      <c r="A144" s="0" t="n">
        <v>139</v>
      </c>
      <c r="B144" s="22" t="n">
        <f aca="false">IF(A144=0,Inputs!$B$10,IF(A144&lt;3,Inputs!$B$11,Inputs!$B$12))</f>
        <v>0.04</v>
      </c>
      <c r="C144" s="17" t="n">
        <f aca="false">C143*(1-B143)</f>
        <v>0.00306686444817222</v>
      </c>
      <c r="D144" s="23" t="n">
        <f aca="false">1-C144</f>
        <v>0.996933135551828</v>
      </c>
      <c r="E144" s="23" t="n">
        <f aca="false">Payor!D159</f>
        <v>0</v>
      </c>
      <c r="F144" s="16" t="n">
        <f aca="false">C144*Inputs!$B$8</f>
        <v>0.00855655181040048</v>
      </c>
      <c r="G144" s="16" t="n">
        <f aca="false">F144*Inputs!$B$19*E144</f>
        <v>0</v>
      </c>
      <c r="H144" s="16" t="n">
        <f aca="false">F144-G144</f>
        <v>0.00855655181040048</v>
      </c>
      <c r="J144" s="17" t="n">
        <f aca="false">J143+C144</f>
        <v>22.4058983782438</v>
      </c>
    </row>
    <row r="145" customFormat="false" ht="15" hidden="false" customHeight="false" outlineLevel="0" collapsed="false">
      <c r="A145" s="0" t="n">
        <v>140</v>
      </c>
      <c r="B145" s="22" t="n">
        <f aca="false">IF(A145=0,Inputs!$B$10,IF(A145&lt;3,Inputs!$B$11,Inputs!$B$12))</f>
        <v>0.04</v>
      </c>
      <c r="C145" s="17" t="n">
        <f aca="false">C144*(1-B144)</f>
        <v>0.00294418987024533</v>
      </c>
      <c r="D145" s="23" t="n">
        <f aca="false">1-C145</f>
        <v>0.997055810129755</v>
      </c>
      <c r="E145" s="23" t="n">
        <f aca="false">Payor!D160</f>
        <v>0</v>
      </c>
      <c r="F145" s="16" t="n">
        <f aca="false">C145*Inputs!$B$8</f>
        <v>0.00821428973798446</v>
      </c>
      <c r="G145" s="16" t="n">
        <f aca="false">F145*Inputs!$B$19*E145</f>
        <v>0</v>
      </c>
      <c r="H145" s="16" t="n">
        <f aca="false">F145-G145</f>
        <v>0.00821428973798446</v>
      </c>
      <c r="J145" s="17" t="n">
        <f aca="false">J144+C145</f>
        <v>22.4088425681141</v>
      </c>
    </row>
    <row r="146" customFormat="false" ht="15" hidden="false" customHeight="false" outlineLevel="0" collapsed="false">
      <c r="A146" s="0" t="n">
        <v>141</v>
      </c>
      <c r="B146" s="22" t="n">
        <f aca="false">IF(A146=0,Inputs!$B$10,IF(A146&lt;3,Inputs!$B$11,Inputs!$B$12))</f>
        <v>0.04</v>
      </c>
      <c r="C146" s="17" t="n">
        <f aca="false">C145*(1-B145)</f>
        <v>0.00282642227543551</v>
      </c>
      <c r="D146" s="23" t="n">
        <f aca="false">1-C146</f>
        <v>0.997173577724565</v>
      </c>
      <c r="E146" s="23" t="n">
        <f aca="false">Payor!D161</f>
        <v>0</v>
      </c>
      <c r="F146" s="16" t="n">
        <f aca="false">C146*Inputs!$B$8</f>
        <v>0.00788571814846508</v>
      </c>
      <c r="G146" s="16" t="n">
        <f aca="false">F146*Inputs!$B$19*E146</f>
        <v>0</v>
      </c>
      <c r="H146" s="16" t="n">
        <f aca="false">F146-G146</f>
        <v>0.00788571814846508</v>
      </c>
      <c r="J146" s="17" t="n">
        <f aca="false">J145+C146</f>
        <v>22.4116689903895</v>
      </c>
    </row>
    <row r="147" customFormat="false" ht="15" hidden="false" customHeight="false" outlineLevel="0" collapsed="false">
      <c r="A147" s="0" t="n">
        <v>142</v>
      </c>
      <c r="B147" s="22" t="n">
        <f aca="false">IF(A147=0,Inputs!$B$10,IF(A147&lt;3,Inputs!$B$11,Inputs!$B$12))</f>
        <v>0.04</v>
      </c>
      <c r="C147" s="17" t="n">
        <f aca="false">C146*(1-B146)</f>
        <v>0.00271336538441809</v>
      </c>
      <c r="D147" s="23" t="n">
        <f aca="false">1-C147</f>
        <v>0.997286634615582</v>
      </c>
      <c r="E147" s="23" t="n">
        <f aca="false">Payor!D162</f>
        <v>0</v>
      </c>
      <c r="F147" s="16" t="n">
        <f aca="false">C147*Inputs!$B$8</f>
        <v>0.00757028942252648</v>
      </c>
      <c r="G147" s="16" t="n">
        <f aca="false">F147*Inputs!$B$19*E147</f>
        <v>0</v>
      </c>
      <c r="H147" s="16" t="n">
        <f aca="false">F147-G147</f>
        <v>0.00757028942252648</v>
      </c>
      <c r="J147" s="17" t="n">
        <f aca="false">J146+C147</f>
        <v>22.414382355774</v>
      </c>
    </row>
    <row r="148" customFormat="false" ht="15" hidden="false" customHeight="false" outlineLevel="0" collapsed="false">
      <c r="A148" s="0" t="n">
        <v>143</v>
      </c>
      <c r="B148" s="22" t="n">
        <f aca="false">IF(A148=0,Inputs!$B$10,IF(A148&lt;3,Inputs!$B$11,Inputs!$B$12))</f>
        <v>0.04</v>
      </c>
      <c r="C148" s="17" t="n">
        <f aca="false">C147*(1-B147)</f>
        <v>0.00260483076904137</v>
      </c>
      <c r="D148" s="23" t="n">
        <f aca="false">1-C148</f>
        <v>0.997395169230959</v>
      </c>
      <c r="E148" s="23" t="n">
        <f aca="false">Payor!D163</f>
        <v>0</v>
      </c>
      <c r="F148" s="16" t="n">
        <f aca="false">C148*Inputs!$B$8</f>
        <v>0.00726747784562542</v>
      </c>
      <c r="G148" s="16" t="n">
        <f aca="false">F148*Inputs!$B$19*E148</f>
        <v>0</v>
      </c>
      <c r="H148" s="16" t="n">
        <f aca="false">F148-G148</f>
        <v>0.00726747784562542</v>
      </c>
      <c r="J148" s="17" t="n">
        <f aca="false">J147+C148</f>
        <v>22.416987186543</v>
      </c>
    </row>
    <row r="149" customFormat="false" ht="15" hidden="false" customHeight="false" outlineLevel="0" collapsed="false">
      <c r="A149" s="0" t="n">
        <v>144</v>
      </c>
      <c r="B149" s="22" t="n">
        <f aca="false">IF(A149=0,Inputs!$B$10,IF(A149&lt;3,Inputs!$B$11,Inputs!$B$12))</f>
        <v>0.04</v>
      </c>
      <c r="C149" s="17" t="n">
        <f aca="false">C148*(1-B148)</f>
        <v>0.00250063753827971</v>
      </c>
      <c r="D149" s="23" t="n">
        <f aca="false">1-C149</f>
        <v>0.99749936246172</v>
      </c>
      <c r="E149" s="23" t="n">
        <f aca="false">Payor!D164</f>
        <v>0</v>
      </c>
      <c r="F149" s="16" t="n">
        <f aca="false">C149*Inputs!$B$8</f>
        <v>0.0069767787318004</v>
      </c>
      <c r="G149" s="16" t="n">
        <f aca="false">F149*Inputs!$B$19*E149</f>
        <v>0</v>
      </c>
      <c r="H149" s="16" t="n">
        <f aca="false">F149-G149</f>
        <v>0.0069767787318004</v>
      </c>
      <c r="J149" s="17" t="n">
        <f aca="false">J148+C149</f>
        <v>22.4194878240813</v>
      </c>
    </row>
    <row r="150" customFormat="false" ht="15" hidden="false" customHeight="false" outlineLevel="0" collapsed="false">
      <c r="A150" s="0" t="n">
        <v>145</v>
      </c>
      <c r="B150" s="22" t="n">
        <f aca="false">IF(A150=0,Inputs!$B$10,IF(A150&lt;3,Inputs!$B$11,Inputs!$B$12))</f>
        <v>0.04</v>
      </c>
      <c r="C150" s="17" t="n">
        <f aca="false">C149*(1-B149)</f>
        <v>0.00240061203674853</v>
      </c>
      <c r="D150" s="23" t="n">
        <f aca="false">1-C150</f>
        <v>0.997599387963251</v>
      </c>
      <c r="E150" s="23" t="n">
        <f aca="false">Payor!D165</f>
        <v>0</v>
      </c>
      <c r="F150" s="16" t="n">
        <f aca="false">C150*Inputs!$B$8</f>
        <v>0.00669770758252839</v>
      </c>
      <c r="G150" s="16" t="n">
        <f aca="false">F150*Inputs!$B$19*E150</f>
        <v>0</v>
      </c>
      <c r="H150" s="16" t="n">
        <f aca="false">F150-G150</f>
        <v>0.00669770758252839</v>
      </c>
      <c r="J150" s="17" t="n">
        <f aca="false">J149+C150</f>
        <v>22.421888436118</v>
      </c>
    </row>
    <row r="151" customFormat="false" ht="15" hidden="false" customHeight="false" outlineLevel="0" collapsed="false">
      <c r="A151" s="0" t="n">
        <v>146</v>
      </c>
      <c r="B151" s="22" t="n">
        <f aca="false">IF(A151=0,Inputs!$B$10,IF(A151&lt;3,Inputs!$B$11,Inputs!$B$12))</f>
        <v>0.04</v>
      </c>
      <c r="C151" s="17" t="n">
        <f aca="false">C150*(1-B150)</f>
        <v>0.00230458755527858</v>
      </c>
      <c r="D151" s="23" t="n">
        <f aca="false">1-C151</f>
        <v>0.997695412444721</v>
      </c>
      <c r="E151" s="23" t="n">
        <f aca="false">Payor!D166</f>
        <v>0</v>
      </c>
      <c r="F151" s="16" t="n">
        <f aca="false">C151*Inputs!$B$8</f>
        <v>0.00642979927922725</v>
      </c>
      <c r="G151" s="16" t="n">
        <f aca="false">F151*Inputs!$B$19*E151</f>
        <v>0</v>
      </c>
      <c r="H151" s="16" t="n">
        <f aca="false">F151-G151</f>
        <v>0.00642979927922725</v>
      </c>
      <c r="J151" s="17" t="n">
        <f aca="false">J150+C151</f>
        <v>22.4241930236733</v>
      </c>
    </row>
    <row r="152" customFormat="false" ht="15" hidden="false" customHeight="false" outlineLevel="0" collapsed="false">
      <c r="A152" s="0" t="n">
        <v>147</v>
      </c>
      <c r="B152" s="22" t="n">
        <f aca="false">IF(A152=0,Inputs!$B$10,IF(A152&lt;3,Inputs!$B$11,Inputs!$B$12))</f>
        <v>0.04</v>
      </c>
      <c r="C152" s="17" t="n">
        <f aca="false">C151*(1-B151)</f>
        <v>0.00221240405306744</v>
      </c>
      <c r="D152" s="23" t="n">
        <f aca="false">1-C152</f>
        <v>0.997787595946933</v>
      </c>
      <c r="E152" s="23" t="n">
        <f aca="false">Payor!D167</f>
        <v>0</v>
      </c>
      <c r="F152" s="16" t="n">
        <f aca="false">C152*Inputs!$B$8</f>
        <v>0.00617260730805816</v>
      </c>
      <c r="G152" s="16" t="n">
        <f aca="false">F152*Inputs!$B$19*E152</f>
        <v>0</v>
      </c>
      <c r="H152" s="16" t="n">
        <f aca="false">F152-G152</f>
        <v>0.00617260730805816</v>
      </c>
      <c r="J152" s="17" t="n">
        <f aca="false">J151+C152</f>
        <v>22.4264054277264</v>
      </c>
    </row>
    <row r="153" customFormat="false" ht="15" hidden="false" customHeight="false" outlineLevel="0" collapsed="false">
      <c r="A153" s="0" t="n">
        <v>148</v>
      </c>
      <c r="B153" s="22" t="n">
        <f aca="false">IF(A153=0,Inputs!$B$10,IF(A153&lt;3,Inputs!$B$11,Inputs!$B$12))</f>
        <v>0.04</v>
      </c>
      <c r="C153" s="17" t="n">
        <f aca="false">C152*(1-B152)</f>
        <v>0.00212390789094474</v>
      </c>
      <c r="D153" s="23" t="n">
        <f aca="false">1-C153</f>
        <v>0.997876092109055</v>
      </c>
      <c r="E153" s="23" t="n">
        <f aca="false">Payor!D168</f>
        <v>0</v>
      </c>
      <c r="F153" s="16" t="n">
        <f aca="false">C153*Inputs!$B$8</f>
        <v>0.00592570301573583</v>
      </c>
      <c r="G153" s="16" t="n">
        <f aca="false">F153*Inputs!$B$19*E153</f>
        <v>0</v>
      </c>
      <c r="H153" s="16" t="n">
        <f aca="false">F153-G153</f>
        <v>0.00592570301573583</v>
      </c>
      <c r="J153" s="17" t="n">
        <f aca="false">J152+C153</f>
        <v>22.4285293356173</v>
      </c>
    </row>
    <row r="154" customFormat="false" ht="15" hidden="false" customHeight="false" outlineLevel="0" collapsed="false">
      <c r="A154" s="0" t="n">
        <v>149</v>
      </c>
      <c r="B154" s="22" t="n">
        <f aca="false">IF(A154=0,Inputs!$B$10,IF(A154&lt;3,Inputs!$B$11,Inputs!$B$12))</f>
        <v>0.04</v>
      </c>
      <c r="C154" s="17" t="n">
        <f aca="false">C153*(1-B153)</f>
        <v>0.00203895157530695</v>
      </c>
      <c r="D154" s="23" t="n">
        <f aca="false">1-C154</f>
        <v>0.997961048424693</v>
      </c>
      <c r="E154" s="23" t="n">
        <f aca="false">Payor!D169</f>
        <v>0</v>
      </c>
      <c r="F154" s="16" t="n">
        <f aca="false">C154*Inputs!$B$8</f>
        <v>0.0056886748951064</v>
      </c>
      <c r="G154" s="16" t="n">
        <f aca="false">F154*Inputs!$B$19*E154</f>
        <v>0</v>
      </c>
      <c r="H154" s="16" t="n">
        <f aca="false">F154-G154</f>
        <v>0.0056886748951064</v>
      </c>
      <c r="J154" s="17" t="n">
        <f aca="false">J153+C154</f>
        <v>22.4305682871926</v>
      </c>
    </row>
    <row r="155" customFormat="false" ht="15" hidden="false" customHeight="false" outlineLevel="0" collapsed="false">
      <c r="A155" s="0" t="n">
        <v>150</v>
      </c>
      <c r="B155" s="22" t="n">
        <f aca="false">IF(A155=0,Inputs!$B$10,IF(A155&lt;3,Inputs!$B$11,Inputs!$B$12))</f>
        <v>0.04</v>
      </c>
      <c r="C155" s="17" t="n">
        <f aca="false">C154*(1-B154)</f>
        <v>0.00195739351229467</v>
      </c>
      <c r="D155" s="23" t="n">
        <f aca="false">1-C155</f>
        <v>0.998042606487705</v>
      </c>
      <c r="E155" s="23" t="n">
        <f aca="false">Payor!D170</f>
        <v>0</v>
      </c>
      <c r="F155" s="16" t="n">
        <f aca="false">C155*Inputs!$B$8</f>
        <v>0.00546112789930214</v>
      </c>
      <c r="G155" s="16" t="n">
        <f aca="false">F155*Inputs!$B$19*E155</f>
        <v>0</v>
      </c>
      <c r="H155" s="16" t="n">
        <f aca="false">F155-G155</f>
        <v>0.00546112789930214</v>
      </c>
      <c r="J155" s="17" t="n">
        <f aca="false">J154+C155</f>
        <v>22.4325256807049</v>
      </c>
    </row>
    <row r="156" customFormat="false" ht="15" hidden="false" customHeight="false" outlineLevel="0" collapsed="false">
      <c r="A156" s="0" t="n">
        <v>151</v>
      </c>
      <c r="B156" s="22" t="n">
        <f aca="false">IF(A156=0,Inputs!$B$10,IF(A156&lt;3,Inputs!$B$11,Inputs!$B$12))</f>
        <v>0.04</v>
      </c>
      <c r="C156" s="17" t="n">
        <f aca="false">C155*(1-B155)</f>
        <v>0.00187909777180289</v>
      </c>
      <c r="D156" s="23" t="n">
        <f aca="false">1-C156</f>
        <v>0.998120902228197</v>
      </c>
      <c r="E156" s="23" t="n">
        <f aca="false">Payor!D171</f>
        <v>0</v>
      </c>
      <c r="F156" s="16" t="n">
        <f aca="false">C156*Inputs!$B$8</f>
        <v>0.00524268278333006</v>
      </c>
      <c r="G156" s="16" t="n">
        <f aca="false">F156*Inputs!$B$19*E156</f>
        <v>0</v>
      </c>
      <c r="H156" s="16" t="n">
        <f aca="false">F156-G156</f>
        <v>0.00524268278333006</v>
      </c>
      <c r="J156" s="17" t="n">
        <f aca="false">J155+C156</f>
        <v>22.4344047784767</v>
      </c>
    </row>
    <row r="157" customFormat="false" ht="15" hidden="false" customHeight="false" outlineLevel="0" collapsed="false">
      <c r="A157" s="0" t="n">
        <v>152</v>
      </c>
      <c r="B157" s="22" t="n">
        <f aca="false">IF(A157=0,Inputs!$B$10,IF(A157&lt;3,Inputs!$B$11,Inputs!$B$12))</f>
        <v>0.04</v>
      </c>
      <c r="C157" s="17" t="n">
        <f aca="false">C156*(1-B156)</f>
        <v>0.00180393386093077</v>
      </c>
      <c r="D157" s="23" t="n">
        <f aca="false">1-C157</f>
        <v>0.998196066139069</v>
      </c>
      <c r="E157" s="23" t="n">
        <f aca="false">Payor!D172</f>
        <v>0</v>
      </c>
      <c r="F157" s="16" t="n">
        <f aca="false">C157*Inputs!$B$8</f>
        <v>0.00503297547199685</v>
      </c>
      <c r="G157" s="16" t="n">
        <f aca="false">F157*Inputs!$B$19*E157</f>
        <v>0</v>
      </c>
      <c r="H157" s="16" t="n">
        <f aca="false">F157-G157</f>
        <v>0.00503297547199685</v>
      </c>
      <c r="J157" s="17" t="n">
        <f aca="false">J156+C157</f>
        <v>22.4362087123376</v>
      </c>
    </row>
    <row r="158" customFormat="false" ht="15" hidden="false" customHeight="false" outlineLevel="0" collapsed="false">
      <c r="A158" s="0" t="n">
        <v>153</v>
      </c>
      <c r="B158" s="22" t="n">
        <f aca="false">IF(A158=0,Inputs!$B$10,IF(A158&lt;3,Inputs!$B$11,Inputs!$B$12))</f>
        <v>0.04</v>
      </c>
      <c r="C158" s="17" t="n">
        <f aca="false">C157*(1-B157)</f>
        <v>0.00173177650649354</v>
      </c>
      <c r="D158" s="23" t="n">
        <f aca="false">1-C158</f>
        <v>0.998268223493506</v>
      </c>
      <c r="E158" s="23" t="n">
        <f aca="false">Payor!D173</f>
        <v>0</v>
      </c>
      <c r="F158" s="16" t="n">
        <f aca="false">C158*Inputs!$B$8</f>
        <v>0.00483165645311698</v>
      </c>
      <c r="G158" s="16" t="n">
        <f aca="false">F158*Inputs!$B$19*E158</f>
        <v>0</v>
      </c>
      <c r="H158" s="16" t="n">
        <f aca="false">F158-G158</f>
        <v>0.00483165645311698</v>
      </c>
      <c r="J158" s="17" t="n">
        <f aca="false">J157+C158</f>
        <v>22.4379404888441</v>
      </c>
    </row>
    <row r="159" customFormat="false" ht="15" hidden="false" customHeight="false" outlineLevel="0" collapsed="false">
      <c r="A159" s="0" t="n">
        <v>154</v>
      </c>
      <c r="B159" s="22" t="n">
        <f aca="false">IF(A159=0,Inputs!$B$10,IF(A159&lt;3,Inputs!$B$11,Inputs!$B$12))</f>
        <v>0.04</v>
      </c>
      <c r="C159" s="17" t="n">
        <f aca="false">C158*(1-B158)</f>
        <v>0.0016625054462338</v>
      </c>
      <c r="D159" s="23" t="n">
        <f aca="false">1-C159</f>
        <v>0.998337494553766</v>
      </c>
      <c r="E159" s="23" t="n">
        <f aca="false">Payor!D174</f>
        <v>0</v>
      </c>
      <c r="F159" s="16" t="n">
        <f aca="false">C159*Inputs!$B$8</f>
        <v>0.0046383901949923</v>
      </c>
      <c r="G159" s="16" t="n">
        <f aca="false">F159*Inputs!$B$19*E159</f>
        <v>0</v>
      </c>
      <c r="H159" s="16" t="n">
        <f aca="false">F159-G159</f>
        <v>0.0046383901949923</v>
      </c>
      <c r="J159" s="17" t="n">
        <f aca="false">J158+C159</f>
        <v>22.4396029942904</v>
      </c>
    </row>
    <row r="160" customFormat="false" ht="15" hidden="false" customHeight="false" outlineLevel="0" collapsed="false">
      <c r="A160" s="0" t="n">
        <v>155</v>
      </c>
      <c r="B160" s="22" t="n">
        <f aca="false">IF(A160=0,Inputs!$B$10,IF(A160&lt;3,Inputs!$B$11,Inputs!$B$12))</f>
        <v>0.04</v>
      </c>
      <c r="C160" s="17" t="n">
        <f aca="false">C159*(1-B159)</f>
        <v>0.00159600522838445</v>
      </c>
      <c r="D160" s="23" t="n">
        <f aca="false">1-C160</f>
        <v>0.998403994771616</v>
      </c>
      <c r="E160" s="23" t="n">
        <f aca="false">Payor!D175</f>
        <v>0</v>
      </c>
      <c r="F160" s="16" t="n">
        <f aca="false">C160*Inputs!$B$8</f>
        <v>0.00445285458719261</v>
      </c>
      <c r="G160" s="16" t="n">
        <f aca="false">F160*Inputs!$B$19*E160</f>
        <v>0</v>
      </c>
      <c r="H160" s="16" t="n">
        <f aca="false">F160-G160</f>
        <v>0.00445285458719261</v>
      </c>
      <c r="J160" s="17" t="n">
        <f aca="false">J159+C160</f>
        <v>22.4411989995188</v>
      </c>
    </row>
    <row r="161" customFormat="false" ht="15" hidden="false" customHeight="false" outlineLevel="0" collapsed="false">
      <c r="A161" s="0" t="n">
        <v>156</v>
      </c>
      <c r="B161" s="22" t="n">
        <f aca="false">IF(A161=0,Inputs!$B$10,IF(A161&lt;3,Inputs!$B$11,Inputs!$B$12))</f>
        <v>0.04</v>
      </c>
      <c r="C161" s="17" t="n">
        <f aca="false">C160*(1-B160)</f>
        <v>0.00153216501924907</v>
      </c>
      <c r="D161" s="23" t="n">
        <f aca="false">1-C161</f>
        <v>0.998467834980751</v>
      </c>
      <c r="E161" s="23" t="n">
        <f aca="false">Payor!D176</f>
        <v>0</v>
      </c>
      <c r="F161" s="16" t="n">
        <f aca="false">C161*Inputs!$B$8</f>
        <v>0.0042747404037049</v>
      </c>
      <c r="G161" s="16" t="n">
        <f aca="false">F161*Inputs!$B$19*E161</f>
        <v>0</v>
      </c>
      <c r="H161" s="16" t="n">
        <f aca="false">F161-G161</f>
        <v>0.0042747404037049</v>
      </c>
      <c r="J161" s="17" t="n">
        <f aca="false">J160+C161</f>
        <v>22.442731164538</v>
      </c>
    </row>
    <row r="162" customFormat="false" ht="15" hidden="false" customHeight="false" outlineLevel="0" collapsed="false">
      <c r="A162" s="0" t="n">
        <v>157</v>
      </c>
      <c r="B162" s="22" t="n">
        <f aca="false">IF(A162=0,Inputs!$B$10,IF(A162&lt;3,Inputs!$B$11,Inputs!$B$12))</f>
        <v>0.04</v>
      </c>
      <c r="C162" s="17" t="n">
        <f aca="false">C161*(1-B161)</f>
        <v>0.00147087841847911</v>
      </c>
      <c r="D162" s="23" t="n">
        <f aca="false">1-C162</f>
        <v>0.998529121581521</v>
      </c>
      <c r="E162" s="23" t="n">
        <f aca="false">Payor!D177</f>
        <v>0</v>
      </c>
      <c r="F162" s="16" t="n">
        <f aca="false">C162*Inputs!$B$8</f>
        <v>0.00410375078755671</v>
      </c>
      <c r="G162" s="16" t="n">
        <f aca="false">F162*Inputs!$B$19*E162</f>
        <v>0</v>
      </c>
      <c r="H162" s="16" t="n">
        <f aca="false">F162-G162</f>
        <v>0.00410375078755671</v>
      </c>
      <c r="J162" s="17" t="n">
        <f aca="false">J161+C162</f>
        <v>22.4442020429565</v>
      </c>
    </row>
    <row r="163" customFormat="false" ht="15" hidden="false" customHeight="false" outlineLevel="0" collapsed="false">
      <c r="A163" s="0" t="n">
        <v>158</v>
      </c>
      <c r="B163" s="22" t="n">
        <f aca="false">IF(A163=0,Inputs!$B$10,IF(A163&lt;3,Inputs!$B$11,Inputs!$B$12))</f>
        <v>0.04</v>
      </c>
      <c r="C163" s="17" t="n">
        <f aca="false">C162*(1-B162)</f>
        <v>0.00141204328173994</v>
      </c>
      <c r="D163" s="23" t="n">
        <f aca="false">1-C163</f>
        <v>0.99858795671826</v>
      </c>
      <c r="E163" s="23" t="n">
        <f aca="false">Payor!D178</f>
        <v>0</v>
      </c>
      <c r="F163" s="16" t="n">
        <f aca="false">C163*Inputs!$B$8</f>
        <v>0.00393960075605444</v>
      </c>
      <c r="G163" s="16" t="n">
        <f aca="false">F163*Inputs!$B$19*E163</f>
        <v>0</v>
      </c>
      <c r="H163" s="16" t="n">
        <f aca="false">F163-G163</f>
        <v>0.00393960075605444</v>
      </c>
      <c r="J163" s="17" t="n">
        <f aca="false">J162+C163</f>
        <v>22.4456140862382</v>
      </c>
    </row>
    <row r="164" customFormat="false" ht="15" hidden="false" customHeight="false" outlineLevel="0" collapsed="false">
      <c r="A164" s="0" t="n">
        <v>159</v>
      </c>
      <c r="B164" s="22" t="n">
        <f aca="false">IF(A164=0,Inputs!$B$10,IF(A164&lt;3,Inputs!$B$11,Inputs!$B$12))</f>
        <v>0.04</v>
      </c>
      <c r="C164" s="17" t="n">
        <f aca="false">C163*(1-B163)</f>
        <v>0.00135556155047034</v>
      </c>
      <c r="D164" s="23" t="n">
        <f aca="false">1-C164</f>
        <v>0.99864443844953</v>
      </c>
      <c r="E164" s="23" t="n">
        <f aca="false">Payor!D179</f>
        <v>0</v>
      </c>
      <c r="F164" s="16" t="n">
        <f aca="false">C164*Inputs!$B$8</f>
        <v>0.00378201672581226</v>
      </c>
      <c r="G164" s="16" t="n">
        <f aca="false">F164*Inputs!$B$19*E164</f>
        <v>0</v>
      </c>
      <c r="H164" s="16" t="n">
        <f aca="false">F164-G164</f>
        <v>0.00378201672581226</v>
      </c>
      <c r="J164" s="17" t="n">
        <f aca="false">J163+C164</f>
        <v>22.4469696477887</v>
      </c>
    </row>
    <row r="165" customFormat="false" ht="15" hidden="false" customHeight="false" outlineLevel="0" collapsed="false">
      <c r="A165" s="0" t="n">
        <v>160</v>
      </c>
      <c r="B165" s="22" t="n">
        <f aca="false">IF(A165=0,Inputs!$B$10,IF(A165&lt;3,Inputs!$B$11,Inputs!$B$12))</f>
        <v>0.04</v>
      </c>
      <c r="C165" s="17" t="n">
        <f aca="false">C164*(1-B164)</f>
        <v>0.00130133908845153</v>
      </c>
      <c r="D165" s="23" t="n">
        <f aca="false">1-C165</f>
        <v>0.998698660911549</v>
      </c>
      <c r="E165" s="23" t="n">
        <f aca="false">Payor!D180</f>
        <v>0</v>
      </c>
      <c r="F165" s="16" t="n">
        <f aca="false">C165*Inputs!$B$8</f>
        <v>0.00363073605677977</v>
      </c>
      <c r="G165" s="16" t="n">
        <f aca="false">F165*Inputs!$B$19*E165</f>
        <v>0</v>
      </c>
      <c r="H165" s="16" t="n">
        <f aca="false">F165-G165</f>
        <v>0.00363073605677977</v>
      </c>
      <c r="J165" s="17" t="n">
        <f aca="false">J164+C165</f>
        <v>22.4482709868772</v>
      </c>
    </row>
    <row r="166" customFormat="false" ht="15" hidden="false" customHeight="false" outlineLevel="0" collapsed="false">
      <c r="A166" s="0" t="n">
        <v>161</v>
      </c>
      <c r="B166" s="22" t="n">
        <f aca="false">IF(A166=0,Inputs!$B$10,IF(A166&lt;3,Inputs!$B$11,Inputs!$B$12))</f>
        <v>0.04</v>
      </c>
      <c r="C166" s="17" t="n">
        <f aca="false">C165*(1-B165)</f>
        <v>0.00124928552491347</v>
      </c>
      <c r="D166" s="23" t="n">
        <f aca="false">1-C166</f>
        <v>0.998750714475087</v>
      </c>
      <c r="E166" s="23" t="n">
        <f aca="false">Payor!D181</f>
        <v>0</v>
      </c>
      <c r="F166" s="16" t="n">
        <f aca="false">C166*Inputs!$B$8</f>
        <v>0.00348550661450858</v>
      </c>
      <c r="G166" s="16" t="n">
        <f aca="false">F166*Inputs!$B$19*E166</f>
        <v>0</v>
      </c>
      <c r="H166" s="16" t="n">
        <f aca="false">F166-G166</f>
        <v>0.00348550661450858</v>
      </c>
      <c r="J166" s="17" t="n">
        <f aca="false">J165+C166</f>
        <v>22.4495202724021</v>
      </c>
    </row>
    <row r="167" customFormat="false" ht="15" hidden="false" customHeight="false" outlineLevel="0" collapsed="false">
      <c r="A167" s="0" t="n">
        <v>162</v>
      </c>
      <c r="B167" s="22" t="n">
        <f aca="false">IF(A167=0,Inputs!$B$10,IF(A167&lt;3,Inputs!$B$11,Inputs!$B$12))</f>
        <v>0.04</v>
      </c>
      <c r="C167" s="17" t="n">
        <f aca="false">C166*(1-B166)</f>
        <v>0.00119931410391693</v>
      </c>
      <c r="D167" s="23" t="n">
        <f aca="false">1-C167</f>
        <v>0.998800685896083</v>
      </c>
      <c r="E167" s="23" t="n">
        <f aca="false">Payor!D182</f>
        <v>0</v>
      </c>
      <c r="F167" s="16" t="n">
        <f aca="false">C167*Inputs!$B$8</f>
        <v>0.00334608634992824</v>
      </c>
      <c r="G167" s="16" t="n">
        <f aca="false">F167*Inputs!$B$19*E167</f>
        <v>0</v>
      </c>
      <c r="H167" s="16" t="n">
        <f aca="false">F167-G167</f>
        <v>0.00334608634992824</v>
      </c>
      <c r="J167" s="17" t="n">
        <f aca="false">J166+C167</f>
        <v>22.450719586506</v>
      </c>
    </row>
    <row r="168" customFormat="false" ht="15" hidden="false" customHeight="false" outlineLevel="0" collapsed="false">
      <c r="A168" s="0" t="n">
        <v>163</v>
      </c>
      <c r="B168" s="22" t="n">
        <f aca="false">IF(A168=0,Inputs!$B$10,IF(A168&lt;3,Inputs!$B$11,Inputs!$B$12))</f>
        <v>0.04</v>
      </c>
      <c r="C168" s="17" t="n">
        <f aca="false">C167*(1-B167)</f>
        <v>0.00115134153976025</v>
      </c>
      <c r="D168" s="23" t="n">
        <f aca="false">1-C168</f>
        <v>0.99884865846024</v>
      </c>
      <c r="E168" s="23" t="n">
        <f aca="false">Payor!D183</f>
        <v>0</v>
      </c>
      <c r="F168" s="16" t="n">
        <f aca="false">C168*Inputs!$B$8</f>
        <v>0.00321224289593111</v>
      </c>
      <c r="G168" s="16" t="n">
        <f aca="false">F168*Inputs!$B$19*E168</f>
        <v>0</v>
      </c>
      <c r="H168" s="16" t="n">
        <f aca="false">F168-G168</f>
        <v>0.00321224289593111</v>
      </c>
      <c r="J168" s="17" t="n">
        <f aca="false">J167+C168</f>
        <v>22.4518709280457</v>
      </c>
    </row>
    <row r="169" customFormat="false" ht="15" hidden="false" customHeight="false" outlineLevel="0" collapsed="false">
      <c r="A169" s="0" t="n">
        <v>164</v>
      </c>
      <c r="B169" s="22" t="n">
        <f aca="false">IF(A169=0,Inputs!$B$10,IF(A169&lt;3,Inputs!$B$11,Inputs!$B$12))</f>
        <v>0.04</v>
      </c>
      <c r="C169" s="17" t="n">
        <f aca="false">C168*(1-B168)</f>
        <v>0.00110528787816984</v>
      </c>
      <c r="D169" s="23" t="n">
        <f aca="false">1-C169</f>
        <v>0.99889471212183</v>
      </c>
      <c r="E169" s="23" t="n">
        <f aca="false">Payor!D184</f>
        <v>0</v>
      </c>
      <c r="F169" s="16" t="n">
        <f aca="false">C169*Inputs!$B$8</f>
        <v>0.00308375318009386</v>
      </c>
      <c r="G169" s="16" t="n">
        <f aca="false">F169*Inputs!$B$19*E169</f>
        <v>0</v>
      </c>
      <c r="H169" s="16" t="n">
        <f aca="false">F169-G169</f>
        <v>0.00308375318009386</v>
      </c>
      <c r="J169" s="17" t="n">
        <f aca="false">J168+C169</f>
        <v>22.4529762159239</v>
      </c>
    </row>
    <row r="170" customFormat="false" ht="15" hidden="false" customHeight="false" outlineLevel="0" collapsed="false">
      <c r="A170" s="0" t="n">
        <v>165</v>
      </c>
      <c r="B170" s="22" t="n">
        <f aca="false">IF(A170=0,Inputs!$B$10,IF(A170&lt;3,Inputs!$B$11,Inputs!$B$12))</f>
        <v>0.04</v>
      </c>
      <c r="C170" s="17" t="n">
        <f aca="false">C169*(1-B169)</f>
        <v>0.00106107636304305</v>
      </c>
      <c r="D170" s="23" t="n">
        <f aca="false">1-C170</f>
        <v>0.998938923636957</v>
      </c>
      <c r="E170" s="23" t="n">
        <f aca="false">Payor!D185</f>
        <v>0</v>
      </c>
      <c r="F170" s="16" t="n">
        <f aca="false">C170*Inputs!$B$8</f>
        <v>0.00296040305289011</v>
      </c>
      <c r="G170" s="16" t="n">
        <f aca="false">F170*Inputs!$B$19*E170</f>
        <v>0</v>
      </c>
      <c r="H170" s="16" t="n">
        <f aca="false">F170-G170</f>
        <v>0.00296040305289011</v>
      </c>
      <c r="J170" s="17" t="n">
        <f aca="false">J169+C170</f>
        <v>22.454037292287</v>
      </c>
    </row>
    <row r="171" customFormat="false" ht="15" hidden="false" customHeight="false" outlineLevel="0" collapsed="false">
      <c r="A171" s="0" t="n">
        <v>166</v>
      </c>
      <c r="B171" s="22" t="n">
        <f aca="false">IF(A171=0,Inputs!$B$10,IF(A171&lt;3,Inputs!$B$11,Inputs!$B$12))</f>
        <v>0.04</v>
      </c>
      <c r="C171" s="17" t="n">
        <f aca="false">C170*(1-B170)</f>
        <v>0.00101863330852133</v>
      </c>
      <c r="D171" s="23" t="n">
        <f aca="false">1-C171</f>
        <v>0.998981366691479</v>
      </c>
      <c r="E171" s="23" t="n">
        <f aca="false">Payor!D186</f>
        <v>0</v>
      </c>
      <c r="F171" s="16" t="n">
        <f aca="false">C171*Inputs!$B$8</f>
        <v>0.0028419869307745</v>
      </c>
      <c r="G171" s="16" t="n">
        <f aca="false">F171*Inputs!$B$19*E171</f>
        <v>0</v>
      </c>
      <c r="H171" s="16" t="n">
        <f aca="false">F171-G171</f>
        <v>0.0028419869307745</v>
      </c>
      <c r="J171" s="17" t="n">
        <f aca="false">J170+C171</f>
        <v>22.4550559255955</v>
      </c>
    </row>
    <row r="172" customFormat="false" ht="15" hidden="false" customHeight="false" outlineLevel="0" collapsed="false">
      <c r="A172" s="0" t="n">
        <v>167</v>
      </c>
      <c r="B172" s="22" t="n">
        <f aca="false">IF(A172=0,Inputs!$B$10,IF(A172&lt;3,Inputs!$B$11,Inputs!$B$12))</f>
        <v>0.04</v>
      </c>
      <c r="C172" s="17" t="n">
        <f aca="false">C171*(1-B171)</f>
        <v>0.000977887976180474</v>
      </c>
      <c r="D172" s="23" t="n">
        <f aca="false">1-C172</f>
        <v>0.99902211202382</v>
      </c>
      <c r="E172" s="23" t="n">
        <f aca="false">Payor!D187</f>
        <v>0</v>
      </c>
      <c r="F172" s="16" t="n">
        <f aca="false">C172*Inputs!$B$8</f>
        <v>0.00272830745354352</v>
      </c>
      <c r="G172" s="16" t="n">
        <f aca="false">F172*Inputs!$B$19*E172</f>
        <v>0</v>
      </c>
      <c r="H172" s="16" t="n">
        <f aca="false">F172-G172</f>
        <v>0.00272830745354352</v>
      </c>
      <c r="J172" s="17" t="n">
        <f aca="false">J171+C172</f>
        <v>22.4560338135717</v>
      </c>
    </row>
    <row r="173" customFormat="false" ht="15" hidden="false" customHeight="false" outlineLevel="0" collapsed="false">
      <c r="A173" s="0" t="n">
        <v>168</v>
      </c>
      <c r="B173" s="22" t="n">
        <f aca="false">IF(A173=0,Inputs!$B$10,IF(A173&lt;3,Inputs!$B$11,Inputs!$B$12))</f>
        <v>0.04</v>
      </c>
      <c r="C173" s="17" t="n">
        <f aca="false">C172*(1-B172)</f>
        <v>0.000938772457133255</v>
      </c>
      <c r="D173" s="23" t="n">
        <f aca="false">1-C173</f>
        <v>0.999061227542867</v>
      </c>
      <c r="E173" s="23" t="n">
        <f aca="false">Payor!D188</f>
        <v>0</v>
      </c>
      <c r="F173" s="16" t="n">
        <f aca="false">C173*Inputs!$B$8</f>
        <v>0.00261917515540178</v>
      </c>
      <c r="G173" s="16" t="n">
        <f aca="false">F173*Inputs!$B$19*E173</f>
        <v>0</v>
      </c>
      <c r="H173" s="16" t="n">
        <f aca="false">F173-G173</f>
        <v>0.00261917515540178</v>
      </c>
      <c r="J173" s="17" t="n">
        <f aca="false">J172+C173</f>
        <v>22.4569725860288</v>
      </c>
    </row>
    <row r="174" customFormat="false" ht="15" hidden="false" customHeight="false" outlineLevel="0" collapsed="false">
      <c r="A174" s="0" t="n">
        <v>169</v>
      </c>
      <c r="B174" s="22" t="n">
        <f aca="false">IF(A174=0,Inputs!$B$10,IF(A174&lt;3,Inputs!$B$11,Inputs!$B$12))</f>
        <v>0.04</v>
      </c>
      <c r="C174" s="17" t="n">
        <f aca="false">C173*(1-B173)</f>
        <v>0.000901221558847925</v>
      </c>
      <c r="D174" s="23" t="n">
        <f aca="false">1-C174</f>
        <v>0.999098778441152</v>
      </c>
      <c r="E174" s="23" t="n">
        <f aca="false">Payor!D189</f>
        <v>0</v>
      </c>
      <c r="F174" s="16" t="n">
        <f aca="false">C174*Inputs!$B$8</f>
        <v>0.00251440814918571</v>
      </c>
      <c r="G174" s="16" t="n">
        <f aca="false">F174*Inputs!$B$19*E174</f>
        <v>0</v>
      </c>
      <c r="H174" s="16" t="n">
        <f aca="false">F174-G174</f>
        <v>0.00251440814918571</v>
      </c>
      <c r="J174" s="17" t="n">
        <f aca="false">J173+C174</f>
        <v>22.4578738075876</v>
      </c>
    </row>
    <row r="175" customFormat="false" ht="15" hidden="false" customHeight="false" outlineLevel="0" collapsed="false">
      <c r="A175" s="0" t="n">
        <v>170</v>
      </c>
      <c r="B175" s="22" t="n">
        <f aca="false">IF(A175=0,Inputs!$B$10,IF(A175&lt;3,Inputs!$B$11,Inputs!$B$12))</f>
        <v>0.04</v>
      </c>
      <c r="C175" s="17" t="n">
        <f aca="false">C174*(1-B174)</f>
        <v>0.000865172696494008</v>
      </c>
      <c r="D175" s="23" t="n">
        <f aca="false">1-C175</f>
        <v>0.999134827303506</v>
      </c>
      <c r="E175" s="23" t="n">
        <f aca="false">Payor!D190</f>
        <v>0</v>
      </c>
      <c r="F175" s="16" t="n">
        <f aca="false">C175*Inputs!$B$8</f>
        <v>0.00241383182321828</v>
      </c>
      <c r="G175" s="16" t="n">
        <f aca="false">F175*Inputs!$B$19*E175</f>
        <v>0</v>
      </c>
      <c r="H175" s="16" t="n">
        <f aca="false">F175-G175</f>
        <v>0.00241383182321828</v>
      </c>
      <c r="J175" s="17" t="n">
        <f aca="false">J174+C175</f>
        <v>22.4587389802841</v>
      </c>
    </row>
    <row r="176" customFormat="false" ht="15" hidden="false" customHeight="false" outlineLevel="0" collapsed="false">
      <c r="A176" s="0" t="n">
        <v>171</v>
      </c>
      <c r="B176" s="22" t="n">
        <f aca="false">IF(A176=0,Inputs!$B$10,IF(A176&lt;3,Inputs!$B$11,Inputs!$B$12))</f>
        <v>0.04</v>
      </c>
      <c r="C176" s="17" t="n">
        <f aca="false">C175*(1-B175)</f>
        <v>0.000830565788634247</v>
      </c>
      <c r="D176" s="23" t="n">
        <f aca="false">1-C176</f>
        <v>0.999169434211366</v>
      </c>
      <c r="E176" s="23" t="n">
        <f aca="false">Payor!D191</f>
        <v>0</v>
      </c>
      <c r="F176" s="16" t="n">
        <f aca="false">C176*Inputs!$B$8</f>
        <v>0.00231727855028955</v>
      </c>
      <c r="G176" s="16" t="n">
        <f aca="false">F176*Inputs!$B$19*E176</f>
        <v>0</v>
      </c>
      <c r="H176" s="16" t="n">
        <f aca="false">F176-G176</f>
        <v>0.00231727855028955</v>
      </c>
      <c r="J176" s="17" t="n">
        <f aca="false">J175+C176</f>
        <v>22.4595695460728</v>
      </c>
    </row>
    <row r="177" customFormat="false" ht="15" hidden="false" customHeight="false" outlineLevel="0" collapsed="false">
      <c r="A177" s="0" t="n">
        <v>172</v>
      </c>
      <c r="B177" s="22" t="n">
        <f aca="false">IF(A177=0,Inputs!$B$10,IF(A177&lt;3,Inputs!$B$11,Inputs!$B$12))</f>
        <v>0.04</v>
      </c>
      <c r="C177" s="17" t="n">
        <f aca="false">C176*(1-B176)</f>
        <v>0.000797343157088877</v>
      </c>
      <c r="D177" s="23" t="n">
        <f aca="false">1-C177</f>
        <v>0.999202656842911</v>
      </c>
      <c r="E177" s="23" t="n">
        <f aca="false">Payor!D192</f>
        <v>0</v>
      </c>
      <c r="F177" s="16" t="n">
        <f aca="false">C177*Inputs!$B$8</f>
        <v>0.00222458740827797</v>
      </c>
      <c r="G177" s="16" t="n">
        <f aca="false">F177*Inputs!$B$19*E177</f>
        <v>0</v>
      </c>
      <c r="H177" s="16" t="n">
        <f aca="false">F177-G177</f>
        <v>0.00222458740827797</v>
      </c>
      <c r="J177" s="17" t="n">
        <f aca="false">J176+C177</f>
        <v>22.4603668892299</v>
      </c>
    </row>
    <row r="178" customFormat="false" ht="15" hidden="false" customHeight="false" outlineLevel="0" collapsed="false">
      <c r="A178" s="0" t="n">
        <v>173</v>
      </c>
      <c r="B178" s="22" t="n">
        <f aca="false">IF(A178=0,Inputs!$B$10,IF(A178&lt;3,Inputs!$B$11,Inputs!$B$12))</f>
        <v>0.04</v>
      </c>
      <c r="C178" s="17" t="n">
        <f aca="false">C177*(1-B177)</f>
        <v>0.000765449430805322</v>
      </c>
      <c r="D178" s="23" t="n">
        <f aca="false">1-C178</f>
        <v>0.999234550569195</v>
      </c>
      <c r="E178" s="23" t="n">
        <f aca="false">Payor!D193</f>
        <v>0</v>
      </c>
      <c r="F178" s="16" t="n">
        <f aca="false">C178*Inputs!$B$8</f>
        <v>0.00213560391194685</v>
      </c>
      <c r="G178" s="16" t="n">
        <f aca="false">F178*Inputs!$B$19*E178</f>
        <v>0</v>
      </c>
      <c r="H178" s="16" t="n">
        <f aca="false">F178-G178</f>
        <v>0.00213560391194685</v>
      </c>
      <c r="J178" s="17" t="n">
        <f aca="false">J177+C178</f>
        <v>22.4611323386607</v>
      </c>
    </row>
    <row r="179" customFormat="false" ht="15" hidden="false" customHeight="false" outlineLevel="0" collapsed="false">
      <c r="A179" s="0" t="n">
        <v>174</v>
      </c>
      <c r="B179" s="22" t="n">
        <f aca="false">IF(A179=0,Inputs!$B$10,IF(A179&lt;3,Inputs!$B$11,Inputs!$B$12))</f>
        <v>0.04</v>
      </c>
      <c r="C179" s="17" t="n">
        <f aca="false">C178*(1-B178)</f>
        <v>0.000734831453573109</v>
      </c>
      <c r="D179" s="23" t="n">
        <f aca="false">1-C179</f>
        <v>0.999265168546427</v>
      </c>
      <c r="E179" s="23" t="n">
        <f aca="false">Payor!D194</f>
        <v>0</v>
      </c>
      <c r="F179" s="16" t="n">
        <f aca="false">C179*Inputs!$B$8</f>
        <v>0.00205017975546898</v>
      </c>
      <c r="G179" s="16" t="n">
        <f aca="false">F179*Inputs!$B$19*E179</f>
        <v>0</v>
      </c>
      <c r="H179" s="16" t="n">
        <f aca="false">F179-G179</f>
        <v>0.00205017975546898</v>
      </c>
      <c r="J179" s="17" t="n">
        <f aca="false">J178+C179</f>
        <v>22.4618671701142</v>
      </c>
    </row>
    <row r="180" customFormat="false" ht="15" hidden="false" customHeight="false" outlineLevel="0" collapsed="false">
      <c r="A180" s="0" t="n">
        <v>175</v>
      </c>
      <c r="B180" s="22" t="n">
        <f aca="false">IF(A180=0,Inputs!$B$10,IF(A180&lt;3,Inputs!$B$11,Inputs!$B$12))</f>
        <v>0.04</v>
      </c>
      <c r="C180" s="17" t="n">
        <f aca="false">C179*(1-B179)</f>
        <v>0.000705438195430185</v>
      </c>
      <c r="D180" s="23" t="n">
        <f aca="false">1-C180</f>
        <v>0.99929456180457</v>
      </c>
      <c r="E180" s="23" t="n">
        <f aca="false">Payor!D195</f>
        <v>0</v>
      </c>
      <c r="F180" s="16" t="n">
        <f aca="false">C180*Inputs!$B$8</f>
        <v>0.00196817256525022</v>
      </c>
      <c r="G180" s="16" t="n">
        <f aca="false">F180*Inputs!$B$19*E180</f>
        <v>0</v>
      </c>
      <c r="H180" s="16" t="n">
        <f aca="false">F180-G180</f>
        <v>0.00196817256525022</v>
      </c>
      <c r="J180" s="17" t="n">
        <f aca="false">J179+C180</f>
        <v>22.4625726083097</v>
      </c>
    </row>
    <row r="181" customFormat="false" ht="15" hidden="false" customHeight="false" outlineLevel="0" collapsed="false">
      <c r="A181" s="0" t="n">
        <v>176</v>
      </c>
      <c r="B181" s="22" t="n">
        <f aca="false">IF(A181=0,Inputs!$B$10,IF(A181&lt;3,Inputs!$B$11,Inputs!$B$12))</f>
        <v>0.04</v>
      </c>
      <c r="C181" s="17" t="n">
        <f aca="false">C180*(1-B180)</f>
        <v>0.000677220667612978</v>
      </c>
      <c r="D181" s="23" t="n">
        <f aca="false">1-C181</f>
        <v>0.999322779332387</v>
      </c>
      <c r="E181" s="23" t="n">
        <f aca="false">Payor!D196</f>
        <v>0</v>
      </c>
      <c r="F181" s="16" t="n">
        <f aca="false">C181*Inputs!$B$8</f>
        <v>0.00188944566264021</v>
      </c>
      <c r="G181" s="16" t="n">
        <f aca="false">F181*Inputs!$B$19*E181</f>
        <v>0</v>
      </c>
      <c r="H181" s="16" t="n">
        <f aca="false">F181-G181</f>
        <v>0.00188944566264021</v>
      </c>
      <c r="J181" s="17" t="n">
        <f aca="false">J180+C181</f>
        <v>22.4632498289773</v>
      </c>
    </row>
    <row r="182" customFormat="false" ht="15" hidden="false" customHeight="false" outlineLevel="0" collapsed="false">
      <c r="A182" s="0" t="n">
        <v>177</v>
      </c>
      <c r="B182" s="22" t="n">
        <f aca="false">IF(A182=0,Inputs!$B$10,IF(A182&lt;3,Inputs!$B$11,Inputs!$B$12))</f>
        <v>0.04</v>
      </c>
      <c r="C182" s="17" t="n">
        <f aca="false">C181*(1-B181)</f>
        <v>0.000650131840908458</v>
      </c>
      <c r="D182" s="23" t="n">
        <f aca="false">1-C182</f>
        <v>0.999349868159092</v>
      </c>
      <c r="E182" s="23" t="n">
        <f aca="false">Payor!D197</f>
        <v>0</v>
      </c>
      <c r="F182" s="16" t="n">
        <f aca="false">C182*Inputs!$B$8</f>
        <v>0.0018138678361346</v>
      </c>
      <c r="G182" s="16" t="n">
        <f aca="false">F182*Inputs!$B$19*E182</f>
        <v>0</v>
      </c>
      <c r="H182" s="16" t="n">
        <f aca="false">F182-G182</f>
        <v>0.0018138678361346</v>
      </c>
      <c r="J182" s="17" t="n">
        <f aca="false">J181+C182</f>
        <v>22.4638999608182</v>
      </c>
    </row>
    <row r="183" customFormat="false" ht="15" hidden="false" customHeight="false" outlineLevel="0" collapsed="false">
      <c r="A183" s="0" t="n">
        <v>178</v>
      </c>
      <c r="B183" s="22" t="n">
        <f aca="false">IF(A183=0,Inputs!$B$10,IF(A183&lt;3,Inputs!$B$11,Inputs!$B$12))</f>
        <v>0.04</v>
      </c>
      <c r="C183" s="17" t="n">
        <f aca="false">C182*(1-B182)</f>
        <v>0.00062412656727212</v>
      </c>
      <c r="D183" s="23" t="n">
        <f aca="false">1-C183</f>
        <v>0.999375873432728</v>
      </c>
      <c r="E183" s="23" t="n">
        <f aca="false">Payor!D198</f>
        <v>0</v>
      </c>
      <c r="F183" s="16" t="n">
        <f aca="false">C183*Inputs!$B$8</f>
        <v>0.00174131312268921</v>
      </c>
      <c r="G183" s="16" t="n">
        <f aca="false">F183*Inputs!$B$19*E183</f>
        <v>0</v>
      </c>
      <c r="H183" s="16" t="n">
        <f aca="false">F183-G183</f>
        <v>0.00174131312268921</v>
      </c>
      <c r="J183" s="17" t="n">
        <f aca="false">J182+C183</f>
        <v>22.4645240873855</v>
      </c>
    </row>
    <row r="184" customFormat="false" ht="15" hidden="false" customHeight="false" outlineLevel="0" collapsed="false">
      <c r="A184" s="0" t="n">
        <v>179</v>
      </c>
      <c r="B184" s="22" t="n">
        <f aca="false">IF(A184=0,Inputs!$B$10,IF(A184&lt;3,Inputs!$B$11,Inputs!$B$12))</f>
        <v>0.04</v>
      </c>
      <c r="C184" s="17" t="n">
        <f aca="false">C183*(1-B183)</f>
        <v>0.000599161504581235</v>
      </c>
      <c r="D184" s="23" t="n">
        <f aca="false">1-C184</f>
        <v>0.999400838495419</v>
      </c>
      <c r="E184" s="23" t="n">
        <f aca="false">Payor!D199</f>
        <v>0</v>
      </c>
      <c r="F184" s="16" t="n">
        <f aca="false">C184*Inputs!$B$8</f>
        <v>0.00167166059778165</v>
      </c>
      <c r="G184" s="16" t="n">
        <f aca="false">F184*Inputs!$B$19*E184</f>
        <v>0</v>
      </c>
      <c r="H184" s="16" t="n">
        <f aca="false">F184-G184</f>
        <v>0.00167166059778165</v>
      </c>
      <c r="J184" s="17" t="n">
        <f aca="false">J183+C184</f>
        <v>22.46512324889</v>
      </c>
    </row>
    <row r="185" customFormat="false" ht="15" hidden="false" customHeight="false" outlineLevel="0" collapsed="false">
      <c r="A185" s="0" t="n">
        <v>180</v>
      </c>
      <c r="B185" s="22" t="n">
        <f aca="false">IF(A185=0,Inputs!$B$10,IF(A185&lt;3,Inputs!$B$11,Inputs!$B$12))</f>
        <v>0.04</v>
      </c>
      <c r="C185" s="17" t="n">
        <f aca="false">C184*(1-B184)</f>
        <v>0.000575195044397986</v>
      </c>
      <c r="D185" s="23" t="n">
        <f aca="false">1-C185</f>
        <v>0.999424804955602</v>
      </c>
      <c r="E185" s="23" t="n">
        <f aca="false">Payor!D200</f>
        <v>0</v>
      </c>
      <c r="F185" s="16" t="n">
        <f aca="false">C185*Inputs!$B$8</f>
        <v>0.00160479417387038</v>
      </c>
      <c r="G185" s="16" t="n">
        <f aca="false">F185*Inputs!$B$19*E185</f>
        <v>0</v>
      </c>
      <c r="H185" s="16" t="n">
        <f aca="false">F185-G185</f>
        <v>0.00160479417387038</v>
      </c>
      <c r="J185" s="17" t="n">
        <f aca="false">J184+C185</f>
        <v>22.4656984439344</v>
      </c>
    </row>
    <row r="187" customFormat="false" ht="15" hidden="false" customHeight="false" outlineLevel="0" collapsed="false">
      <c r="A187" s="3" t="s">
        <v>142</v>
      </c>
    </row>
    <row r="188" customFormat="false" ht="15" hidden="false" customHeight="false" outlineLevel="0" collapsed="false">
      <c r="A188" s="0" t="s">
        <v>143</v>
      </c>
      <c r="B188" s="24" t="n">
        <f aca="false">SUM(C5:C185)</f>
        <v>22.4656984439344</v>
      </c>
    </row>
    <row r="189" customFormat="false" ht="15" hidden="false" customHeight="false" outlineLevel="0" collapsed="false">
      <c r="A189" s="0" t="s">
        <v>144</v>
      </c>
      <c r="B189" s="24" t="n">
        <f aca="false">MIN(Inputs!$B$7,SUM(F5:F185))</f>
        <v>62.6792986585771</v>
      </c>
    </row>
    <row r="190" customFormat="false" ht="15" hidden="false" customHeight="false" outlineLevel="0" collapsed="false">
      <c r="A190" s="0" t="s">
        <v>145</v>
      </c>
      <c r="B190" s="23" t="n">
        <f aca="false">B189/Inputs!$B$7</f>
        <v>0.895418552265387</v>
      </c>
    </row>
    <row r="191" customFormat="false" ht="15" hidden="false" customHeight="false" outlineLevel="0" collapsed="false">
      <c r="A191" s="0" t="s">
        <v>139</v>
      </c>
      <c r="B191" s="24" t="n">
        <f aca="false">SUM(G5:G185)</f>
        <v>22.8346056068298</v>
      </c>
    </row>
    <row r="192" customFormat="false" ht="15" hidden="false" customHeight="false" outlineLevel="0" collapsed="false">
      <c r="A192" s="0" t="s">
        <v>146</v>
      </c>
      <c r="B192" s="24" t="n">
        <f aca="false">B189-B191</f>
        <v>39.8446930517473</v>
      </c>
    </row>
    <row r="193" customFormat="false" ht="15" hidden="false" customHeight="false" outlineLevel="0" collapsed="false">
      <c r="A193" s="0" t="s">
        <v>147</v>
      </c>
      <c r="B193" s="23" t="n">
        <f aca="false">B191/B189</f>
        <v>0.364308569105298</v>
      </c>
    </row>
    <row r="194" customFormat="false" ht="15" hidden="false" customHeight="false" outlineLevel="0" collapsed="false">
      <c r="A194" s="0" t="s">
        <v>41</v>
      </c>
      <c r="B194" s="23" t="n">
        <f aca="false">Inputs!$B$19</f>
        <v>0.55</v>
      </c>
    </row>
    <row r="195" customFormat="false" ht="15" hidden="false" customHeight="false" outlineLevel="0" collapsed="false">
      <c r="A195" s="0" t="s">
        <v>148</v>
      </c>
      <c r="B195" s="23" t="n">
        <f aca="false">B194-B193</f>
        <v>0.185691430894702</v>
      </c>
    </row>
    <row r="196" customFormat="false" ht="15" hidden="false" customHeight="false" outlineLevel="0" collapsed="false">
      <c r="A196" s="0" t="s">
        <v>149</v>
      </c>
      <c r="B196" s="23" t="n">
        <f aca="false">12/B188</f>
        <v>0.534147648689725</v>
      </c>
    </row>
    <row r="198" customFormat="false" ht="15" hidden="false" customHeight="false" outlineLevel="0" collapsed="false">
      <c r="A198" s="2" t="s">
        <v>150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
    <col collapsed="false" customWidth="true" hidden="false" outlineLevel="0" max="3" min="2" style="0" width="16"/>
    <col collapsed="false" customWidth="true" hidden="false" outlineLevel="0" max="4" min="4" style="0" width="20"/>
    <col collapsed="false" customWidth="true" hidden="false" outlineLevel="0" max="5" min="5" style="0" width="18"/>
    <col collapsed="false" customWidth="true" hidden="false" outlineLevel="0" max="8" min="6" style="0" width="16"/>
  </cols>
  <sheetData>
    <row r="1" customFormat="false" ht="16.15" hidden="false" customHeight="false" outlineLevel="0" collapsed="false">
      <c r="A1" s="6" t="s">
        <v>151</v>
      </c>
    </row>
    <row r="2" customFormat="false" ht="147.75" hidden="false" customHeight="false" outlineLevel="0" collapsed="false">
      <c r="A2" s="7" t="s">
        <v>152</v>
      </c>
    </row>
    <row r="4" customFormat="false" ht="15" hidden="false" customHeight="false" outlineLevel="0" collapsed="false">
      <c r="A4" s="3" t="s">
        <v>153</v>
      </c>
      <c r="B4" s="25" t="n">
        <f aca="false">(Inputs!$B$15-Inputs!$B$21)*Inputs!$B$76</f>
        <v>5574.41071428571</v>
      </c>
    </row>
    <row r="6" customFormat="false" ht="28.35" hidden="false" customHeight="false" outlineLevel="0" collapsed="false">
      <c r="A6" s="8" t="s">
        <v>154</v>
      </c>
      <c r="B6" s="8" t="s">
        <v>155</v>
      </c>
      <c r="C6" s="8" t="s">
        <v>156</v>
      </c>
    </row>
    <row r="7" customFormat="false" ht="15" hidden="false" customHeight="false" outlineLevel="0" collapsed="false">
      <c r="A7" s="0" t="n">
        <v>1</v>
      </c>
      <c r="B7" s="12" t="n">
        <v>48000</v>
      </c>
      <c r="C7" s="24" t="n">
        <f aca="false">IF(B7&lt;=Inputs!$B$20,0,(B7-Inputs!$B$20)/$B$4)</f>
        <v>4.43993119067679</v>
      </c>
    </row>
    <row r="8" customFormat="false" ht="15" hidden="false" customHeight="false" outlineLevel="0" collapsed="false">
      <c r="A8" s="0" t="n">
        <v>2</v>
      </c>
      <c r="B8" s="12" t="n">
        <v>76000</v>
      </c>
      <c r="C8" s="24" t="n">
        <f aca="false">IF(B8&lt;=Inputs!$B$20,0,(B8-Inputs!$B$20)/$B$4)</f>
        <v>9.46288364881618</v>
      </c>
    </row>
    <row r="9" customFormat="false" ht="15" hidden="false" customHeight="false" outlineLevel="0" collapsed="false">
      <c r="A9" s="0" t="n">
        <v>3</v>
      </c>
      <c r="B9" s="12" t="n">
        <v>105000</v>
      </c>
      <c r="C9" s="24" t="n">
        <f aca="false">IF(B9&lt;=Inputs!$B$20,0,(B9-Inputs!$B$20)/$B$4)</f>
        <v>14.6652272661748</v>
      </c>
    </row>
    <row r="10" customFormat="false" ht="15" hidden="false" customHeight="false" outlineLevel="0" collapsed="false">
      <c r="A10" s="0" t="n">
        <v>4</v>
      </c>
      <c r="B10" s="12" t="n">
        <v>138000</v>
      </c>
      <c r="C10" s="24" t="n">
        <f aca="false">IF(B10&lt;=Inputs!$B$20,0,(B10-Inputs!$B$20)/$B$4)</f>
        <v>20.5851355204106</v>
      </c>
    </row>
    <row r="11" customFormat="false" ht="15" hidden="false" customHeight="false" outlineLevel="0" collapsed="false">
      <c r="A11" s="0" t="n">
        <v>5</v>
      </c>
      <c r="B11" s="12" t="n">
        <v>172000</v>
      </c>
      <c r="C11" s="24" t="n">
        <f aca="false">IF(B11&lt;=Inputs!$B$20,0,(B11-Inputs!$B$20)/$B$4)</f>
        <v>26.6844349338655</v>
      </c>
    </row>
    <row r="12" customFormat="false" ht="15" hidden="false" customHeight="false" outlineLevel="0" collapsed="false">
      <c r="A12" s="0" t="n">
        <v>6</v>
      </c>
      <c r="B12" s="12" t="n">
        <v>210000</v>
      </c>
      <c r="C12" s="24" t="n">
        <f aca="false">IF(B12&lt;=Inputs!$B$20,0,(B12-Inputs!$B$20)/$B$4)</f>
        <v>33.5012989841976</v>
      </c>
    </row>
    <row r="13" customFormat="false" ht="15" hidden="false" customHeight="false" outlineLevel="0" collapsed="false">
      <c r="A13" s="0" t="n">
        <v>7</v>
      </c>
      <c r="B13" s="12" t="n">
        <v>255000</v>
      </c>
      <c r="C13" s="24" t="n">
        <f aca="false">IF(B13&lt;=Inputs!$B$20,0,(B13-Inputs!$B$20)/$B$4)</f>
        <v>41.5739011490645</v>
      </c>
    </row>
    <row r="14" customFormat="false" ht="15" hidden="false" customHeight="false" outlineLevel="0" collapsed="false">
      <c r="A14" s="0" t="n">
        <v>8</v>
      </c>
      <c r="B14" s="12" t="n">
        <v>312000</v>
      </c>
      <c r="C14" s="24" t="n">
        <f aca="false">IF(B14&lt;=Inputs!$B$20,0,(B14-Inputs!$B$20)/$B$4)</f>
        <v>51.7991972245625</v>
      </c>
    </row>
    <row r="15" customFormat="false" ht="15" hidden="false" customHeight="false" outlineLevel="0" collapsed="false">
      <c r="A15" s="0" t="n">
        <v>9</v>
      </c>
      <c r="B15" s="12" t="n">
        <v>400000</v>
      </c>
      <c r="C15" s="24" t="n">
        <f aca="false">IF(B15&lt;=Inputs!$B$20,0,(B15-Inputs!$B$20)/$B$4)</f>
        <v>67.5856192358577</v>
      </c>
    </row>
    <row r="16" customFormat="false" ht="15" hidden="false" customHeight="false" outlineLevel="0" collapsed="false">
      <c r="A16" s="0" t="n">
        <v>10</v>
      </c>
      <c r="B16" s="12" t="n">
        <v>620000</v>
      </c>
      <c r="C16" s="24" t="n">
        <f aca="false">IF(B16&lt;=Inputs!$B$20,0,(B16-Inputs!$B$20)/$B$4)</f>
        <v>107.051674264096</v>
      </c>
    </row>
    <row r="18" customFormat="false" ht="15" hidden="false" customHeight="false" outlineLevel="0" collapsed="false">
      <c r="A18" s="3" t="s">
        <v>157</v>
      </c>
    </row>
    <row r="19" customFormat="false" ht="28.35" hidden="false" customHeight="false" outlineLevel="0" collapsed="false">
      <c r="A19" s="8" t="s">
        <v>133</v>
      </c>
      <c r="B19" s="8"/>
      <c r="C19" s="8"/>
      <c r="D19" s="8" t="s">
        <v>158</v>
      </c>
    </row>
    <row r="20" customFormat="false" ht="15" hidden="false" customHeight="false" outlineLevel="0" collapsed="false">
      <c r="A20" s="0" t="n">
        <v>0</v>
      </c>
      <c r="D20" s="23" t="n">
        <f aca="false">COUNTIF($C$7:$C$16,"&gt;"&amp;A20)/10</f>
        <v>1</v>
      </c>
    </row>
    <row r="21" customFormat="false" ht="15" hidden="false" customHeight="false" outlineLevel="0" collapsed="false">
      <c r="A21" s="0" t="n">
        <v>1</v>
      </c>
      <c r="D21" s="23" t="n">
        <f aca="false">COUNTIF($C$7:$C$16,"&gt;"&amp;A21)/10</f>
        <v>1</v>
      </c>
    </row>
    <row r="22" customFormat="false" ht="15" hidden="false" customHeight="false" outlineLevel="0" collapsed="false">
      <c r="A22" s="0" t="n">
        <v>2</v>
      </c>
      <c r="D22" s="23" t="n">
        <f aca="false">COUNTIF($C$7:$C$16,"&gt;"&amp;A22)/10</f>
        <v>1</v>
      </c>
    </row>
    <row r="23" customFormat="false" ht="15" hidden="false" customHeight="false" outlineLevel="0" collapsed="false">
      <c r="A23" s="0" t="n">
        <v>3</v>
      </c>
      <c r="D23" s="23" t="n">
        <f aca="false">COUNTIF($C$7:$C$16,"&gt;"&amp;A23)/10</f>
        <v>1</v>
      </c>
    </row>
    <row r="24" customFormat="false" ht="15" hidden="false" customHeight="false" outlineLevel="0" collapsed="false">
      <c r="A24" s="0" t="n">
        <v>4</v>
      </c>
      <c r="D24" s="23" t="n">
        <f aca="false">COUNTIF($C$7:$C$16,"&gt;"&amp;A24)/10</f>
        <v>1</v>
      </c>
    </row>
    <row r="25" customFormat="false" ht="15" hidden="false" customHeight="false" outlineLevel="0" collapsed="false">
      <c r="A25" s="0" t="n">
        <v>5</v>
      </c>
      <c r="D25" s="23" t="n">
        <f aca="false">COUNTIF($C$7:$C$16,"&gt;"&amp;A25)/10</f>
        <v>0.9</v>
      </c>
    </row>
    <row r="26" customFormat="false" ht="15" hidden="false" customHeight="false" outlineLevel="0" collapsed="false">
      <c r="A26" s="0" t="n">
        <v>6</v>
      </c>
      <c r="D26" s="23" t="n">
        <f aca="false">COUNTIF($C$7:$C$16,"&gt;"&amp;A26)/10</f>
        <v>0.9</v>
      </c>
    </row>
    <row r="27" customFormat="false" ht="15" hidden="false" customHeight="false" outlineLevel="0" collapsed="false">
      <c r="A27" s="0" t="n">
        <v>7</v>
      </c>
      <c r="D27" s="23" t="n">
        <f aca="false">COUNTIF($C$7:$C$16,"&gt;"&amp;A27)/10</f>
        <v>0.9</v>
      </c>
    </row>
    <row r="28" customFormat="false" ht="15" hidden="false" customHeight="false" outlineLevel="0" collapsed="false">
      <c r="A28" s="0" t="n">
        <v>8</v>
      </c>
      <c r="D28" s="23" t="n">
        <f aca="false">COUNTIF($C$7:$C$16,"&gt;"&amp;A28)/10</f>
        <v>0.9</v>
      </c>
    </row>
    <row r="29" customFormat="false" ht="15" hidden="false" customHeight="false" outlineLevel="0" collapsed="false">
      <c r="A29" s="0" t="n">
        <v>9</v>
      </c>
      <c r="D29" s="23" t="n">
        <f aca="false">COUNTIF($C$7:$C$16,"&gt;"&amp;A29)/10</f>
        <v>0.9</v>
      </c>
    </row>
    <row r="30" customFormat="false" ht="15" hidden="false" customHeight="false" outlineLevel="0" collapsed="false">
      <c r="A30" s="0" t="n">
        <v>10</v>
      </c>
      <c r="D30" s="23" t="n">
        <f aca="false">COUNTIF($C$7:$C$16,"&gt;"&amp;A30)/10</f>
        <v>0.8</v>
      </c>
    </row>
    <row r="31" customFormat="false" ht="15" hidden="false" customHeight="false" outlineLevel="0" collapsed="false">
      <c r="A31" s="0" t="n">
        <v>11</v>
      </c>
      <c r="D31" s="23" t="n">
        <f aca="false">COUNTIF($C$7:$C$16,"&gt;"&amp;A31)/10</f>
        <v>0.8</v>
      </c>
    </row>
    <row r="32" customFormat="false" ht="15" hidden="false" customHeight="false" outlineLevel="0" collapsed="false">
      <c r="A32" s="0" t="n">
        <v>12</v>
      </c>
      <c r="D32" s="23" t="n">
        <f aca="false">COUNTIF($C$7:$C$16,"&gt;"&amp;A32)/10</f>
        <v>0.8</v>
      </c>
    </row>
    <row r="33" customFormat="false" ht="15" hidden="false" customHeight="false" outlineLevel="0" collapsed="false">
      <c r="A33" s="0" t="n">
        <v>13</v>
      </c>
      <c r="D33" s="23" t="n">
        <f aca="false">COUNTIF($C$7:$C$16,"&gt;"&amp;A33)/10</f>
        <v>0.8</v>
      </c>
    </row>
    <row r="34" customFormat="false" ht="15" hidden="false" customHeight="false" outlineLevel="0" collapsed="false">
      <c r="A34" s="0" t="n">
        <v>14</v>
      </c>
      <c r="D34" s="23" t="n">
        <f aca="false">COUNTIF($C$7:$C$16,"&gt;"&amp;A34)/10</f>
        <v>0.8</v>
      </c>
    </row>
    <row r="35" customFormat="false" ht="15" hidden="false" customHeight="false" outlineLevel="0" collapsed="false">
      <c r="A35" s="0" t="n">
        <v>15</v>
      </c>
      <c r="D35" s="23" t="n">
        <f aca="false">COUNTIF($C$7:$C$16,"&gt;"&amp;A35)/10</f>
        <v>0.7</v>
      </c>
    </row>
    <row r="36" customFormat="false" ht="15" hidden="false" customHeight="false" outlineLevel="0" collapsed="false">
      <c r="A36" s="0" t="n">
        <v>16</v>
      </c>
      <c r="D36" s="23" t="n">
        <f aca="false">COUNTIF($C$7:$C$16,"&gt;"&amp;A36)/10</f>
        <v>0.7</v>
      </c>
    </row>
    <row r="37" customFormat="false" ht="15" hidden="false" customHeight="false" outlineLevel="0" collapsed="false">
      <c r="A37" s="0" t="n">
        <v>17</v>
      </c>
      <c r="D37" s="23" t="n">
        <f aca="false">COUNTIF($C$7:$C$16,"&gt;"&amp;A37)/10</f>
        <v>0.7</v>
      </c>
    </row>
    <row r="38" customFormat="false" ht="15" hidden="false" customHeight="false" outlineLevel="0" collapsed="false">
      <c r="A38" s="0" t="n">
        <v>18</v>
      </c>
      <c r="D38" s="23" t="n">
        <f aca="false">COUNTIF($C$7:$C$16,"&gt;"&amp;A38)/10</f>
        <v>0.7</v>
      </c>
    </row>
    <row r="39" customFormat="false" ht="15" hidden="false" customHeight="false" outlineLevel="0" collapsed="false">
      <c r="A39" s="0" t="n">
        <v>19</v>
      </c>
      <c r="D39" s="23" t="n">
        <f aca="false">COUNTIF($C$7:$C$16,"&gt;"&amp;A39)/10</f>
        <v>0.7</v>
      </c>
    </row>
    <row r="40" customFormat="false" ht="15" hidden="false" customHeight="false" outlineLevel="0" collapsed="false">
      <c r="A40" s="0" t="n">
        <v>20</v>
      </c>
      <c r="D40" s="23" t="n">
        <f aca="false">COUNTIF($C$7:$C$16,"&gt;"&amp;A40)/10</f>
        <v>0.7</v>
      </c>
    </row>
    <row r="41" customFormat="false" ht="15" hidden="false" customHeight="false" outlineLevel="0" collapsed="false">
      <c r="A41" s="0" t="n">
        <v>21</v>
      </c>
      <c r="D41" s="23" t="n">
        <f aca="false">COUNTIF($C$7:$C$16,"&gt;"&amp;A41)/10</f>
        <v>0.6</v>
      </c>
    </row>
    <row r="42" customFormat="false" ht="15" hidden="false" customHeight="false" outlineLevel="0" collapsed="false">
      <c r="A42" s="0" t="n">
        <v>22</v>
      </c>
      <c r="D42" s="23" t="n">
        <f aca="false">COUNTIF($C$7:$C$16,"&gt;"&amp;A42)/10</f>
        <v>0.6</v>
      </c>
    </row>
    <row r="43" customFormat="false" ht="15" hidden="false" customHeight="false" outlineLevel="0" collapsed="false">
      <c r="A43" s="0" t="n">
        <v>23</v>
      </c>
      <c r="D43" s="23" t="n">
        <f aca="false">COUNTIF($C$7:$C$16,"&gt;"&amp;A43)/10</f>
        <v>0.6</v>
      </c>
    </row>
    <row r="44" customFormat="false" ht="15" hidden="false" customHeight="false" outlineLevel="0" collapsed="false">
      <c r="A44" s="0" t="n">
        <v>24</v>
      </c>
      <c r="D44" s="23" t="n">
        <f aca="false">COUNTIF($C$7:$C$16,"&gt;"&amp;A44)/10</f>
        <v>0.6</v>
      </c>
    </row>
    <row r="45" customFormat="false" ht="15" hidden="false" customHeight="false" outlineLevel="0" collapsed="false">
      <c r="A45" s="0" t="n">
        <v>25</v>
      </c>
      <c r="D45" s="23" t="n">
        <f aca="false">COUNTIF($C$7:$C$16,"&gt;"&amp;A45)/10</f>
        <v>0.6</v>
      </c>
    </row>
    <row r="46" customFormat="false" ht="15" hidden="false" customHeight="false" outlineLevel="0" collapsed="false">
      <c r="A46" s="0" t="n">
        <v>26</v>
      </c>
      <c r="D46" s="23" t="n">
        <f aca="false">COUNTIF($C$7:$C$16,"&gt;"&amp;A46)/10</f>
        <v>0.6</v>
      </c>
    </row>
    <row r="47" customFormat="false" ht="15" hidden="false" customHeight="false" outlineLevel="0" collapsed="false">
      <c r="A47" s="0" t="n">
        <v>27</v>
      </c>
      <c r="D47" s="23" t="n">
        <f aca="false">COUNTIF($C$7:$C$16,"&gt;"&amp;A47)/10</f>
        <v>0.5</v>
      </c>
    </row>
    <row r="48" customFormat="false" ht="15" hidden="false" customHeight="false" outlineLevel="0" collapsed="false">
      <c r="A48" s="0" t="n">
        <v>28</v>
      </c>
      <c r="D48" s="23" t="n">
        <f aca="false">COUNTIF($C$7:$C$16,"&gt;"&amp;A48)/10</f>
        <v>0.5</v>
      </c>
    </row>
    <row r="49" customFormat="false" ht="15" hidden="false" customHeight="false" outlineLevel="0" collapsed="false">
      <c r="A49" s="0" t="n">
        <v>29</v>
      </c>
      <c r="D49" s="23" t="n">
        <f aca="false">COUNTIF($C$7:$C$16,"&gt;"&amp;A49)/10</f>
        <v>0.5</v>
      </c>
    </row>
    <row r="50" customFormat="false" ht="15" hidden="false" customHeight="false" outlineLevel="0" collapsed="false">
      <c r="A50" s="0" t="n">
        <v>30</v>
      </c>
      <c r="D50" s="23" t="n">
        <f aca="false">COUNTIF($C$7:$C$16,"&gt;"&amp;A50)/10</f>
        <v>0.5</v>
      </c>
    </row>
    <row r="51" customFormat="false" ht="15" hidden="false" customHeight="false" outlineLevel="0" collapsed="false">
      <c r="A51" s="0" t="n">
        <v>31</v>
      </c>
      <c r="D51" s="23" t="n">
        <f aca="false">COUNTIF($C$7:$C$16,"&gt;"&amp;A51)/10</f>
        <v>0.5</v>
      </c>
    </row>
    <row r="52" customFormat="false" ht="15" hidden="false" customHeight="false" outlineLevel="0" collapsed="false">
      <c r="A52" s="0" t="n">
        <v>32</v>
      </c>
      <c r="D52" s="23" t="n">
        <f aca="false">COUNTIF($C$7:$C$16,"&gt;"&amp;A52)/10</f>
        <v>0.5</v>
      </c>
    </row>
    <row r="53" customFormat="false" ht="15" hidden="false" customHeight="false" outlineLevel="0" collapsed="false">
      <c r="A53" s="0" t="n">
        <v>33</v>
      </c>
      <c r="D53" s="23" t="n">
        <f aca="false">COUNTIF($C$7:$C$16,"&gt;"&amp;A53)/10</f>
        <v>0.5</v>
      </c>
    </row>
    <row r="54" customFormat="false" ht="15" hidden="false" customHeight="false" outlineLevel="0" collapsed="false">
      <c r="A54" s="0" t="n">
        <v>34</v>
      </c>
      <c r="D54" s="23" t="n">
        <f aca="false">COUNTIF($C$7:$C$16,"&gt;"&amp;A54)/10</f>
        <v>0.4</v>
      </c>
    </row>
    <row r="55" customFormat="false" ht="15" hidden="false" customHeight="false" outlineLevel="0" collapsed="false">
      <c r="A55" s="0" t="n">
        <v>35</v>
      </c>
      <c r="D55" s="23" t="n">
        <f aca="false">COUNTIF($C$7:$C$16,"&gt;"&amp;A55)/10</f>
        <v>0.4</v>
      </c>
    </row>
    <row r="56" customFormat="false" ht="15" hidden="false" customHeight="false" outlineLevel="0" collapsed="false">
      <c r="A56" s="0" t="n">
        <v>36</v>
      </c>
      <c r="D56" s="23" t="n">
        <f aca="false">COUNTIF($C$7:$C$16,"&gt;"&amp;A56)/10</f>
        <v>0.4</v>
      </c>
    </row>
    <row r="57" customFormat="false" ht="15" hidden="false" customHeight="false" outlineLevel="0" collapsed="false">
      <c r="A57" s="0" t="n">
        <v>37</v>
      </c>
      <c r="D57" s="23" t="n">
        <f aca="false">COUNTIF($C$7:$C$16,"&gt;"&amp;A57)/10</f>
        <v>0.4</v>
      </c>
    </row>
    <row r="58" customFormat="false" ht="15" hidden="false" customHeight="false" outlineLevel="0" collapsed="false">
      <c r="A58" s="0" t="n">
        <v>38</v>
      </c>
      <c r="D58" s="23" t="n">
        <f aca="false">COUNTIF($C$7:$C$16,"&gt;"&amp;A58)/10</f>
        <v>0.4</v>
      </c>
    </row>
    <row r="59" customFormat="false" ht="15" hidden="false" customHeight="false" outlineLevel="0" collapsed="false">
      <c r="A59" s="0" t="n">
        <v>39</v>
      </c>
      <c r="D59" s="23" t="n">
        <f aca="false">COUNTIF($C$7:$C$16,"&gt;"&amp;A59)/10</f>
        <v>0.4</v>
      </c>
    </row>
    <row r="60" customFormat="false" ht="15" hidden="false" customHeight="false" outlineLevel="0" collapsed="false">
      <c r="A60" s="0" t="n">
        <v>40</v>
      </c>
      <c r="D60" s="23" t="n">
        <f aca="false">COUNTIF($C$7:$C$16,"&gt;"&amp;A60)/10</f>
        <v>0.4</v>
      </c>
    </row>
    <row r="61" customFormat="false" ht="15" hidden="false" customHeight="false" outlineLevel="0" collapsed="false">
      <c r="A61" s="0" t="n">
        <v>41</v>
      </c>
      <c r="D61" s="23" t="n">
        <f aca="false">COUNTIF($C$7:$C$16,"&gt;"&amp;A61)/10</f>
        <v>0.4</v>
      </c>
    </row>
    <row r="62" customFormat="false" ht="15" hidden="false" customHeight="false" outlineLevel="0" collapsed="false">
      <c r="A62" s="0" t="n">
        <v>42</v>
      </c>
      <c r="D62" s="23" t="n">
        <f aca="false">COUNTIF($C$7:$C$16,"&gt;"&amp;A62)/10</f>
        <v>0.3</v>
      </c>
    </row>
    <row r="63" customFormat="false" ht="15" hidden="false" customHeight="false" outlineLevel="0" collapsed="false">
      <c r="A63" s="0" t="n">
        <v>43</v>
      </c>
      <c r="D63" s="23" t="n">
        <f aca="false">COUNTIF($C$7:$C$16,"&gt;"&amp;A63)/10</f>
        <v>0.3</v>
      </c>
    </row>
    <row r="64" customFormat="false" ht="15" hidden="false" customHeight="false" outlineLevel="0" collapsed="false">
      <c r="A64" s="0" t="n">
        <v>44</v>
      </c>
      <c r="D64" s="23" t="n">
        <f aca="false">COUNTIF($C$7:$C$16,"&gt;"&amp;A64)/10</f>
        <v>0.3</v>
      </c>
    </row>
    <row r="65" customFormat="false" ht="15" hidden="false" customHeight="false" outlineLevel="0" collapsed="false">
      <c r="A65" s="0" t="n">
        <v>45</v>
      </c>
      <c r="D65" s="23" t="n">
        <f aca="false">COUNTIF($C$7:$C$16,"&gt;"&amp;A65)/10</f>
        <v>0.3</v>
      </c>
    </row>
    <row r="66" customFormat="false" ht="15" hidden="false" customHeight="false" outlineLevel="0" collapsed="false">
      <c r="A66" s="0" t="n">
        <v>46</v>
      </c>
      <c r="D66" s="23" t="n">
        <f aca="false">COUNTIF($C$7:$C$16,"&gt;"&amp;A66)/10</f>
        <v>0.3</v>
      </c>
    </row>
    <row r="67" customFormat="false" ht="15" hidden="false" customHeight="false" outlineLevel="0" collapsed="false">
      <c r="A67" s="0" t="n">
        <v>47</v>
      </c>
      <c r="D67" s="23" t="n">
        <f aca="false">COUNTIF($C$7:$C$16,"&gt;"&amp;A67)/10</f>
        <v>0.3</v>
      </c>
    </row>
    <row r="68" customFormat="false" ht="15" hidden="false" customHeight="false" outlineLevel="0" collapsed="false">
      <c r="A68" s="0" t="n">
        <v>48</v>
      </c>
      <c r="D68" s="23" t="n">
        <f aca="false">COUNTIF($C$7:$C$16,"&gt;"&amp;A68)/10</f>
        <v>0.3</v>
      </c>
    </row>
    <row r="69" customFormat="false" ht="15" hidden="false" customHeight="false" outlineLevel="0" collapsed="false">
      <c r="A69" s="0" t="n">
        <v>49</v>
      </c>
      <c r="D69" s="23" t="n">
        <f aca="false">COUNTIF($C$7:$C$16,"&gt;"&amp;A69)/10</f>
        <v>0.3</v>
      </c>
    </row>
    <row r="70" customFormat="false" ht="15" hidden="false" customHeight="false" outlineLevel="0" collapsed="false">
      <c r="A70" s="0" t="n">
        <v>50</v>
      </c>
      <c r="D70" s="23" t="n">
        <f aca="false">COUNTIF($C$7:$C$16,"&gt;"&amp;A70)/10</f>
        <v>0.3</v>
      </c>
    </row>
    <row r="71" customFormat="false" ht="15" hidden="false" customHeight="false" outlineLevel="0" collapsed="false">
      <c r="A71" s="0" t="n">
        <v>51</v>
      </c>
      <c r="D71" s="23" t="n">
        <f aca="false">COUNTIF($C$7:$C$16,"&gt;"&amp;A71)/10</f>
        <v>0.3</v>
      </c>
    </row>
    <row r="72" customFormat="false" ht="15" hidden="false" customHeight="false" outlineLevel="0" collapsed="false">
      <c r="A72" s="0" t="n">
        <v>52</v>
      </c>
      <c r="D72" s="23" t="n">
        <f aca="false">COUNTIF($C$7:$C$16,"&gt;"&amp;A72)/10</f>
        <v>0.2</v>
      </c>
    </row>
    <row r="73" customFormat="false" ht="15" hidden="false" customHeight="false" outlineLevel="0" collapsed="false">
      <c r="A73" s="0" t="n">
        <v>53</v>
      </c>
      <c r="D73" s="23" t="n">
        <f aca="false">COUNTIF($C$7:$C$16,"&gt;"&amp;A73)/10</f>
        <v>0.2</v>
      </c>
    </row>
    <row r="74" customFormat="false" ht="15" hidden="false" customHeight="false" outlineLevel="0" collapsed="false">
      <c r="A74" s="0" t="n">
        <v>54</v>
      </c>
      <c r="D74" s="23" t="n">
        <f aca="false">COUNTIF($C$7:$C$16,"&gt;"&amp;A74)/10</f>
        <v>0.2</v>
      </c>
    </row>
    <row r="75" customFormat="false" ht="15" hidden="false" customHeight="false" outlineLevel="0" collapsed="false">
      <c r="A75" s="0" t="n">
        <v>55</v>
      </c>
      <c r="D75" s="23" t="n">
        <f aca="false">COUNTIF($C$7:$C$16,"&gt;"&amp;A75)/10</f>
        <v>0.2</v>
      </c>
    </row>
    <row r="76" customFormat="false" ht="15" hidden="false" customHeight="false" outlineLevel="0" collapsed="false">
      <c r="A76" s="0" t="n">
        <v>56</v>
      </c>
      <c r="D76" s="23" t="n">
        <f aca="false">COUNTIF($C$7:$C$16,"&gt;"&amp;A76)/10</f>
        <v>0.2</v>
      </c>
    </row>
    <row r="77" customFormat="false" ht="15" hidden="false" customHeight="false" outlineLevel="0" collapsed="false">
      <c r="A77" s="0" t="n">
        <v>57</v>
      </c>
      <c r="D77" s="23" t="n">
        <f aca="false">COUNTIF($C$7:$C$16,"&gt;"&amp;A77)/10</f>
        <v>0.2</v>
      </c>
    </row>
    <row r="78" customFormat="false" ht="15" hidden="false" customHeight="false" outlineLevel="0" collapsed="false">
      <c r="A78" s="0" t="n">
        <v>58</v>
      </c>
      <c r="D78" s="23" t="n">
        <f aca="false">COUNTIF($C$7:$C$16,"&gt;"&amp;A78)/10</f>
        <v>0.2</v>
      </c>
    </row>
    <row r="79" customFormat="false" ht="15" hidden="false" customHeight="false" outlineLevel="0" collapsed="false">
      <c r="A79" s="0" t="n">
        <v>59</v>
      </c>
      <c r="D79" s="23" t="n">
        <f aca="false">COUNTIF($C$7:$C$16,"&gt;"&amp;A79)/10</f>
        <v>0.2</v>
      </c>
    </row>
    <row r="80" customFormat="false" ht="15" hidden="false" customHeight="false" outlineLevel="0" collapsed="false">
      <c r="A80" s="0" t="n">
        <v>60</v>
      </c>
      <c r="D80" s="23" t="n">
        <f aca="false">COUNTIF($C$7:$C$16,"&gt;"&amp;A80)/10</f>
        <v>0.2</v>
      </c>
    </row>
    <row r="81" customFormat="false" ht="15" hidden="false" customHeight="false" outlineLevel="0" collapsed="false">
      <c r="A81" s="0" t="n">
        <v>61</v>
      </c>
      <c r="D81" s="23" t="n">
        <f aca="false">COUNTIF($C$7:$C$16,"&gt;"&amp;A81)/10</f>
        <v>0.2</v>
      </c>
    </row>
    <row r="82" customFormat="false" ht="15" hidden="false" customHeight="false" outlineLevel="0" collapsed="false">
      <c r="A82" s="0" t="n">
        <v>62</v>
      </c>
      <c r="D82" s="23" t="n">
        <f aca="false">COUNTIF($C$7:$C$16,"&gt;"&amp;A82)/10</f>
        <v>0.2</v>
      </c>
    </row>
    <row r="83" customFormat="false" ht="15" hidden="false" customHeight="false" outlineLevel="0" collapsed="false">
      <c r="A83" s="0" t="n">
        <v>63</v>
      </c>
      <c r="D83" s="23" t="n">
        <f aca="false">COUNTIF($C$7:$C$16,"&gt;"&amp;A83)/10</f>
        <v>0.2</v>
      </c>
    </row>
    <row r="84" customFormat="false" ht="15" hidden="false" customHeight="false" outlineLevel="0" collapsed="false">
      <c r="A84" s="0" t="n">
        <v>64</v>
      </c>
      <c r="D84" s="23" t="n">
        <f aca="false">COUNTIF($C$7:$C$16,"&gt;"&amp;A84)/10</f>
        <v>0.2</v>
      </c>
    </row>
    <row r="85" customFormat="false" ht="15" hidden="false" customHeight="false" outlineLevel="0" collapsed="false">
      <c r="A85" s="0" t="n">
        <v>65</v>
      </c>
      <c r="D85" s="23" t="n">
        <f aca="false">COUNTIF($C$7:$C$16,"&gt;"&amp;A85)/10</f>
        <v>0.2</v>
      </c>
    </row>
    <row r="86" customFormat="false" ht="15" hidden="false" customHeight="false" outlineLevel="0" collapsed="false">
      <c r="A86" s="0" t="n">
        <v>66</v>
      </c>
      <c r="D86" s="23" t="n">
        <f aca="false">COUNTIF($C$7:$C$16,"&gt;"&amp;A86)/10</f>
        <v>0.2</v>
      </c>
    </row>
    <row r="87" customFormat="false" ht="15" hidden="false" customHeight="false" outlineLevel="0" collapsed="false">
      <c r="A87" s="0" t="n">
        <v>67</v>
      </c>
      <c r="D87" s="23" t="n">
        <f aca="false">COUNTIF($C$7:$C$16,"&gt;"&amp;A87)/10</f>
        <v>0.2</v>
      </c>
    </row>
    <row r="88" customFormat="false" ht="15" hidden="false" customHeight="false" outlineLevel="0" collapsed="false">
      <c r="A88" s="0" t="n">
        <v>68</v>
      </c>
      <c r="D88" s="23" t="n">
        <f aca="false">COUNTIF($C$7:$C$16,"&gt;"&amp;A88)/10</f>
        <v>0.1</v>
      </c>
    </row>
    <row r="89" customFormat="false" ht="15" hidden="false" customHeight="false" outlineLevel="0" collapsed="false">
      <c r="A89" s="0" t="n">
        <v>69</v>
      </c>
      <c r="D89" s="23" t="n">
        <f aca="false">COUNTIF($C$7:$C$16,"&gt;"&amp;A89)/10</f>
        <v>0.1</v>
      </c>
    </row>
    <row r="90" customFormat="false" ht="15" hidden="false" customHeight="false" outlineLevel="0" collapsed="false">
      <c r="A90" s="0" t="n">
        <v>70</v>
      </c>
      <c r="D90" s="23" t="n">
        <f aca="false">COUNTIF($C$7:$C$16,"&gt;"&amp;A90)/10</f>
        <v>0.1</v>
      </c>
    </row>
    <row r="91" customFormat="false" ht="15" hidden="false" customHeight="false" outlineLevel="0" collapsed="false">
      <c r="A91" s="0" t="n">
        <v>71</v>
      </c>
      <c r="D91" s="23" t="n">
        <f aca="false">COUNTIF($C$7:$C$16,"&gt;"&amp;A91)/10</f>
        <v>0.1</v>
      </c>
    </row>
    <row r="92" customFormat="false" ht="15" hidden="false" customHeight="false" outlineLevel="0" collapsed="false">
      <c r="A92" s="0" t="n">
        <v>72</v>
      </c>
      <c r="D92" s="23" t="n">
        <f aca="false">COUNTIF($C$7:$C$16,"&gt;"&amp;A92)/10</f>
        <v>0.1</v>
      </c>
    </row>
    <row r="93" customFormat="false" ht="15" hidden="false" customHeight="false" outlineLevel="0" collapsed="false">
      <c r="A93" s="0" t="n">
        <v>73</v>
      </c>
      <c r="D93" s="23" t="n">
        <f aca="false">COUNTIF($C$7:$C$16,"&gt;"&amp;A93)/10</f>
        <v>0.1</v>
      </c>
    </row>
    <row r="94" customFormat="false" ht="15" hidden="false" customHeight="false" outlineLevel="0" collapsed="false">
      <c r="A94" s="0" t="n">
        <v>74</v>
      </c>
      <c r="D94" s="23" t="n">
        <f aca="false">COUNTIF($C$7:$C$16,"&gt;"&amp;A94)/10</f>
        <v>0.1</v>
      </c>
    </row>
    <row r="95" customFormat="false" ht="15" hidden="false" customHeight="false" outlineLevel="0" collapsed="false">
      <c r="A95" s="0" t="n">
        <v>75</v>
      </c>
      <c r="D95" s="23" t="n">
        <f aca="false">COUNTIF($C$7:$C$16,"&gt;"&amp;A95)/10</f>
        <v>0.1</v>
      </c>
    </row>
    <row r="96" customFormat="false" ht="15" hidden="false" customHeight="false" outlineLevel="0" collapsed="false">
      <c r="A96" s="0" t="n">
        <v>76</v>
      </c>
      <c r="D96" s="23" t="n">
        <f aca="false">COUNTIF($C$7:$C$16,"&gt;"&amp;A96)/10</f>
        <v>0.1</v>
      </c>
    </row>
    <row r="97" customFormat="false" ht="15" hidden="false" customHeight="false" outlineLevel="0" collapsed="false">
      <c r="A97" s="0" t="n">
        <v>77</v>
      </c>
      <c r="D97" s="23" t="n">
        <f aca="false">COUNTIF($C$7:$C$16,"&gt;"&amp;A97)/10</f>
        <v>0.1</v>
      </c>
    </row>
    <row r="98" customFormat="false" ht="15" hidden="false" customHeight="false" outlineLevel="0" collapsed="false">
      <c r="A98" s="0" t="n">
        <v>78</v>
      </c>
      <c r="D98" s="23" t="n">
        <f aca="false">COUNTIF($C$7:$C$16,"&gt;"&amp;A98)/10</f>
        <v>0.1</v>
      </c>
    </row>
    <row r="99" customFormat="false" ht="15" hidden="false" customHeight="false" outlineLevel="0" collapsed="false">
      <c r="A99" s="0" t="n">
        <v>79</v>
      </c>
      <c r="D99" s="23" t="n">
        <f aca="false">COUNTIF($C$7:$C$16,"&gt;"&amp;A99)/10</f>
        <v>0.1</v>
      </c>
    </row>
    <row r="100" customFormat="false" ht="15" hidden="false" customHeight="false" outlineLevel="0" collapsed="false">
      <c r="A100" s="0" t="n">
        <v>80</v>
      </c>
      <c r="D100" s="23" t="n">
        <f aca="false">COUNTIF($C$7:$C$16,"&gt;"&amp;A100)/10</f>
        <v>0.1</v>
      </c>
    </row>
    <row r="101" customFormat="false" ht="15" hidden="false" customHeight="false" outlineLevel="0" collapsed="false">
      <c r="A101" s="0" t="n">
        <v>81</v>
      </c>
      <c r="D101" s="23" t="n">
        <f aca="false">COUNTIF($C$7:$C$16,"&gt;"&amp;A101)/10</f>
        <v>0.1</v>
      </c>
    </row>
    <row r="102" customFormat="false" ht="15" hidden="false" customHeight="false" outlineLevel="0" collapsed="false">
      <c r="A102" s="0" t="n">
        <v>82</v>
      </c>
      <c r="D102" s="23" t="n">
        <f aca="false">COUNTIF($C$7:$C$16,"&gt;"&amp;A102)/10</f>
        <v>0.1</v>
      </c>
    </row>
    <row r="103" customFormat="false" ht="15" hidden="false" customHeight="false" outlineLevel="0" collapsed="false">
      <c r="A103" s="0" t="n">
        <v>83</v>
      </c>
      <c r="D103" s="23" t="n">
        <f aca="false">COUNTIF($C$7:$C$16,"&gt;"&amp;A103)/10</f>
        <v>0.1</v>
      </c>
    </row>
    <row r="104" customFormat="false" ht="15" hidden="false" customHeight="false" outlineLevel="0" collapsed="false">
      <c r="A104" s="0" t="n">
        <v>84</v>
      </c>
      <c r="D104" s="23" t="n">
        <f aca="false">COUNTIF($C$7:$C$16,"&gt;"&amp;A104)/10</f>
        <v>0.1</v>
      </c>
    </row>
    <row r="105" customFormat="false" ht="15" hidden="false" customHeight="false" outlineLevel="0" collapsed="false">
      <c r="A105" s="0" t="n">
        <v>85</v>
      </c>
      <c r="D105" s="23" t="n">
        <f aca="false">COUNTIF($C$7:$C$16,"&gt;"&amp;A105)/10</f>
        <v>0.1</v>
      </c>
    </row>
    <row r="106" customFormat="false" ht="15" hidden="false" customHeight="false" outlineLevel="0" collapsed="false">
      <c r="A106" s="0" t="n">
        <v>86</v>
      </c>
      <c r="D106" s="23" t="n">
        <f aca="false">COUNTIF($C$7:$C$16,"&gt;"&amp;A106)/10</f>
        <v>0.1</v>
      </c>
    </row>
    <row r="107" customFormat="false" ht="15" hidden="false" customHeight="false" outlineLevel="0" collapsed="false">
      <c r="A107" s="0" t="n">
        <v>87</v>
      </c>
      <c r="D107" s="23" t="n">
        <f aca="false">COUNTIF($C$7:$C$16,"&gt;"&amp;A107)/10</f>
        <v>0.1</v>
      </c>
    </row>
    <row r="108" customFormat="false" ht="15" hidden="false" customHeight="false" outlineLevel="0" collapsed="false">
      <c r="A108" s="0" t="n">
        <v>88</v>
      </c>
      <c r="D108" s="23" t="n">
        <f aca="false">COUNTIF($C$7:$C$16,"&gt;"&amp;A108)/10</f>
        <v>0.1</v>
      </c>
    </row>
    <row r="109" customFormat="false" ht="15" hidden="false" customHeight="false" outlineLevel="0" collapsed="false">
      <c r="A109" s="0" t="n">
        <v>89</v>
      </c>
      <c r="D109" s="23" t="n">
        <f aca="false">COUNTIF($C$7:$C$16,"&gt;"&amp;A109)/10</f>
        <v>0.1</v>
      </c>
    </row>
    <row r="110" customFormat="false" ht="15" hidden="false" customHeight="false" outlineLevel="0" collapsed="false">
      <c r="A110" s="0" t="n">
        <v>90</v>
      </c>
      <c r="D110" s="23" t="n">
        <f aca="false">COUNTIF($C$7:$C$16,"&gt;"&amp;A110)/10</f>
        <v>0.1</v>
      </c>
    </row>
    <row r="111" customFormat="false" ht="15" hidden="false" customHeight="false" outlineLevel="0" collapsed="false">
      <c r="A111" s="0" t="n">
        <v>91</v>
      </c>
      <c r="D111" s="23" t="n">
        <f aca="false">COUNTIF($C$7:$C$16,"&gt;"&amp;A111)/10</f>
        <v>0.1</v>
      </c>
    </row>
    <row r="112" customFormat="false" ht="15" hidden="false" customHeight="false" outlineLevel="0" collapsed="false">
      <c r="A112" s="0" t="n">
        <v>92</v>
      </c>
      <c r="D112" s="23" t="n">
        <f aca="false">COUNTIF($C$7:$C$16,"&gt;"&amp;A112)/10</f>
        <v>0.1</v>
      </c>
    </row>
    <row r="113" customFormat="false" ht="15" hidden="false" customHeight="false" outlineLevel="0" collapsed="false">
      <c r="A113" s="0" t="n">
        <v>93</v>
      </c>
      <c r="D113" s="23" t="n">
        <f aca="false">COUNTIF($C$7:$C$16,"&gt;"&amp;A113)/10</f>
        <v>0.1</v>
      </c>
    </row>
    <row r="114" customFormat="false" ht="15" hidden="false" customHeight="false" outlineLevel="0" collapsed="false">
      <c r="A114" s="0" t="n">
        <v>94</v>
      </c>
      <c r="D114" s="23" t="n">
        <f aca="false">COUNTIF($C$7:$C$16,"&gt;"&amp;A114)/10</f>
        <v>0.1</v>
      </c>
    </row>
    <row r="115" customFormat="false" ht="15" hidden="false" customHeight="false" outlineLevel="0" collapsed="false">
      <c r="A115" s="0" t="n">
        <v>95</v>
      </c>
      <c r="D115" s="23" t="n">
        <f aca="false">COUNTIF($C$7:$C$16,"&gt;"&amp;A115)/10</f>
        <v>0.1</v>
      </c>
    </row>
    <row r="116" customFormat="false" ht="15" hidden="false" customHeight="false" outlineLevel="0" collapsed="false">
      <c r="A116" s="0" t="n">
        <v>96</v>
      </c>
      <c r="D116" s="23" t="n">
        <f aca="false">COUNTIF($C$7:$C$16,"&gt;"&amp;A116)/10</f>
        <v>0.1</v>
      </c>
    </row>
    <row r="117" customFormat="false" ht="15" hidden="false" customHeight="false" outlineLevel="0" collapsed="false">
      <c r="A117" s="0" t="n">
        <v>97</v>
      </c>
      <c r="D117" s="23" t="n">
        <f aca="false">COUNTIF($C$7:$C$16,"&gt;"&amp;A117)/10</f>
        <v>0.1</v>
      </c>
    </row>
    <row r="118" customFormat="false" ht="15" hidden="false" customHeight="false" outlineLevel="0" collapsed="false">
      <c r="A118" s="0" t="n">
        <v>98</v>
      </c>
      <c r="D118" s="23" t="n">
        <f aca="false">COUNTIF($C$7:$C$16,"&gt;"&amp;A118)/10</f>
        <v>0.1</v>
      </c>
    </row>
    <row r="119" customFormat="false" ht="15" hidden="false" customHeight="false" outlineLevel="0" collapsed="false">
      <c r="A119" s="0" t="n">
        <v>99</v>
      </c>
      <c r="D119" s="23" t="n">
        <f aca="false">COUNTIF($C$7:$C$16,"&gt;"&amp;A119)/10</f>
        <v>0.1</v>
      </c>
    </row>
    <row r="120" customFormat="false" ht="15" hidden="false" customHeight="false" outlineLevel="0" collapsed="false">
      <c r="A120" s="0" t="n">
        <v>100</v>
      </c>
      <c r="D120" s="23" t="n">
        <f aca="false">COUNTIF($C$7:$C$16,"&gt;"&amp;A120)/10</f>
        <v>0.1</v>
      </c>
    </row>
    <row r="121" customFormat="false" ht="15" hidden="false" customHeight="false" outlineLevel="0" collapsed="false">
      <c r="A121" s="0" t="n">
        <v>101</v>
      </c>
      <c r="D121" s="23" t="n">
        <f aca="false">COUNTIF($C$7:$C$16,"&gt;"&amp;A121)/10</f>
        <v>0.1</v>
      </c>
    </row>
    <row r="122" customFormat="false" ht="15" hidden="false" customHeight="false" outlineLevel="0" collapsed="false">
      <c r="A122" s="0" t="n">
        <v>102</v>
      </c>
      <c r="D122" s="23" t="n">
        <f aca="false">COUNTIF($C$7:$C$16,"&gt;"&amp;A122)/10</f>
        <v>0.1</v>
      </c>
    </row>
    <row r="123" customFormat="false" ht="15" hidden="false" customHeight="false" outlineLevel="0" collapsed="false">
      <c r="A123" s="0" t="n">
        <v>103</v>
      </c>
      <c r="D123" s="23" t="n">
        <f aca="false">COUNTIF($C$7:$C$16,"&gt;"&amp;A123)/10</f>
        <v>0.1</v>
      </c>
    </row>
    <row r="124" customFormat="false" ht="15" hidden="false" customHeight="false" outlineLevel="0" collapsed="false">
      <c r="A124" s="0" t="n">
        <v>104</v>
      </c>
      <c r="D124" s="23" t="n">
        <f aca="false">COUNTIF($C$7:$C$16,"&gt;"&amp;A124)/10</f>
        <v>0.1</v>
      </c>
    </row>
    <row r="125" customFormat="false" ht="15" hidden="false" customHeight="false" outlineLevel="0" collapsed="false">
      <c r="A125" s="0" t="n">
        <v>105</v>
      </c>
      <c r="D125" s="23" t="n">
        <f aca="false">COUNTIF($C$7:$C$16,"&gt;"&amp;A125)/10</f>
        <v>0.1</v>
      </c>
    </row>
    <row r="126" customFormat="false" ht="15" hidden="false" customHeight="false" outlineLevel="0" collapsed="false">
      <c r="A126" s="0" t="n">
        <v>106</v>
      </c>
      <c r="D126" s="23" t="n">
        <f aca="false">COUNTIF($C$7:$C$16,"&gt;"&amp;A126)/10</f>
        <v>0.1</v>
      </c>
    </row>
    <row r="127" customFormat="false" ht="15" hidden="false" customHeight="false" outlineLevel="0" collapsed="false">
      <c r="A127" s="0" t="n">
        <v>107</v>
      </c>
      <c r="D127" s="23" t="n">
        <f aca="false">COUNTIF($C$7:$C$16,"&gt;"&amp;A127)/10</f>
        <v>0.1</v>
      </c>
    </row>
    <row r="128" customFormat="false" ht="15" hidden="false" customHeight="false" outlineLevel="0" collapsed="false">
      <c r="A128" s="0" t="n">
        <v>108</v>
      </c>
      <c r="D128" s="23" t="n">
        <f aca="false">COUNTIF($C$7:$C$16,"&gt;"&amp;A128)/10</f>
        <v>0</v>
      </c>
    </row>
    <row r="129" customFormat="false" ht="15" hidden="false" customHeight="false" outlineLevel="0" collapsed="false">
      <c r="A129" s="0" t="n">
        <v>109</v>
      </c>
      <c r="D129" s="23" t="n">
        <f aca="false">COUNTIF($C$7:$C$16,"&gt;"&amp;A129)/10</f>
        <v>0</v>
      </c>
    </row>
    <row r="130" customFormat="false" ht="15" hidden="false" customHeight="false" outlineLevel="0" collapsed="false">
      <c r="A130" s="0" t="n">
        <v>110</v>
      </c>
      <c r="D130" s="23" t="n">
        <f aca="false">COUNTIF($C$7:$C$16,"&gt;"&amp;A130)/10</f>
        <v>0</v>
      </c>
    </row>
    <row r="131" customFormat="false" ht="15" hidden="false" customHeight="false" outlineLevel="0" collapsed="false">
      <c r="A131" s="0" t="n">
        <v>111</v>
      </c>
      <c r="D131" s="23" t="n">
        <f aca="false">COUNTIF($C$7:$C$16,"&gt;"&amp;A131)/10</f>
        <v>0</v>
      </c>
    </row>
    <row r="132" customFormat="false" ht="15" hidden="false" customHeight="false" outlineLevel="0" collapsed="false">
      <c r="A132" s="0" t="n">
        <v>112</v>
      </c>
      <c r="D132" s="23" t="n">
        <f aca="false">COUNTIF($C$7:$C$16,"&gt;"&amp;A132)/10</f>
        <v>0</v>
      </c>
    </row>
    <row r="133" customFormat="false" ht="15" hidden="false" customHeight="false" outlineLevel="0" collapsed="false">
      <c r="A133" s="0" t="n">
        <v>113</v>
      </c>
      <c r="D133" s="23" t="n">
        <f aca="false">COUNTIF($C$7:$C$16,"&gt;"&amp;A133)/10</f>
        <v>0</v>
      </c>
    </row>
    <row r="134" customFormat="false" ht="15" hidden="false" customHeight="false" outlineLevel="0" collapsed="false">
      <c r="A134" s="0" t="n">
        <v>114</v>
      </c>
      <c r="D134" s="23" t="n">
        <f aca="false">COUNTIF($C$7:$C$16,"&gt;"&amp;A134)/10</f>
        <v>0</v>
      </c>
    </row>
    <row r="135" customFormat="false" ht="15" hidden="false" customHeight="false" outlineLevel="0" collapsed="false">
      <c r="A135" s="0" t="n">
        <v>115</v>
      </c>
      <c r="D135" s="23" t="n">
        <f aca="false">COUNTIF($C$7:$C$16,"&gt;"&amp;A135)/10</f>
        <v>0</v>
      </c>
    </row>
    <row r="136" customFormat="false" ht="15" hidden="false" customHeight="false" outlineLevel="0" collapsed="false">
      <c r="A136" s="0" t="n">
        <v>116</v>
      </c>
      <c r="D136" s="23" t="n">
        <f aca="false">COUNTIF($C$7:$C$16,"&gt;"&amp;A136)/10</f>
        <v>0</v>
      </c>
    </row>
    <row r="137" customFormat="false" ht="15" hidden="false" customHeight="false" outlineLevel="0" collapsed="false">
      <c r="A137" s="0" t="n">
        <v>117</v>
      </c>
      <c r="D137" s="23" t="n">
        <f aca="false">COUNTIF($C$7:$C$16,"&gt;"&amp;A137)/10</f>
        <v>0</v>
      </c>
    </row>
    <row r="138" customFormat="false" ht="15" hidden="false" customHeight="false" outlineLevel="0" collapsed="false">
      <c r="A138" s="0" t="n">
        <v>118</v>
      </c>
      <c r="D138" s="23" t="n">
        <f aca="false">COUNTIF($C$7:$C$16,"&gt;"&amp;A138)/10</f>
        <v>0</v>
      </c>
    </row>
    <row r="139" customFormat="false" ht="15" hidden="false" customHeight="false" outlineLevel="0" collapsed="false">
      <c r="A139" s="0" t="n">
        <v>119</v>
      </c>
      <c r="D139" s="23" t="n">
        <f aca="false">COUNTIF($C$7:$C$16,"&gt;"&amp;A139)/10</f>
        <v>0</v>
      </c>
    </row>
    <row r="140" customFormat="false" ht="15" hidden="false" customHeight="false" outlineLevel="0" collapsed="false">
      <c r="A140" s="0" t="n">
        <v>120</v>
      </c>
      <c r="D140" s="23" t="n">
        <f aca="false">COUNTIF($C$7:$C$16,"&gt;"&amp;A140)/10</f>
        <v>0</v>
      </c>
    </row>
    <row r="141" customFormat="false" ht="15" hidden="false" customHeight="false" outlineLevel="0" collapsed="false">
      <c r="A141" s="0" t="n">
        <v>121</v>
      </c>
      <c r="D141" s="23" t="n">
        <f aca="false">COUNTIF($C$7:$C$16,"&gt;"&amp;A141)/10</f>
        <v>0</v>
      </c>
    </row>
    <row r="142" customFormat="false" ht="15" hidden="false" customHeight="false" outlineLevel="0" collapsed="false">
      <c r="A142" s="0" t="n">
        <v>122</v>
      </c>
      <c r="D142" s="23" t="n">
        <f aca="false">COUNTIF($C$7:$C$16,"&gt;"&amp;A142)/10</f>
        <v>0</v>
      </c>
    </row>
    <row r="143" customFormat="false" ht="15" hidden="false" customHeight="false" outlineLevel="0" collapsed="false">
      <c r="A143" s="0" t="n">
        <v>123</v>
      </c>
      <c r="D143" s="23" t="n">
        <f aca="false">COUNTIF($C$7:$C$16,"&gt;"&amp;A143)/10</f>
        <v>0</v>
      </c>
    </row>
    <row r="144" customFormat="false" ht="15" hidden="false" customHeight="false" outlineLevel="0" collapsed="false">
      <c r="A144" s="0" t="n">
        <v>124</v>
      </c>
      <c r="D144" s="23" t="n">
        <f aca="false">COUNTIF($C$7:$C$16,"&gt;"&amp;A144)/10</f>
        <v>0</v>
      </c>
    </row>
    <row r="145" customFormat="false" ht="15" hidden="false" customHeight="false" outlineLevel="0" collapsed="false">
      <c r="A145" s="0" t="n">
        <v>125</v>
      </c>
      <c r="D145" s="23" t="n">
        <f aca="false">COUNTIF($C$7:$C$16,"&gt;"&amp;A145)/10</f>
        <v>0</v>
      </c>
    </row>
    <row r="146" customFormat="false" ht="15" hidden="false" customHeight="false" outlineLevel="0" collapsed="false">
      <c r="A146" s="0" t="n">
        <v>126</v>
      </c>
      <c r="D146" s="23" t="n">
        <f aca="false">COUNTIF($C$7:$C$16,"&gt;"&amp;A146)/10</f>
        <v>0</v>
      </c>
    </row>
    <row r="147" customFormat="false" ht="15" hidden="false" customHeight="false" outlineLevel="0" collapsed="false">
      <c r="A147" s="0" t="n">
        <v>127</v>
      </c>
      <c r="D147" s="23" t="n">
        <f aca="false">COUNTIF($C$7:$C$16,"&gt;"&amp;A147)/10</f>
        <v>0</v>
      </c>
    </row>
    <row r="148" customFormat="false" ht="15" hidden="false" customHeight="false" outlineLevel="0" collapsed="false">
      <c r="A148" s="0" t="n">
        <v>128</v>
      </c>
      <c r="D148" s="23" t="n">
        <f aca="false">COUNTIF($C$7:$C$16,"&gt;"&amp;A148)/10</f>
        <v>0</v>
      </c>
    </row>
    <row r="149" customFormat="false" ht="15" hidden="false" customHeight="false" outlineLevel="0" collapsed="false">
      <c r="A149" s="0" t="n">
        <v>129</v>
      </c>
      <c r="D149" s="23" t="n">
        <f aca="false">COUNTIF($C$7:$C$16,"&gt;"&amp;A149)/10</f>
        <v>0</v>
      </c>
    </row>
    <row r="150" customFormat="false" ht="15" hidden="false" customHeight="false" outlineLevel="0" collapsed="false">
      <c r="A150" s="0" t="n">
        <v>130</v>
      </c>
      <c r="D150" s="23" t="n">
        <f aca="false">COUNTIF($C$7:$C$16,"&gt;"&amp;A150)/10</f>
        <v>0</v>
      </c>
    </row>
    <row r="151" customFormat="false" ht="15" hidden="false" customHeight="false" outlineLevel="0" collapsed="false">
      <c r="A151" s="0" t="n">
        <v>131</v>
      </c>
      <c r="D151" s="23" t="n">
        <f aca="false">COUNTIF($C$7:$C$16,"&gt;"&amp;A151)/10</f>
        <v>0</v>
      </c>
    </row>
    <row r="152" customFormat="false" ht="15" hidden="false" customHeight="false" outlineLevel="0" collapsed="false">
      <c r="A152" s="0" t="n">
        <v>132</v>
      </c>
      <c r="D152" s="23" t="n">
        <f aca="false">COUNTIF($C$7:$C$16,"&gt;"&amp;A152)/10</f>
        <v>0</v>
      </c>
    </row>
    <row r="153" customFormat="false" ht="15" hidden="false" customHeight="false" outlineLevel="0" collapsed="false">
      <c r="A153" s="0" t="n">
        <v>133</v>
      </c>
      <c r="D153" s="23" t="n">
        <f aca="false">COUNTIF($C$7:$C$16,"&gt;"&amp;A153)/10</f>
        <v>0</v>
      </c>
    </row>
    <row r="154" customFormat="false" ht="15" hidden="false" customHeight="false" outlineLevel="0" collapsed="false">
      <c r="A154" s="0" t="n">
        <v>134</v>
      </c>
      <c r="D154" s="23" t="n">
        <f aca="false">COUNTIF($C$7:$C$16,"&gt;"&amp;A154)/10</f>
        <v>0</v>
      </c>
    </row>
    <row r="155" customFormat="false" ht="15" hidden="false" customHeight="false" outlineLevel="0" collapsed="false">
      <c r="A155" s="0" t="n">
        <v>135</v>
      </c>
      <c r="D155" s="23" t="n">
        <f aca="false">COUNTIF($C$7:$C$16,"&gt;"&amp;A155)/10</f>
        <v>0</v>
      </c>
    </row>
    <row r="156" customFormat="false" ht="15" hidden="false" customHeight="false" outlineLevel="0" collapsed="false">
      <c r="A156" s="0" t="n">
        <v>136</v>
      </c>
      <c r="D156" s="23" t="n">
        <f aca="false">COUNTIF($C$7:$C$16,"&gt;"&amp;A156)/10</f>
        <v>0</v>
      </c>
    </row>
    <row r="157" customFormat="false" ht="15" hidden="false" customHeight="false" outlineLevel="0" collapsed="false">
      <c r="A157" s="0" t="n">
        <v>137</v>
      </c>
      <c r="D157" s="23" t="n">
        <f aca="false">COUNTIF($C$7:$C$16,"&gt;"&amp;A157)/10</f>
        <v>0</v>
      </c>
    </row>
    <row r="158" customFormat="false" ht="15" hidden="false" customHeight="false" outlineLevel="0" collapsed="false">
      <c r="A158" s="0" t="n">
        <v>138</v>
      </c>
      <c r="D158" s="23" t="n">
        <f aca="false">COUNTIF($C$7:$C$16,"&gt;"&amp;A158)/10</f>
        <v>0</v>
      </c>
    </row>
    <row r="159" customFormat="false" ht="15" hidden="false" customHeight="false" outlineLevel="0" collapsed="false">
      <c r="A159" s="0" t="n">
        <v>139</v>
      </c>
      <c r="D159" s="23" t="n">
        <f aca="false">COUNTIF($C$7:$C$16,"&gt;"&amp;A159)/10</f>
        <v>0</v>
      </c>
    </row>
    <row r="160" customFormat="false" ht="15" hidden="false" customHeight="false" outlineLevel="0" collapsed="false">
      <c r="A160" s="0" t="n">
        <v>140</v>
      </c>
      <c r="D160" s="23" t="n">
        <f aca="false">COUNTIF($C$7:$C$16,"&gt;"&amp;A160)/10</f>
        <v>0</v>
      </c>
    </row>
    <row r="161" customFormat="false" ht="15" hidden="false" customHeight="false" outlineLevel="0" collapsed="false">
      <c r="A161" s="0" t="n">
        <v>141</v>
      </c>
      <c r="D161" s="23" t="n">
        <f aca="false">COUNTIF($C$7:$C$16,"&gt;"&amp;A161)/10</f>
        <v>0</v>
      </c>
    </row>
    <row r="162" customFormat="false" ht="15" hidden="false" customHeight="false" outlineLevel="0" collapsed="false">
      <c r="A162" s="0" t="n">
        <v>142</v>
      </c>
      <c r="D162" s="23" t="n">
        <f aca="false">COUNTIF($C$7:$C$16,"&gt;"&amp;A162)/10</f>
        <v>0</v>
      </c>
    </row>
    <row r="163" customFormat="false" ht="15" hidden="false" customHeight="false" outlineLevel="0" collapsed="false">
      <c r="A163" s="0" t="n">
        <v>143</v>
      </c>
      <c r="D163" s="23" t="n">
        <f aca="false">COUNTIF($C$7:$C$16,"&gt;"&amp;A163)/10</f>
        <v>0</v>
      </c>
    </row>
    <row r="164" customFormat="false" ht="15" hidden="false" customHeight="false" outlineLevel="0" collapsed="false">
      <c r="A164" s="0" t="n">
        <v>144</v>
      </c>
      <c r="D164" s="23" t="n">
        <f aca="false">COUNTIF($C$7:$C$16,"&gt;"&amp;A164)/10</f>
        <v>0</v>
      </c>
    </row>
    <row r="165" customFormat="false" ht="15" hidden="false" customHeight="false" outlineLevel="0" collapsed="false">
      <c r="A165" s="0" t="n">
        <v>145</v>
      </c>
      <c r="D165" s="23" t="n">
        <f aca="false">COUNTIF($C$7:$C$16,"&gt;"&amp;A165)/10</f>
        <v>0</v>
      </c>
    </row>
    <row r="166" customFormat="false" ht="15" hidden="false" customHeight="false" outlineLevel="0" collapsed="false">
      <c r="A166" s="0" t="n">
        <v>146</v>
      </c>
      <c r="D166" s="23" t="n">
        <f aca="false">COUNTIF($C$7:$C$16,"&gt;"&amp;A166)/10</f>
        <v>0</v>
      </c>
    </row>
    <row r="167" customFormat="false" ht="15" hidden="false" customHeight="false" outlineLevel="0" collapsed="false">
      <c r="A167" s="0" t="n">
        <v>147</v>
      </c>
      <c r="D167" s="23" t="n">
        <f aca="false">COUNTIF($C$7:$C$16,"&gt;"&amp;A167)/10</f>
        <v>0</v>
      </c>
    </row>
    <row r="168" customFormat="false" ht="15" hidden="false" customHeight="false" outlineLevel="0" collapsed="false">
      <c r="A168" s="0" t="n">
        <v>148</v>
      </c>
      <c r="D168" s="23" t="n">
        <f aca="false">COUNTIF($C$7:$C$16,"&gt;"&amp;A168)/10</f>
        <v>0</v>
      </c>
    </row>
    <row r="169" customFormat="false" ht="15" hidden="false" customHeight="false" outlineLevel="0" collapsed="false">
      <c r="A169" s="0" t="n">
        <v>149</v>
      </c>
      <c r="D169" s="23" t="n">
        <f aca="false">COUNTIF($C$7:$C$16,"&gt;"&amp;A169)/10</f>
        <v>0</v>
      </c>
    </row>
    <row r="170" customFormat="false" ht="15" hidden="false" customHeight="false" outlineLevel="0" collapsed="false">
      <c r="A170" s="0" t="n">
        <v>150</v>
      </c>
      <c r="D170" s="23" t="n">
        <f aca="false">COUNTIF($C$7:$C$16,"&gt;"&amp;A170)/10</f>
        <v>0</v>
      </c>
    </row>
    <row r="171" customFormat="false" ht="15" hidden="false" customHeight="false" outlineLevel="0" collapsed="false">
      <c r="A171" s="0" t="n">
        <v>151</v>
      </c>
      <c r="D171" s="23" t="n">
        <f aca="false">COUNTIF($C$7:$C$16,"&gt;"&amp;A171)/10</f>
        <v>0</v>
      </c>
    </row>
    <row r="172" customFormat="false" ht="15" hidden="false" customHeight="false" outlineLevel="0" collapsed="false">
      <c r="A172" s="0" t="n">
        <v>152</v>
      </c>
      <c r="D172" s="23" t="n">
        <f aca="false">COUNTIF($C$7:$C$16,"&gt;"&amp;A172)/10</f>
        <v>0</v>
      </c>
    </row>
    <row r="173" customFormat="false" ht="15" hidden="false" customHeight="false" outlineLevel="0" collapsed="false">
      <c r="A173" s="0" t="n">
        <v>153</v>
      </c>
      <c r="D173" s="23" t="n">
        <f aca="false">COUNTIF($C$7:$C$16,"&gt;"&amp;A173)/10</f>
        <v>0</v>
      </c>
    </row>
    <row r="174" customFormat="false" ht="15" hidden="false" customHeight="false" outlineLevel="0" collapsed="false">
      <c r="A174" s="0" t="n">
        <v>154</v>
      </c>
      <c r="D174" s="23" t="n">
        <f aca="false">COUNTIF($C$7:$C$16,"&gt;"&amp;A174)/10</f>
        <v>0</v>
      </c>
    </row>
    <row r="175" customFormat="false" ht="15" hidden="false" customHeight="false" outlineLevel="0" collapsed="false">
      <c r="A175" s="0" t="n">
        <v>155</v>
      </c>
      <c r="D175" s="23" t="n">
        <f aca="false">COUNTIF($C$7:$C$16,"&gt;"&amp;A175)/10</f>
        <v>0</v>
      </c>
    </row>
    <row r="176" customFormat="false" ht="15" hidden="false" customHeight="false" outlineLevel="0" collapsed="false">
      <c r="A176" s="0" t="n">
        <v>156</v>
      </c>
      <c r="D176" s="23" t="n">
        <f aca="false">COUNTIF($C$7:$C$16,"&gt;"&amp;A176)/10</f>
        <v>0</v>
      </c>
    </row>
    <row r="177" customFormat="false" ht="15" hidden="false" customHeight="false" outlineLevel="0" collapsed="false">
      <c r="A177" s="0" t="n">
        <v>157</v>
      </c>
      <c r="D177" s="23" t="n">
        <f aca="false">COUNTIF($C$7:$C$16,"&gt;"&amp;A177)/10</f>
        <v>0</v>
      </c>
    </row>
    <row r="178" customFormat="false" ht="15" hidden="false" customHeight="false" outlineLevel="0" collapsed="false">
      <c r="A178" s="0" t="n">
        <v>158</v>
      </c>
      <c r="D178" s="23" t="n">
        <f aca="false">COUNTIF($C$7:$C$16,"&gt;"&amp;A178)/10</f>
        <v>0</v>
      </c>
    </row>
    <row r="179" customFormat="false" ht="15" hidden="false" customHeight="false" outlineLevel="0" collapsed="false">
      <c r="A179" s="0" t="n">
        <v>159</v>
      </c>
      <c r="D179" s="23" t="n">
        <f aca="false">COUNTIF($C$7:$C$16,"&gt;"&amp;A179)/10</f>
        <v>0</v>
      </c>
    </row>
    <row r="180" customFormat="false" ht="15" hidden="false" customHeight="false" outlineLevel="0" collapsed="false">
      <c r="A180" s="0" t="n">
        <v>160</v>
      </c>
      <c r="D180" s="23" t="n">
        <f aca="false">COUNTIF($C$7:$C$16,"&gt;"&amp;A180)/10</f>
        <v>0</v>
      </c>
    </row>
    <row r="181" customFormat="false" ht="15" hidden="false" customHeight="false" outlineLevel="0" collapsed="false">
      <c r="A181" s="0" t="n">
        <v>161</v>
      </c>
      <c r="D181" s="23" t="n">
        <f aca="false">COUNTIF($C$7:$C$16,"&gt;"&amp;A181)/10</f>
        <v>0</v>
      </c>
    </row>
    <row r="182" customFormat="false" ht="15" hidden="false" customHeight="false" outlineLevel="0" collapsed="false">
      <c r="A182" s="0" t="n">
        <v>162</v>
      </c>
      <c r="D182" s="23" t="n">
        <f aca="false">COUNTIF($C$7:$C$16,"&gt;"&amp;A182)/10</f>
        <v>0</v>
      </c>
    </row>
    <row r="183" customFormat="false" ht="15" hidden="false" customHeight="false" outlineLevel="0" collapsed="false">
      <c r="A183" s="0" t="n">
        <v>163</v>
      </c>
      <c r="D183" s="23" t="n">
        <f aca="false">COUNTIF($C$7:$C$16,"&gt;"&amp;A183)/10</f>
        <v>0</v>
      </c>
    </row>
    <row r="184" customFormat="false" ht="15" hidden="false" customHeight="false" outlineLevel="0" collapsed="false">
      <c r="A184" s="0" t="n">
        <v>164</v>
      </c>
      <c r="D184" s="23" t="n">
        <f aca="false">COUNTIF($C$7:$C$16,"&gt;"&amp;A184)/10</f>
        <v>0</v>
      </c>
    </row>
    <row r="185" customFormat="false" ht="15" hidden="false" customHeight="false" outlineLevel="0" collapsed="false">
      <c r="A185" s="0" t="n">
        <v>165</v>
      </c>
      <c r="D185" s="23" t="n">
        <f aca="false">COUNTIF($C$7:$C$16,"&gt;"&amp;A185)/10</f>
        <v>0</v>
      </c>
    </row>
    <row r="186" customFormat="false" ht="15" hidden="false" customHeight="false" outlineLevel="0" collapsed="false">
      <c r="A186" s="0" t="n">
        <v>166</v>
      </c>
      <c r="D186" s="23" t="n">
        <f aca="false">COUNTIF($C$7:$C$16,"&gt;"&amp;A186)/10</f>
        <v>0</v>
      </c>
    </row>
    <row r="187" customFormat="false" ht="15" hidden="false" customHeight="false" outlineLevel="0" collapsed="false">
      <c r="A187" s="0" t="n">
        <v>167</v>
      </c>
      <c r="D187" s="23" t="n">
        <f aca="false">COUNTIF($C$7:$C$16,"&gt;"&amp;A187)/10</f>
        <v>0</v>
      </c>
    </row>
    <row r="188" customFormat="false" ht="15" hidden="false" customHeight="false" outlineLevel="0" collapsed="false">
      <c r="A188" s="0" t="n">
        <v>168</v>
      </c>
      <c r="D188" s="23" t="n">
        <f aca="false">COUNTIF($C$7:$C$16,"&gt;"&amp;A188)/10</f>
        <v>0</v>
      </c>
    </row>
    <row r="189" customFormat="false" ht="15" hidden="false" customHeight="false" outlineLevel="0" collapsed="false">
      <c r="A189" s="0" t="n">
        <v>169</v>
      </c>
      <c r="D189" s="23" t="n">
        <f aca="false">COUNTIF($C$7:$C$16,"&gt;"&amp;A189)/10</f>
        <v>0</v>
      </c>
    </row>
    <row r="190" customFormat="false" ht="15" hidden="false" customHeight="false" outlineLevel="0" collapsed="false">
      <c r="A190" s="0" t="n">
        <v>170</v>
      </c>
      <c r="D190" s="23" t="n">
        <f aca="false">COUNTIF($C$7:$C$16,"&gt;"&amp;A190)/10</f>
        <v>0</v>
      </c>
    </row>
    <row r="191" customFormat="false" ht="15" hidden="false" customHeight="false" outlineLevel="0" collapsed="false">
      <c r="A191" s="0" t="n">
        <v>171</v>
      </c>
      <c r="D191" s="23" t="n">
        <f aca="false">COUNTIF($C$7:$C$16,"&gt;"&amp;A191)/10</f>
        <v>0</v>
      </c>
    </row>
    <row r="192" customFormat="false" ht="15" hidden="false" customHeight="false" outlineLevel="0" collapsed="false">
      <c r="A192" s="0" t="n">
        <v>172</v>
      </c>
      <c r="D192" s="23" t="n">
        <f aca="false">COUNTIF($C$7:$C$16,"&gt;"&amp;A192)/10</f>
        <v>0</v>
      </c>
    </row>
    <row r="193" customFormat="false" ht="15" hidden="false" customHeight="false" outlineLevel="0" collapsed="false">
      <c r="A193" s="0" t="n">
        <v>173</v>
      </c>
      <c r="D193" s="23" t="n">
        <f aca="false">COUNTIF($C$7:$C$16,"&gt;"&amp;A193)/10</f>
        <v>0</v>
      </c>
    </row>
    <row r="194" customFormat="false" ht="15" hidden="false" customHeight="false" outlineLevel="0" collapsed="false">
      <c r="A194" s="0" t="n">
        <v>174</v>
      </c>
      <c r="D194" s="23" t="n">
        <f aca="false">COUNTIF($C$7:$C$16,"&gt;"&amp;A194)/10</f>
        <v>0</v>
      </c>
    </row>
    <row r="195" customFormat="false" ht="15" hidden="false" customHeight="false" outlineLevel="0" collapsed="false">
      <c r="A195" s="0" t="n">
        <v>175</v>
      </c>
      <c r="D195" s="23" t="n">
        <f aca="false">COUNTIF($C$7:$C$16,"&gt;"&amp;A195)/10</f>
        <v>0</v>
      </c>
    </row>
    <row r="196" customFormat="false" ht="15" hidden="false" customHeight="false" outlineLevel="0" collapsed="false">
      <c r="A196" s="0" t="n">
        <v>176</v>
      </c>
      <c r="D196" s="23" t="n">
        <f aca="false">COUNTIF($C$7:$C$16,"&gt;"&amp;A196)/10</f>
        <v>0</v>
      </c>
    </row>
    <row r="197" customFormat="false" ht="15" hidden="false" customHeight="false" outlineLevel="0" collapsed="false">
      <c r="A197" s="0" t="n">
        <v>177</v>
      </c>
      <c r="D197" s="23" t="n">
        <f aca="false">COUNTIF($C$7:$C$16,"&gt;"&amp;A197)/10</f>
        <v>0</v>
      </c>
    </row>
    <row r="198" customFormat="false" ht="15" hidden="false" customHeight="false" outlineLevel="0" collapsed="false">
      <c r="A198" s="0" t="n">
        <v>178</v>
      </c>
      <c r="D198" s="23" t="n">
        <f aca="false">COUNTIF($C$7:$C$16,"&gt;"&amp;A198)/10</f>
        <v>0</v>
      </c>
    </row>
    <row r="199" customFormat="false" ht="15" hidden="false" customHeight="false" outlineLevel="0" collapsed="false">
      <c r="A199" s="0" t="n">
        <v>179</v>
      </c>
      <c r="D199" s="23" t="n">
        <f aca="false">COUNTIF($C$7:$C$16,"&gt;"&amp;A199)/10</f>
        <v>0</v>
      </c>
    </row>
    <row r="200" customFormat="false" ht="15" hidden="false" customHeight="false" outlineLevel="0" collapsed="false">
      <c r="A200" s="0" t="n">
        <v>180</v>
      </c>
      <c r="D200" s="23" t="n">
        <f aca="false">COUNTIF($C$7:$C$16,"&gt;"&amp;A200)/10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3" min="3" style="0" width="52"/>
  </cols>
  <sheetData>
    <row r="1" customFormat="false" ht="16.15" hidden="false" customHeight="false" outlineLevel="0" collapsed="false">
      <c r="A1" s="6" t="s">
        <v>159</v>
      </c>
    </row>
    <row r="2" customFormat="false" ht="15" hidden="false" customHeight="false" outlineLevel="0" collapsed="false">
      <c r="A2" s="7" t="s">
        <v>160</v>
      </c>
    </row>
    <row r="5" customFormat="false" ht="15" hidden="false" customHeight="false" outlineLevel="0" collapsed="false">
      <c r="A5" s="3" t="s">
        <v>161</v>
      </c>
    </row>
    <row r="6" customFormat="false" ht="15" hidden="false" customHeight="false" outlineLevel="0" collapsed="false">
      <c r="A6" s="0" t="s">
        <v>162</v>
      </c>
      <c r="B6" s="25" t="n">
        <f aca="false">Residents!$B$193*Inputs!$B$15+(1-Residents!$B$193)*(Inputs!$B$16+Inputs!$B$18*Inputs!$B$17)</f>
        <v>1508.42065872642</v>
      </c>
      <c r="C6" s="26" t="s">
        <v>163</v>
      </c>
    </row>
    <row r="7" customFormat="false" ht="15" hidden="false" customHeight="false" outlineLevel="0" collapsed="false">
      <c r="A7" s="0" t="s">
        <v>164</v>
      </c>
      <c r="B7" s="25" t="n">
        <f aca="false">$B$6*Residents!$B$189*Inputs!$B$75</f>
        <v>4933314.29452677</v>
      </c>
      <c r="C7" s="26" t="s">
        <v>165</v>
      </c>
    </row>
    <row r="9" customFormat="false" ht="15" hidden="false" customHeight="false" outlineLevel="0" collapsed="false">
      <c r="A9" s="3" t="s">
        <v>166</v>
      </c>
    </row>
    <row r="10" customFormat="false" ht="15" hidden="false" customHeight="false" outlineLevel="0" collapsed="false">
      <c r="A10" s="0" t="s">
        <v>167</v>
      </c>
      <c r="B10" s="27" t="n">
        <f aca="false">Residents!$B$189*Inputs!$B$24*Inputs!$B$74</f>
        <v>104165.942949456</v>
      </c>
      <c r="C10" s="26" t="s">
        <v>168</v>
      </c>
    </row>
    <row r="11" customFormat="false" ht="22.35" hidden="false" customHeight="false" outlineLevel="0" collapsed="false">
      <c r="A11" s="0" t="s">
        <v>169</v>
      </c>
      <c r="B11" s="27" t="n">
        <f aca="false">Inputs!$B$28*(Inputs!$B$75-Inputs!$B$29-Inputs!$B$30)</f>
        <v>1694.19642857143</v>
      </c>
      <c r="C11" s="26" t="s">
        <v>170</v>
      </c>
    </row>
    <row r="12" customFormat="false" ht="15" hidden="false" customHeight="false" outlineLevel="0" collapsed="false">
      <c r="A12" s="0" t="s">
        <v>171</v>
      </c>
      <c r="B12" s="24" t="n">
        <f aca="false">$B$10/$B$11</f>
        <v>61.4839821361743</v>
      </c>
    </row>
    <row r="13" customFormat="false" ht="22.35" hidden="false" customHeight="false" outlineLevel="0" collapsed="false">
      <c r="A13" s="0" t="s">
        <v>172</v>
      </c>
      <c r="B13" s="25" t="n">
        <f aca="false">$B$12*(1-Inputs!$B$39)*Inputs!$B$28*Inputs!$B$75*((Inputs!$B$25/Inputs!$B$24)*Inputs!$B$27+(1-(Inputs!$B$25/Inputs!$B$24))*Inputs!$B$26)</f>
        <v>1753691.81338159</v>
      </c>
      <c r="C13" s="26" t="s">
        <v>173</v>
      </c>
    </row>
    <row r="14" customFormat="false" ht="15" hidden="false" customHeight="false" outlineLevel="0" collapsed="false">
      <c r="A14" s="0" t="s">
        <v>174</v>
      </c>
      <c r="B14" s="25" t="n">
        <f aca="false">Inputs!$B$42</f>
        <v>567500</v>
      </c>
      <c r="C14" s="26" t="s">
        <v>73</v>
      </c>
    </row>
    <row r="15" customFormat="false" ht="15" hidden="false" customHeight="false" outlineLevel="0" collapsed="false">
      <c r="A15" s="0" t="s">
        <v>175</v>
      </c>
      <c r="B15" s="25" t="n">
        <f aca="false">$B$13+$B$14</f>
        <v>2321191.81338159</v>
      </c>
    </row>
    <row r="16" customFormat="false" ht="15" hidden="false" customHeight="false" outlineLevel="0" collapsed="false">
      <c r="A16" s="0" t="s">
        <v>176</v>
      </c>
      <c r="B16" s="24" t="n">
        <f aca="false">($B$12*(1-Inputs!$B$39)+Inputs!$B$43)*Inputs!$B$31</f>
        <v>114.763493213383</v>
      </c>
      <c r="C16" s="26" t="s">
        <v>177</v>
      </c>
    </row>
    <row r="17" customFormat="false" ht="22.35" hidden="false" customHeight="false" outlineLevel="0" collapsed="false">
      <c r="A17" s="0" t="s">
        <v>178</v>
      </c>
      <c r="B17" s="25" t="n">
        <f aca="false">MAX(0,$B$16*(Inputs!$B$32*MAX(0,$B$15/$B$16-Inputs!$B$33)+IF($B$15/$B$16&gt;=Inputs!$B$37,(1-Inputs!$B$38)*Inputs!$B$35*MAX(0,$B$15/$B$16-Inputs!$B$36),0))-Inputs!$B$34)</f>
        <v>294942.977721913</v>
      </c>
      <c r="C17" s="26" t="s">
        <v>179</v>
      </c>
    </row>
    <row r="18" customFormat="false" ht="15" hidden="false" customHeight="false" outlineLevel="0" collapsed="false">
      <c r="A18" s="0" t="s">
        <v>180</v>
      </c>
      <c r="B18" s="25" t="n">
        <f aca="false">$B$10*Inputs!$B$39*((Inputs!$B$25/Inputs!$B$24)*Inputs!$B$27+(1-(Inputs!$B$25/Inputs!$B$24))*Inputs!$B$26)*Inputs!$B$40</f>
        <v>76548.4164793107</v>
      </c>
      <c r="C18" s="26" t="s">
        <v>181</v>
      </c>
    </row>
    <row r="19" customFormat="false" ht="15" hidden="false" customHeight="false" outlineLevel="0" collapsed="false">
      <c r="A19" s="0" t="s">
        <v>182</v>
      </c>
      <c r="B19" s="25" t="n">
        <f aca="false">Inputs!$B$41*$B$15</f>
        <v>60350.9871479212</v>
      </c>
    </row>
    <row r="20" customFormat="false" ht="15" hidden="false" customHeight="false" outlineLevel="0" collapsed="false">
      <c r="A20" s="0" t="s">
        <v>183</v>
      </c>
      <c r="B20" s="25" t="n">
        <f aca="false">$B$15+$B$17+$B$18+$B$19</f>
        <v>2753034.19473073</v>
      </c>
    </row>
    <row r="21" customFormat="false" ht="15" hidden="false" customHeight="false" outlineLevel="0" collapsed="false">
      <c r="A21" s="0" t="s">
        <v>184</v>
      </c>
      <c r="B21" s="23" t="n">
        <f aca="false">$B$20/$B$7</f>
        <v>0.558049625539785</v>
      </c>
    </row>
    <row r="23" customFormat="false" ht="15" hidden="false" customHeight="false" outlineLevel="0" collapsed="false">
      <c r="A23" s="3" t="s">
        <v>185</v>
      </c>
    </row>
    <row r="24" customFormat="false" ht="15" hidden="false" customHeight="false" outlineLevel="0" collapsed="false">
      <c r="A24" s="0" t="s">
        <v>76</v>
      </c>
      <c r="B24" s="25" t="n">
        <f aca="false">Inputs!$B$46*Inputs!$B$7</f>
        <v>309890</v>
      </c>
      <c r="C24" s="26" t="s">
        <v>186</v>
      </c>
    </row>
    <row r="25" customFormat="false" ht="15" hidden="false" customHeight="false" outlineLevel="0" collapsed="false">
      <c r="A25" s="0" t="s">
        <v>77</v>
      </c>
      <c r="B25" s="25" t="n">
        <f aca="false">Inputs!$B$47*Inputs!$B$7</f>
        <v>156100</v>
      </c>
    </row>
    <row r="26" customFormat="false" ht="15" hidden="false" customHeight="false" outlineLevel="0" collapsed="false">
      <c r="A26" s="0" t="s">
        <v>78</v>
      </c>
      <c r="B26" s="25" t="n">
        <f aca="false">Inputs!$B$48*Inputs!$B$7</f>
        <v>185500</v>
      </c>
    </row>
    <row r="28" customFormat="false" ht="15" hidden="false" customHeight="false" outlineLevel="0" collapsed="false">
      <c r="A28" s="3" t="s">
        <v>187</v>
      </c>
    </row>
    <row r="29" customFormat="false" ht="15" hidden="false" customHeight="false" outlineLevel="0" collapsed="false">
      <c r="A29" s="0" t="s">
        <v>188</v>
      </c>
      <c r="B29" s="25" t="n">
        <f aca="false">$B$7-$B$20-$B$24-$B$25-$B$26</f>
        <v>1528790.09979604</v>
      </c>
      <c r="C29" s="26" t="s">
        <v>189</v>
      </c>
    </row>
    <row r="30" customFormat="false" ht="15" hidden="false" customHeight="false" outlineLevel="0" collapsed="false">
      <c r="A30" s="0" t="s">
        <v>190</v>
      </c>
      <c r="B30" s="23" t="n">
        <f aca="false">$B$29/$B$7</f>
        <v>0.309891081030889</v>
      </c>
    </row>
    <row r="31" customFormat="false" ht="15" hidden="false" customHeight="false" outlineLevel="0" collapsed="false">
      <c r="A31" s="0" t="s">
        <v>191</v>
      </c>
      <c r="B31" s="25" t="n">
        <f aca="false">Inputs!$B$51*$B$7</f>
        <v>246665.714726338</v>
      </c>
    </row>
    <row r="32" customFormat="false" ht="15" hidden="false" customHeight="false" outlineLevel="0" collapsed="false">
      <c r="A32" s="0" t="s">
        <v>192</v>
      </c>
      <c r="B32" s="25" t="n">
        <f aca="false">$B$29-$B$31</f>
        <v>1282124.3850697</v>
      </c>
    </row>
    <row r="33" customFormat="false" ht="15" hidden="false" customHeight="false" outlineLevel="0" collapsed="false">
      <c r="A33" s="0" t="s">
        <v>193</v>
      </c>
      <c r="B33" s="25" t="n">
        <f aca="false">$B$29/Inputs!$B$52</f>
        <v>849327.83322002</v>
      </c>
      <c r="C33" s="26" t="s">
        <v>194</v>
      </c>
    </row>
    <row r="34" customFormat="false" ht="15" hidden="false" customHeight="false" outlineLevel="0" collapsed="false">
      <c r="A34" s="0" t="s">
        <v>195</v>
      </c>
      <c r="B34" s="25" t="n">
        <f aca="false">$B$32-$B$33</f>
        <v>432796.551849678</v>
      </c>
    </row>
    <row r="35" customFormat="false" ht="15" hidden="false" customHeight="false" outlineLevel="0" collapsed="false">
      <c r="A35" s="0" t="s">
        <v>196</v>
      </c>
      <c r="B35" s="16" t="n">
        <f aca="false">$B$29/$B$33</f>
        <v>1.8</v>
      </c>
      <c r="C35" s="26" t="s">
        <v>197</v>
      </c>
    </row>
    <row r="36" customFormat="false" ht="15" hidden="false" customHeight="false" outlineLevel="0" collapsed="false">
      <c r="A36" s="0" t="s">
        <v>198</v>
      </c>
      <c r="B36" s="16" t="n">
        <f aca="false">$B$32/$B$33</f>
        <v>1.50957537822449</v>
      </c>
      <c r="C36" s="26" t="s">
        <v>199</v>
      </c>
    </row>
    <row r="38" customFormat="false" ht="15" hidden="false" customHeight="false" outlineLevel="0" collapsed="false">
      <c r="A38" s="3" t="s">
        <v>200</v>
      </c>
    </row>
    <row r="39" customFormat="false" ht="15" hidden="false" customHeight="false" outlineLevel="0" collapsed="false">
      <c r="A39" s="0" t="s">
        <v>201</v>
      </c>
      <c r="B39" s="25" t="n">
        <f aca="false">Inputs!$B$53*$B$29</f>
        <v>16816691.0977564</v>
      </c>
    </row>
    <row r="40" customFormat="false" ht="15" hidden="false" customHeight="false" outlineLevel="0" collapsed="false">
      <c r="A40" s="0" t="s">
        <v>202</v>
      </c>
      <c r="B40" s="25" t="n">
        <f aca="false">$B$33/Inputs!$B$54</f>
        <v>14155463.8870003</v>
      </c>
    </row>
    <row r="41" customFormat="false" ht="22.35" hidden="false" customHeight="false" outlineLevel="0" collapsed="false">
      <c r="A41" s="0" t="s">
        <v>203</v>
      </c>
      <c r="B41" s="16" t="n">
        <f aca="false">1/(Inputs!$B$53*Inputs!$B$54)</f>
        <v>1.51515151515152</v>
      </c>
      <c r="C41" s="26" t="s">
        <v>204</v>
      </c>
    </row>
    <row r="42" customFormat="false" ht="15" hidden="false" customHeight="false" outlineLevel="0" collapsed="false">
      <c r="A42" s="0" t="s">
        <v>205</v>
      </c>
      <c r="B42" s="25" t="n">
        <f aca="false">$B$39-$B$40</f>
        <v>2661227.21075606</v>
      </c>
    </row>
    <row r="43" customFormat="false" ht="15" hidden="false" customHeight="false" outlineLevel="0" collapsed="false">
      <c r="A43" s="0" t="s">
        <v>206</v>
      </c>
      <c r="B43" s="25" t="n">
        <f aca="false">$B$39/Inputs!$B$7</f>
        <v>240238.444253663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5" min="2" style="0" width="14"/>
    <col collapsed="false" customWidth="true" hidden="false" outlineLevel="0" max="6" min="6" style="0" width="10"/>
    <col collapsed="false" customWidth="true" hidden="false" outlineLevel="0" max="7" min="7" style="0" width="14"/>
    <col collapsed="false" customWidth="true" hidden="false" outlineLevel="0" max="8" min="8" style="0" width="9"/>
    <col collapsed="false" customWidth="true" hidden="false" outlineLevel="0" max="9" min="9" style="0" width="15"/>
    <col collapsed="false" customWidth="true" hidden="false" outlineLevel="0" max="10" min="10" style="0" width="14"/>
  </cols>
  <sheetData>
    <row r="1" customFormat="false" ht="16.15" hidden="false" customHeight="false" outlineLevel="0" collapsed="false">
      <c r="A1" s="6" t="s">
        <v>207</v>
      </c>
    </row>
    <row r="2" customFormat="false" ht="189.55" hidden="false" customHeight="false" outlineLevel="0" collapsed="false">
      <c r="A2" s="7" t="s">
        <v>208</v>
      </c>
    </row>
    <row r="3" customFormat="false" ht="15" hidden="false" customHeight="false" outlineLevel="0" collapsed="false">
      <c r="A3" s="2" t="s">
        <v>209</v>
      </c>
    </row>
    <row r="4" customFormat="false" ht="28.35" hidden="false" customHeight="false" outlineLevel="0" collapsed="false">
      <c r="A4" s="8" t="s">
        <v>210</v>
      </c>
      <c r="B4" s="8" t="s">
        <v>164</v>
      </c>
      <c r="C4" s="8" t="s">
        <v>47</v>
      </c>
      <c r="D4" s="8" t="s">
        <v>211</v>
      </c>
      <c r="E4" s="8" t="s">
        <v>188</v>
      </c>
      <c r="F4" s="8" t="s">
        <v>212</v>
      </c>
      <c r="G4" s="8" t="s">
        <v>193</v>
      </c>
      <c r="H4" s="8" t="s">
        <v>213</v>
      </c>
      <c r="I4" s="8" t="s">
        <v>214</v>
      </c>
      <c r="J4" s="8" t="s">
        <v>139</v>
      </c>
    </row>
    <row r="5" customFormat="false" ht="15" hidden="false" customHeight="false" outlineLevel="0" collapsed="false">
      <c r="A5" s="0" t="n">
        <v>2026</v>
      </c>
      <c r="B5" s="25" t="n">
        <f aca="false">Residents!$B$189*Inputs!$B$75*(J5*Inputs!$B$15*(1+Inputs!$B$58)^(A5-2026)+(1-J5)*(Inputs!$B$16*(1+Inputs!$B$59)^(A5-2026)+Inputs!$B$18*Inputs!$B$17*(1+Inputs!$B$60)^(A5-2026)))</f>
        <v>4933314.29452677</v>
      </c>
      <c r="C5" s="25" t="n">
        <f aca="false">Result!$B$20*(1+Inputs!$B$61)^(A5-2026)</f>
        <v>2753034.19473073</v>
      </c>
      <c r="D5" s="25" t="n">
        <f aca="false">(Result!$B$24+Result!$B$25+Result!$B$26)*(1+Inputs!$B$62)^(A5-2026)</f>
        <v>651490</v>
      </c>
      <c r="E5" s="25" t="n">
        <f aca="false">B5-C5-D5</f>
        <v>1528790.09979604</v>
      </c>
      <c r="F5" s="23" t="n">
        <f aca="false">E5/B5</f>
        <v>0.309891081030889</v>
      </c>
      <c r="G5" s="25" t="n">
        <f aca="false">Result!$B$33*(1+Inputs!$B$63)^(A5-2026)</f>
        <v>849327.83322002</v>
      </c>
      <c r="H5" s="16" t="n">
        <f aca="false">E5/G5</f>
        <v>1.8</v>
      </c>
      <c r="I5" s="25" t="n">
        <f aca="false">E5-Inputs!$B$51*B5-G5</f>
        <v>432796.551849678</v>
      </c>
      <c r="J5" s="23" t="n">
        <f aca="false">K5*Inputs!$B$19</f>
        <v>0.364308569105298</v>
      </c>
      <c r="K5" s="23" t="n">
        <f aca="false">(IF(L5&lt;=0,0,INDEX(Residents!$J$5:$J$185,MIN(181,ROUNDUP(L5,0))))+IF(M5&lt;=0,0,INDEX(Residents!$J$5:$J$185,MIN(181,ROUNDUP(M5,0))))+IF(N5&lt;=0,0,INDEX(Residents!$J$5:$J$185,MIN(181,ROUNDUP(N5,0))))+IF(O5&lt;=0,0,INDEX(Residents!$J$5:$J$185,MIN(181,ROUNDUP(O5,0))))+IF(P5&lt;=0,0,INDEX(Residents!$J$5:$J$185,MIN(181,ROUNDUP(P5,0))))+IF(Q5&lt;=0,0,INDEX(Residents!$J$5:$J$185,MIN(181,ROUNDUP(Q5,0))))+IF(R5&lt;=0,0,INDEX(Residents!$J$5:$J$185,MIN(181,ROUNDUP(R5,0))))+IF(S5&lt;=0,0,INDEX(Residents!$J$5:$J$185,MIN(181,ROUNDUP(S5,0))))+IF(T5&lt;=0,0,INDEX(Residents!$J$5:$J$185,MIN(181,ROUNDUP(T5,0))))+IF(U5&lt;=0,0,INDEX(Residents!$J$5:$J$185,MIN(181,ROUNDUP(U5,0)))))/10/Residents!$J$185</f>
        <v>0.662379216555087</v>
      </c>
      <c r="L5" s="24" t="n">
        <f aca="false">IF(Payor!$B$7*(1+Inputs!$B$64)^(A5-2026)&lt;=Inputs!$B$20,0,(Payor!$B$7*(1+Inputs!$B$64)^(A5-2026)-Inputs!$B$20)/((Inputs!$B$15*(1+Inputs!$B$58)^(A5-2026)-Inputs!$B$21*(1+Inputs!$B$65)^(A5-2026))*Inputs!$B$76))</f>
        <v>4.43993119067679</v>
      </c>
      <c r="M5" s="24" t="n">
        <f aca="false">IF(Payor!$B$8*(1+Inputs!$B$64)^(A5-2026)&lt;=Inputs!$B$20,0,(Payor!$B$8*(1+Inputs!$B$64)^(A5-2026)-Inputs!$B$20)/((Inputs!$B$15*(1+Inputs!$B$58)^(A5-2026)-Inputs!$B$21*(1+Inputs!$B$65)^(A5-2026))*Inputs!$B$76))</f>
        <v>9.46288364881618</v>
      </c>
      <c r="N5" s="24" t="n">
        <f aca="false">IF(Payor!$B$9*(1+Inputs!$B$64)^(A5-2026)&lt;=Inputs!$B$20,0,(Payor!$B$9*(1+Inputs!$B$64)^(A5-2026)-Inputs!$B$20)/((Inputs!$B$15*(1+Inputs!$B$58)^(A5-2026)-Inputs!$B$21*(1+Inputs!$B$65)^(A5-2026))*Inputs!$B$76))</f>
        <v>14.6652272661748</v>
      </c>
      <c r="O5" s="24" t="n">
        <f aca="false">IF(Payor!$B$10*(1+Inputs!$B$64)^(A5-2026)&lt;=Inputs!$B$20,0,(Payor!$B$10*(1+Inputs!$B$64)^(A5-2026)-Inputs!$B$20)/((Inputs!$B$15*(1+Inputs!$B$58)^(A5-2026)-Inputs!$B$21*(1+Inputs!$B$65)^(A5-2026))*Inputs!$B$76))</f>
        <v>20.5851355204106</v>
      </c>
      <c r="P5" s="24" t="n">
        <f aca="false">IF(Payor!$B$11*(1+Inputs!$B$64)^(A5-2026)&lt;=Inputs!$B$20,0,(Payor!$B$11*(1+Inputs!$B$64)^(A5-2026)-Inputs!$B$20)/((Inputs!$B$15*(1+Inputs!$B$58)^(A5-2026)-Inputs!$B$21*(1+Inputs!$B$65)^(A5-2026))*Inputs!$B$76))</f>
        <v>26.6844349338655</v>
      </c>
      <c r="Q5" s="24" t="n">
        <f aca="false">IF(Payor!$B$12*(1+Inputs!$B$64)^(A5-2026)&lt;=Inputs!$B$20,0,(Payor!$B$12*(1+Inputs!$B$64)^(A5-2026)-Inputs!$B$20)/((Inputs!$B$15*(1+Inputs!$B$58)^(A5-2026)-Inputs!$B$21*(1+Inputs!$B$65)^(A5-2026))*Inputs!$B$76))</f>
        <v>33.5012989841976</v>
      </c>
      <c r="R5" s="24" t="n">
        <f aca="false">IF(Payor!$B$13*(1+Inputs!$B$64)^(A5-2026)&lt;=Inputs!$B$20,0,(Payor!$B$13*(1+Inputs!$B$64)^(A5-2026)-Inputs!$B$20)/((Inputs!$B$15*(1+Inputs!$B$58)^(A5-2026)-Inputs!$B$21*(1+Inputs!$B$65)^(A5-2026))*Inputs!$B$76))</f>
        <v>41.5739011490645</v>
      </c>
      <c r="S5" s="24" t="n">
        <f aca="false">IF(Payor!$B$14*(1+Inputs!$B$64)^(A5-2026)&lt;=Inputs!$B$20,0,(Payor!$B$14*(1+Inputs!$B$64)^(A5-2026)-Inputs!$B$20)/((Inputs!$B$15*(1+Inputs!$B$58)^(A5-2026)-Inputs!$B$21*(1+Inputs!$B$65)^(A5-2026))*Inputs!$B$76))</f>
        <v>51.7991972245625</v>
      </c>
      <c r="T5" s="24" t="n">
        <f aca="false">IF(Payor!$B$15*(1+Inputs!$B$64)^(A5-2026)&lt;=Inputs!$B$20,0,(Payor!$B$15*(1+Inputs!$B$64)^(A5-2026)-Inputs!$B$20)/((Inputs!$B$15*(1+Inputs!$B$58)^(A5-2026)-Inputs!$B$21*(1+Inputs!$B$65)^(A5-2026))*Inputs!$B$76))</f>
        <v>67.5856192358577</v>
      </c>
      <c r="U5" s="24" t="n">
        <f aca="false">IF(Payor!$B$16*(1+Inputs!$B$64)^(A5-2026)&lt;=Inputs!$B$20,0,(Payor!$B$16*(1+Inputs!$B$64)^(A5-2026)-Inputs!$B$20)/((Inputs!$B$15*(1+Inputs!$B$58)^(A5-2026)-Inputs!$B$21*(1+Inputs!$B$65)^(A5-2026))*Inputs!$B$76))</f>
        <v>107.051674264096</v>
      </c>
    </row>
    <row r="6" customFormat="false" ht="15" hidden="false" customHeight="false" outlineLevel="0" collapsed="false">
      <c r="A6" s="0" t="n">
        <v>2027</v>
      </c>
      <c r="B6" s="25" t="n">
        <f aca="false">Residents!$B$189*Inputs!$B$75*(J6*Inputs!$B$15*(1+Inputs!$B$58)^(A6-2026)+(1-J6)*(Inputs!$B$16*(1+Inputs!$B$59)^(A6-2026)+Inputs!$B$18*Inputs!$B$17*(1+Inputs!$B$60)^(A6-2026)))</f>
        <v>5118664.71484108</v>
      </c>
      <c r="C6" s="25" t="n">
        <f aca="false">Result!$B$20*(1+Inputs!$B$61)^(A6-2026)</f>
        <v>2868661.63090942</v>
      </c>
      <c r="D6" s="25" t="n">
        <f aca="false">(Result!$B$24+Result!$B$25+Result!$B$26)*(1+Inputs!$B$62)^(A6-2026)</f>
        <v>671034.7</v>
      </c>
      <c r="E6" s="25" t="n">
        <f aca="false">B6-C6-D6</f>
        <v>1578968.38393166</v>
      </c>
      <c r="F6" s="23" t="n">
        <f aca="false">E6/B6</f>
        <v>0.308472711516656</v>
      </c>
      <c r="G6" s="25" t="n">
        <f aca="false">Result!$B$33*(1+Inputs!$B$63)^(A6-2026)</f>
        <v>873109.012550181</v>
      </c>
      <c r="H6" s="16" t="n">
        <f aca="false">E6/G6</f>
        <v>1.80844357489771</v>
      </c>
      <c r="I6" s="25" t="n">
        <f aca="false">E6-Inputs!$B$51*B6-G6</f>
        <v>449926.135639427</v>
      </c>
      <c r="J6" s="23" t="n">
        <f aca="false">K6*Inputs!$B$19</f>
        <v>0.364110057126857</v>
      </c>
      <c r="K6" s="23" t="n">
        <f aca="false">(IF(L6&lt;=0,0,INDEX(Residents!$J$5:$J$185,MIN(181,ROUNDUP(L6,0))))+IF(M6&lt;=0,0,INDEX(Residents!$J$5:$J$185,MIN(181,ROUNDUP(M6,0))))+IF(N6&lt;=0,0,INDEX(Residents!$J$5:$J$185,MIN(181,ROUNDUP(N6,0))))+IF(O6&lt;=0,0,INDEX(Residents!$J$5:$J$185,MIN(181,ROUNDUP(O6,0))))+IF(P6&lt;=0,0,INDEX(Residents!$J$5:$J$185,MIN(181,ROUNDUP(P6,0))))+IF(Q6&lt;=0,0,INDEX(Residents!$J$5:$J$185,MIN(181,ROUNDUP(Q6,0))))+IF(R6&lt;=0,0,INDEX(Residents!$J$5:$J$185,MIN(181,ROUNDUP(R6,0))))+IF(S6&lt;=0,0,INDEX(Residents!$J$5:$J$185,MIN(181,ROUNDUP(S6,0))))+IF(T6&lt;=0,0,INDEX(Residents!$J$5:$J$185,MIN(181,ROUNDUP(T6,0))))+IF(U6&lt;=0,0,INDEX(Residents!$J$5:$J$185,MIN(181,ROUNDUP(U6,0)))))/10/Residents!$J$185</f>
        <v>0.662018285685194</v>
      </c>
      <c r="L6" s="24" t="n">
        <f aca="false">IF(Payor!$B$7*(1+Inputs!$B$64)^(A6-2026)&lt;=Inputs!$B$20,0,(Payor!$B$7*(1+Inputs!$B$64)^(A6-2026)-Inputs!$B$20)/((Inputs!$B$15*(1+Inputs!$B$58)^(A6-2026)-Inputs!$B$21*(1+Inputs!$B$65)^(A6-2026))*Inputs!$B$76))</f>
        <v>4.52271514338033</v>
      </c>
      <c r="M6" s="24" t="n">
        <f aca="false">IF(Payor!$B$8*(1+Inputs!$B$64)^(A6-2026)&lt;=Inputs!$B$20,0,(Payor!$B$8*(1+Inputs!$B$64)^(A6-2026)-Inputs!$B$20)/((Inputs!$B$15*(1+Inputs!$B$58)^(A6-2026)-Inputs!$B$21*(1+Inputs!$B$65)^(A6-2026))*Inputs!$B$76))</f>
        <v>9.48178759344322</v>
      </c>
      <c r="N6" s="24" t="n">
        <f aca="false">IF(Payor!$B$9*(1+Inputs!$B$64)^(A6-2026)&lt;=Inputs!$B$20,0,(Payor!$B$9*(1+Inputs!$B$64)^(A6-2026)-Inputs!$B$20)/((Inputs!$B$15*(1+Inputs!$B$58)^(A6-2026)-Inputs!$B$21*(1+Inputs!$B$65)^(A6-2026))*Inputs!$B$76))</f>
        <v>14.6179697738655</v>
      </c>
      <c r="O6" s="24" t="n">
        <f aca="false">IF(Payor!$B$10*(1+Inputs!$B$64)^(A6-2026)&lt;=Inputs!$B$20,0,(Payor!$B$10*(1+Inputs!$B$64)^(A6-2026)-Inputs!$B$20)/((Inputs!$B$15*(1+Inputs!$B$58)^(A6-2026)-Inputs!$B$21*(1+Inputs!$B$65)^(A6-2026))*Inputs!$B$76))</f>
        <v>20.4625908757253</v>
      </c>
      <c r="P6" s="24" t="n">
        <f aca="false">IF(Payor!$B$11*(1+Inputs!$B$64)^(A6-2026)&lt;=Inputs!$B$20,0,(Payor!$B$11*(1+Inputs!$B$64)^(A6-2026)-Inputs!$B$20)/((Inputs!$B$15*(1+Inputs!$B$58)^(A6-2026)-Inputs!$B$21*(1+Inputs!$B$65)^(A6-2026))*Inputs!$B$76))</f>
        <v>26.4843217079446</v>
      </c>
      <c r="Q6" s="24" t="n">
        <f aca="false">IF(Payor!$B$12*(1+Inputs!$B$64)^(A6-2026)&lt;=Inputs!$B$20,0,(Payor!$B$12*(1+Inputs!$B$64)^(A6-2026)-Inputs!$B$20)/((Inputs!$B$15*(1+Inputs!$B$58)^(A6-2026)-Inputs!$B$21*(1+Inputs!$B$65)^(A6-2026))*Inputs!$B$76))</f>
        <v>33.2144914616013</v>
      </c>
      <c r="R6" s="24" t="n">
        <f aca="false">IF(Payor!$B$13*(1+Inputs!$B$64)^(A6-2026)&lt;=Inputs!$B$20,0,(Payor!$B$13*(1+Inputs!$B$64)^(A6-2026)-Inputs!$B$20)/((Inputs!$B$15*(1+Inputs!$B$58)^(A6-2026)-Inputs!$B$21*(1+Inputs!$B$65)^(A6-2026))*Inputs!$B$76))</f>
        <v>41.1844293277738</v>
      </c>
      <c r="S6" s="24" t="n">
        <f aca="false">IF(Payor!$B$14*(1+Inputs!$B$64)^(A6-2026)&lt;=Inputs!$B$20,0,(Payor!$B$14*(1+Inputs!$B$64)^(A6-2026)-Inputs!$B$20)/((Inputs!$B$15*(1+Inputs!$B$58)^(A6-2026)-Inputs!$B$21*(1+Inputs!$B$65)^(A6-2026))*Inputs!$B$76))</f>
        <v>51.279683958259</v>
      </c>
      <c r="T6" s="24" t="n">
        <f aca="false">IF(Payor!$B$15*(1+Inputs!$B$64)^(A6-2026)&lt;=Inputs!$B$20,0,(Payor!$B$15*(1+Inputs!$B$64)^(A6-2026)-Inputs!$B$20)/((Inputs!$B$15*(1+Inputs!$B$58)^(A6-2026)-Inputs!$B$21*(1+Inputs!$B$65)^(A6-2026))*Inputs!$B$76))</f>
        <v>66.8653402298852</v>
      </c>
      <c r="U6" s="24" t="n">
        <f aca="false">IF(Payor!$B$16*(1+Inputs!$B$64)^(A6-2026)&lt;=Inputs!$B$20,0,(Payor!$B$16*(1+Inputs!$B$64)^(A6-2026)-Inputs!$B$20)/((Inputs!$B$15*(1+Inputs!$B$58)^(A6-2026)-Inputs!$B$21*(1+Inputs!$B$65)^(A6-2026))*Inputs!$B$76))</f>
        <v>105.829480908951</v>
      </c>
    </row>
    <row r="7" customFormat="false" ht="15" hidden="false" customHeight="false" outlineLevel="0" collapsed="false">
      <c r="A7" s="0" t="n">
        <v>2028</v>
      </c>
      <c r="B7" s="25" t="n">
        <f aca="false">Residents!$B$189*Inputs!$B$75*(J7*Inputs!$B$15*(1+Inputs!$B$58)^(A7-2026)+(1-J7)*(Inputs!$B$16*(1+Inputs!$B$59)^(A7-2026)+Inputs!$B$18*Inputs!$B$17*(1+Inputs!$B$60)^(A7-2026)))</f>
        <v>5310215.75448627</v>
      </c>
      <c r="C7" s="25" t="n">
        <f aca="false">Result!$B$20*(1+Inputs!$B$61)^(A7-2026)</f>
        <v>2989145.41940762</v>
      </c>
      <c r="D7" s="25" t="n">
        <f aca="false">(Result!$B$24+Result!$B$25+Result!$B$26)*(1+Inputs!$B$62)^(A7-2026)</f>
        <v>691165.741</v>
      </c>
      <c r="E7" s="25" t="n">
        <f aca="false">B7-C7-D7</f>
        <v>1629904.59407865</v>
      </c>
      <c r="F7" s="23" t="n">
        <f aca="false">E7/B7</f>
        <v>0.306937546313753</v>
      </c>
      <c r="G7" s="25" t="n">
        <f aca="false">Result!$B$33*(1+Inputs!$B$63)^(A7-2026)</f>
        <v>897556.064901586</v>
      </c>
      <c r="H7" s="16" t="n">
        <f aca="false">E7/G7</f>
        <v>1.81593624934991</v>
      </c>
      <c r="I7" s="25" t="n">
        <f aca="false">E7-Inputs!$B$51*B7-G7</f>
        <v>466837.741452753</v>
      </c>
      <c r="J7" s="23" t="n">
        <f aca="false">K7*Inputs!$B$19</f>
        <v>0.362828548194704</v>
      </c>
      <c r="K7" s="23" t="n">
        <f aca="false">(IF(L7&lt;=0,0,INDEX(Residents!$J$5:$J$185,MIN(181,ROUNDUP(L7,0))))+IF(M7&lt;=0,0,INDEX(Residents!$J$5:$J$185,MIN(181,ROUNDUP(M7,0))))+IF(N7&lt;=0,0,INDEX(Residents!$J$5:$J$185,MIN(181,ROUNDUP(N7,0))))+IF(O7&lt;=0,0,INDEX(Residents!$J$5:$J$185,MIN(181,ROUNDUP(O7,0))))+IF(P7&lt;=0,0,INDEX(Residents!$J$5:$J$185,MIN(181,ROUNDUP(P7,0))))+IF(Q7&lt;=0,0,INDEX(Residents!$J$5:$J$185,MIN(181,ROUNDUP(Q7,0))))+IF(R7&lt;=0,0,INDEX(Residents!$J$5:$J$185,MIN(181,ROUNDUP(R7,0))))+IF(S7&lt;=0,0,INDEX(Residents!$J$5:$J$185,MIN(181,ROUNDUP(S7,0))))+IF(T7&lt;=0,0,INDEX(Residents!$J$5:$J$185,MIN(181,ROUNDUP(T7,0))))+IF(U7&lt;=0,0,INDEX(Residents!$J$5:$J$185,MIN(181,ROUNDUP(U7,0)))))/10/Residents!$J$185</f>
        <v>0.659688269444916</v>
      </c>
      <c r="L7" s="24" t="n">
        <f aca="false">IF(Payor!$B$7*(1+Inputs!$B$64)^(A7-2026)&lt;=Inputs!$B$20,0,(Payor!$B$7*(1+Inputs!$B$64)^(A7-2026)-Inputs!$B$20)/((Inputs!$B$15*(1+Inputs!$B$58)^(A7-2026)-Inputs!$B$21*(1+Inputs!$B$65)^(A7-2026))*Inputs!$B$76))</f>
        <v>4.59824010175919</v>
      </c>
      <c r="M7" s="24" t="n">
        <f aca="false">IF(Payor!$B$8*(1+Inputs!$B$64)^(A7-2026)&lt;=Inputs!$B$20,0,(Payor!$B$8*(1+Inputs!$B$64)^(A7-2026)-Inputs!$B$20)/((Inputs!$B$15*(1+Inputs!$B$58)^(A7-2026)-Inputs!$B$21*(1+Inputs!$B$65)^(A7-2026))*Inputs!$B$76))</f>
        <v>9.49447256761487</v>
      </c>
      <c r="N7" s="24" t="n">
        <f aca="false">IF(Payor!$B$9*(1+Inputs!$B$64)^(A7-2026)&lt;=Inputs!$B$20,0,(Payor!$B$9*(1+Inputs!$B$64)^(A7-2026)-Inputs!$B$20)/((Inputs!$B$15*(1+Inputs!$B$58)^(A7-2026)-Inputs!$B$21*(1+Inputs!$B$65)^(A7-2026))*Inputs!$B$76))</f>
        <v>14.5655704786797</v>
      </c>
      <c r="O7" s="24" t="n">
        <f aca="false">IF(Payor!$B$10*(1+Inputs!$B$64)^(A7-2026)&lt;=Inputs!$B$20,0,(Payor!$B$10*(1+Inputs!$B$64)^(A7-2026)-Inputs!$B$20)/((Inputs!$B$15*(1+Inputs!$B$58)^(A7-2026)-Inputs!$B$21*(1+Inputs!$B$65)^(A7-2026))*Inputs!$B$76))</f>
        <v>20.336130170581</v>
      </c>
      <c r="P7" s="24" t="n">
        <f aca="false">IF(Payor!$B$11*(1+Inputs!$B$64)^(A7-2026)&lt;=Inputs!$B$20,0,(Payor!$B$11*(1+Inputs!$B$64)^(A7-2026)-Inputs!$B$20)/((Inputs!$B$15*(1+Inputs!$B$58)^(A7-2026)-Inputs!$B$21*(1+Inputs!$B$65)^(A7-2026))*Inputs!$B$76))</f>
        <v>26.2815553076915</v>
      </c>
      <c r="Q7" s="24" t="n">
        <f aca="false">IF(Payor!$B$12*(1+Inputs!$B$64)^(A7-2026)&lt;=Inputs!$B$20,0,(Payor!$B$12*(1+Inputs!$B$64)^(A7-2026)-Inputs!$B$20)/((Inputs!$B$15*(1+Inputs!$B$58)^(A7-2026)-Inputs!$B$21*(1+Inputs!$B$65)^(A7-2026))*Inputs!$B$76))</f>
        <v>32.9264422256385</v>
      </c>
      <c r="R7" s="24" t="n">
        <f aca="false">IF(Payor!$B$13*(1+Inputs!$B$64)^(A7-2026)&lt;=Inputs!$B$20,0,(Payor!$B$13*(1+Inputs!$B$64)^(A7-2026)-Inputs!$B$20)/((Inputs!$B$15*(1+Inputs!$B$58)^(A7-2026)-Inputs!$B$21*(1+Inputs!$B$65)^(A7-2026))*Inputs!$B$76))</f>
        <v>40.7953872600494</v>
      </c>
      <c r="S7" s="24" t="n">
        <f aca="false">IF(Payor!$B$14*(1+Inputs!$B$64)^(A7-2026)&lt;=Inputs!$B$20,0,(Payor!$B$14*(1+Inputs!$B$64)^(A7-2026)-Inputs!$B$20)/((Inputs!$B$15*(1+Inputs!$B$58)^(A7-2026)-Inputs!$B$21*(1+Inputs!$B$65)^(A7-2026))*Inputs!$B$76))</f>
        <v>50.7627176369699</v>
      </c>
      <c r="T7" s="24" t="n">
        <f aca="false">IF(Payor!$B$15*(1+Inputs!$B$64)^(A7-2026)&lt;=Inputs!$B$20,0,(Payor!$B$15*(1+Inputs!$B$64)^(A7-2026)-Inputs!$B$20)/((Inputs!$B$15*(1+Inputs!$B$58)^(A7-2026)-Inputs!$B$21*(1+Inputs!$B$65)^(A7-2026))*Inputs!$B$76))</f>
        <v>66.1508768153735</v>
      </c>
      <c r="U7" s="24" t="n">
        <f aca="false">IF(Payor!$B$16*(1+Inputs!$B$64)^(A7-2026)&lt;=Inputs!$B$20,0,(Payor!$B$16*(1+Inputs!$B$64)^(A7-2026)-Inputs!$B$20)/((Inputs!$B$15*(1+Inputs!$B$58)^(A7-2026)-Inputs!$B$21*(1+Inputs!$B$65)^(A7-2026))*Inputs!$B$76))</f>
        <v>104.621274761382</v>
      </c>
    </row>
    <row r="8" customFormat="false" ht="15" hidden="false" customHeight="false" outlineLevel="0" collapsed="false">
      <c r="A8" s="0" t="n">
        <v>2029</v>
      </c>
      <c r="B8" s="25" t="n">
        <f aca="false">Residents!$B$189*Inputs!$B$75*(J8*Inputs!$B$15*(1+Inputs!$B$58)^(A8-2026)+(1-J8)*(Inputs!$B$16*(1+Inputs!$B$59)^(A8-2026)+Inputs!$B$18*Inputs!$B$17*(1+Inputs!$B$60)^(A8-2026)))</f>
        <v>5509992.71887228</v>
      </c>
      <c r="C8" s="25" t="n">
        <f aca="false">Result!$B$20*(1+Inputs!$B$61)^(A8-2026)</f>
        <v>3114689.52702274</v>
      </c>
      <c r="D8" s="25" t="n">
        <f aca="false">(Result!$B$24+Result!$B$25+Result!$B$26)*(1+Inputs!$B$62)^(A8-2026)</f>
        <v>711900.71323</v>
      </c>
      <c r="E8" s="25" t="n">
        <f aca="false">B8-C8-D8</f>
        <v>1683402.47861955</v>
      </c>
      <c r="F8" s="23" t="n">
        <f aca="false">E8/B8</f>
        <v>0.305518094942979</v>
      </c>
      <c r="G8" s="25" t="n">
        <f aca="false">Result!$B$33*(1+Inputs!$B$63)^(A8-2026)</f>
        <v>922687.63471883</v>
      </c>
      <c r="H8" s="16" t="n">
        <f aca="false">E8/G8</f>
        <v>1.82445544437423</v>
      </c>
      <c r="I8" s="25" t="n">
        <f aca="false">E8-Inputs!$B$51*B8-G8</f>
        <v>485215.207957103</v>
      </c>
      <c r="J8" s="23" t="n">
        <f aca="false">K8*Inputs!$B$19</f>
        <v>0.362649390741541</v>
      </c>
      <c r="K8" s="23" t="n">
        <f aca="false">(IF(L8&lt;=0,0,INDEX(Residents!$J$5:$J$185,MIN(181,ROUNDUP(L8,0))))+IF(M8&lt;=0,0,INDEX(Residents!$J$5:$J$185,MIN(181,ROUNDUP(M8,0))))+IF(N8&lt;=0,0,INDEX(Residents!$J$5:$J$185,MIN(181,ROUNDUP(N8,0))))+IF(O8&lt;=0,0,INDEX(Residents!$J$5:$J$185,MIN(181,ROUNDUP(O8,0))))+IF(P8&lt;=0,0,INDEX(Residents!$J$5:$J$185,MIN(181,ROUNDUP(P8,0))))+IF(Q8&lt;=0,0,INDEX(Residents!$J$5:$J$185,MIN(181,ROUNDUP(Q8,0))))+IF(R8&lt;=0,0,INDEX(Residents!$J$5:$J$185,MIN(181,ROUNDUP(R8,0))))+IF(S8&lt;=0,0,INDEX(Residents!$J$5:$J$185,MIN(181,ROUNDUP(S8,0))))+IF(T8&lt;=0,0,INDEX(Residents!$J$5:$J$185,MIN(181,ROUNDUP(T8,0))))+IF(U8&lt;=0,0,INDEX(Residents!$J$5:$J$185,MIN(181,ROUNDUP(U8,0)))))/10/Residents!$J$185</f>
        <v>0.659362528620983</v>
      </c>
      <c r="L8" s="24" t="n">
        <f aca="false">IF(Payor!$B$7*(1+Inputs!$B$64)^(A8-2026)&lt;=Inputs!$B$20,0,(Payor!$B$7*(1+Inputs!$B$64)^(A8-2026)-Inputs!$B$20)/((Inputs!$B$15*(1+Inputs!$B$58)^(A8-2026)-Inputs!$B$21*(1+Inputs!$B$65)^(A8-2026))*Inputs!$B$76))</f>
        <v>4.66690280019692</v>
      </c>
      <c r="M8" s="24" t="n">
        <f aca="false">IF(Payor!$B$8*(1+Inputs!$B$64)^(A8-2026)&lt;=Inputs!$B$20,0,(Payor!$B$8*(1+Inputs!$B$64)^(A8-2026)-Inputs!$B$20)/((Inputs!$B$15*(1+Inputs!$B$58)^(A8-2026)-Inputs!$B$21*(1+Inputs!$B$65)^(A8-2026))*Inputs!$B$76))</f>
        <v>9.50131235016591</v>
      </c>
      <c r="N8" s="24" t="n">
        <f aca="false">IF(Payor!$B$9*(1+Inputs!$B$64)^(A8-2026)&lt;=Inputs!$B$20,0,(Payor!$B$9*(1+Inputs!$B$64)^(A8-2026)-Inputs!$B$20)/((Inputs!$B$15*(1+Inputs!$B$58)^(A8-2026)-Inputs!$B$21*(1+Inputs!$B$65)^(A8-2026))*Inputs!$B$76))</f>
        <v>14.5083793840624</v>
      </c>
      <c r="O8" s="24" t="n">
        <f aca="false">IF(Payor!$B$10*(1+Inputs!$B$64)^(A8-2026)&lt;=Inputs!$B$20,0,(Payor!$B$10*(1+Inputs!$B$64)^(A8-2026)-Inputs!$B$20)/((Inputs!$B$15*(1+Inputs!$B$58)^(A8-2026)-Inputs!$B$21*(1+Inputs!$B$65)^(A8-2026))*Inputs!$B$76))</f>
        <v>20.2060763536687</v>
      </c>
      <c r="P8" s="24" t="n">
        <f aca="false">IF(Payor!$B$11*(1+Inputs!$B$64)^(A8-2026)&lt;=Inputs!$B$20,0,(Payor!$B$11*(1+Inputs!$B$64)^(A8-2026)-Inputs!$B$20)/((Inputs!$B$15*(1+Inputs!$B$58)^(A8-2026)-Inputs!$B$21*(1+Inputs!$B$65)^(A8-2026))*Inputs!$B$76))</f>
        <v>26.0764308072024</v>
      </c>
      <c r="Q8" s="24" t="n">
        <f aca="false">IF(Payor!$B$12*(1+Inputs!$B$64)^(A8-2026)&lt;=Inputs!$B$20,0,(Payor!$B$12*(1+Inputs!$B$64)^(A8-2026)-Inputs!$B$20)/((Inputs!$B$15*(1+Inputs!$B$58)^(A8-2026)-Inputs!$B$21*(1+Inputs!$B$65)^(A8-2026))*Inputs!$B$76))</f>
        <v>32.6374151964461</v>
      </c>
      <c r="R8" s="24" t="n">
        <f aca="false">IF(Payor!$B$13*(1+Inputs!$B$64)^(A8-2026)&lt;=Inputs!$B$20,0,(Payor!$B$13*(1+Inputs!$B$64)^(A8-2026)-Inputs!$B$20)/((Inputs!$B$15*(1+Inputs!$B$58)^(A8-2026)-Inputs!$B$21*(1+Inputs!$B$65)^(A8-2026))*Inputs!$B$76))</f>
        <v>40.4070019731819</v>
      </c>
      <c r="S8" s="24" t="n">
        <f aca="false">IF(Payor!$B$14*(1+Inputs!$B$64)^(A8-2026)&lt;=Inputs!$B$20,0,(Payor!$B$14*(1+Inputs!$B$64)^(A8-2026)-Inputs!$B$20)/((Inputs!$B$15*(1+Inputs!$B$58)^(A8-2026)-Inputs!$B$21*(1+Inputs!$B$65)^(A8-2026))*Inputs!$B$76))</f>
        <v>50.2484785570474</v>
      </c>
      <c r="T8" s="24" t="n">
        <f aca="false">IF(Payor!$B$15*(1+Inputs!$B$64)^(A8-2026)&lt;=Inputs!$B$20,0,(Payor!$B$15*(1+Inputs!$B$64)^(A8-2026)-Inputs!$B$20)/((Inputs!$B$15*(1+Inputs!$B$58)^(A8-2026)-Inputs!$B$21*(1+Inputs!$B$65)^(A8-2026))*Inputs!$B$76))</f>
        <v>65.4423371426642</v>
      </c>
      <c r="U8" s="24" t="n">
        <f aca="false">IF(Payor!$B$16*(1+Inputs!$B$64)^(A8-2026)&lt;=Inputs!$B$20,0,(Payor!$B$16*(1+Inputs!$B$64)^(A8-2026)-Inputs!$B$20)/((Inputs!$B$15*(1+Inputs!$B$58)^(A8-2026)-Inputs!$B$21*(1+Inputs!$B$65)^(A8-2026))*Inputs!$B$76))</f>
        <v>103.426983606706</v>
      </c>
    </row>
    <row r="9" customFormat="false" ht="15" hidden="false" customHeight="false" outlineLevel="0" collapsed="false">
      <c r="A9" s="0" t="n">
        <v>2030</v>
      </c>
      <c r="B9" s="25" t="n">
        <f aca="false">Residents!$B$189*Inputs!$B$75*(J9*Inputs!$B$15*(1+Inputs!$B$58)^(A9-2026)+(1-J9)*(Inputs!$B$16*(1+Inputs!$B$59)^(A9-2026)+Inputs!$B$18*Inputs!$B$17*(1+Inputs!$B$60)^(A9-2026)))</f>
        <v>5716351.69956513</v>
      </c>
      <c r="C9" s="25" t="n">
        <f aca="false">Result!$B$20*(1+Inputs!$B$61)^(A9-2026)</f>
        <v>3245506.48715769</v>
      </c>
      <c r="D9" s="25" t="n">
        <f aca="false">(Result!$B$24+Result!$B$25+Result!$B$26)*(1+Inputs!$B$62)^(A9-2026)</f>
        <v>733257.7346269</v>
      </c>
      <c r="E9" s="25" t="n">
        <f aca="false">B9-C9-D9</f>
        <v>1737587.47778053</v>
      </c>
      <c r="F9" s="23" t="n">
        <f aca="false">E9/B9</f>
        <v>0.303967909796859</v>
      </c>
      <c r="G9" s="25" t="n">
        <f aca="false">Result!$B$33*(1+Inputs!$B$63)^(A9-2026)</f>
        <v>948522.888490958</v>
      </c>
      <c r="H9" s="16" t="n">
        <f aca="false">E9/G9</f>
        <v>1.83188776872315</v>
      </c>
      <c r="I9" s="25" t="n">
        <f aca="false">E9-Inputs!$B$51*B9-G9</f>
        <v>503247.004311319</v>
      </c>
      <c r="J9" s="23" t="n">
        <f aca="false">K9*Inputs!$B$19</f>
        <v>0.361422078793806</v>
      </c>
      <c r="K9" s="23" t="n">
        <f aca="false">(IF(L9&lt;=0,0,INDEX(Residents!$J$5:$J$185,MIN(181,ROUNDUP(L9,0))))+IF(M9&lt;=0,0,INDEX(Residents!$J$5:$J$185,MIN(181,ROUNDUP(M9,0))))+IF(N9&lt;=0,0,INDEX(Residents!$J$5:$J$185,MIN(181,ROUNDUP(N9,0))))+IF(O9&lt;=0,0,INDEX(Residents!$J$5:$J$185,MIN(181,ROUNDUP(O9,0))))+IF(P9&lt;=0,0,INDEX(Residents!$J$5:$J$185,MIN(181,ROUNDUP(P9,0))))+IF(Q9&lt;=0,0,INDEX(Residents!$J$5:$J$185,MIN(181,ROUNDUP(Q9,0))))+IF(R9&lt;=0,0,INDEX(Residents!$J$5:$J$185,MIN(181,ROUNDUP(R9,0))))+IF(S9&lt;=0,0,INDEX(Residents!$J$5:$J$185,MIN(181,ROUNDUP(S9,0))))+IF(T9&lt;=0,0,INDEX(Residents!$J$5:$J$185,MIN(181,ROUNDUP(T9,0))))+IF(U9&lt;=0,0,INDEX(Residents!$J$5:$J$185,MIN(181,ROUNDUP(U9,0)))))/10/Residents!$J$185</f>
        <v>0.657131052352375</v>
      </c>
      <c r="L9" s="24" t="n">
        <f aca="false">IF(Payor!$B$7*(1+Inputs!$B$64)^(A9-2026)&lt;=Inputs!$B$20,0,(Payor!$B$7*(1+Inputs!$B$64)^(A9-2026)-Inputs!$B$20)/((Inputs!$B$15*(1+Inputs!$B$58)^(A9-2026)-Inputs!$B$21*(1+Inputs!$B$65)^(A9-2026))*Inputs!$B$76))</f>
        <v>4.72907939853796</v>
      </c>
      <c r="M9" s="24" t="n">
        <f aca="false">IF(Payor!$B$8*(1+Inputs!$B$64)^(A9-2026)&lt;=Inputs!$B$20,0,(Payor!$B$8*(1+Inputs!$B$64)^(A9-2026)-Inputs!$B$20)/((Inputs!$B$15*(1+Inputs!$B$58)^(A9-2026)-Inputs!$B$21*(1+Inputs!$B$65)^(A9-2026))*Inputs!$B$76))</f>
        <v>9.50266081568607</v>
      </c>
      <c r="N9" s="24" t="n">
        <f aca="false">IF(Payor!$B$9*(1+Inputs!$B$64)^(A9-2026)&lt;=Inputs!$B$20,0,(Payor!$B$9*(1+Inputs!$B$64)^(A9-2026)-Inputs!$B$20)/((Inputs!$B$15*(1+Inputs!$B$58)^(A9-2026)-Inputs!$B$21*(1+Inputs!$B$65)^(A9-2026))*Inputs!$B$76))</f>
        <v>14.4467272834466</v>
      </c>
      <c r="O9" s="24" t="n">
        <f aca="false">IF(Payor!$B$10*(1+Inputs!$B$64)^(A9-2026)&lt;=Inputs!$B$20,0,(Payor!$B$10*(1+Inputs!$B$64)^(A9-2026)-Inputs!$B$20)/((Inputs!$B$15*(1+Inputs!$B$58)^(A9-2026)-Inputs!$B$21*(1+Inputs!$B$65)^(A9-2026))*Inputs!$B$76))</f>
        <v>20.0727339536569</v>
      </c>
      <c r="P9" s="24" t="n">
        <f aca="false">IF(Payor!$B$11*(1+Inputs!$B$64)^(A9-2026)&lt;=Inputs!$B$20,0,(Payor!$B$11*(1+Inputs!$B$64)^(A9-2026)-Inputs!$B$20)/((Inputs!$B$15*(1+Inputs!$B$58)^(A9-2026)-Inputs!$B$21*(1+Inputs!$B$65)^(A9-2026))*Inputs!$B$76))</f>
        <v>25.8692256744796</v>
      </c>
      <c r="Q9" s="24" t="n">
        <f aca="false">IF(Payor!$B$12*(1+Inputs!$B$64)^(A9-2026)&lt;=Inputs!$B$20,0,(Payor!$B$12*(1+Inputs!$B$64)^(A9-2026)-Inputs!$B$20)/((Inputs!$B$15*(1+Inputs!$B$58)^(A9-2026)-Inputs!$B$21*(1+Inputs!$B$65)^(A9-2026))*Inputs!$B$76))</f>
        <v>32.347657597752</v>
      </c>
      <c r="R9" s="24" t="n">
        <f aca="false">IF(Payor!$B$13*(1+Inputs!$B$64)^(A9-2026)&lt;=Inputs!$B$20,0,(Payor!$B$13*(1+Inputs!$B$64)^(A9-2026)-Inputs!$B$20)/((Inputs!$B$15*(1+Inputs!$B$58)^(A9-2026)-Inputs!$B$21*(1+Inputs!$B$65)^(A9-2026))*Inputs!$B$76))</f>
        <v>40.0194848753115</v>
      </c>
      <c r="S9" s="24" t="n">
        <f aca="false">IF(Payor!$B$14*(1+Inputs!$B$64)^(A9-2026)&lt;=Inputs!$B$20,0,(Payor!$B$14*(1+Inputs!$B$64)^(A9-2026)-Inputs!$B$20)/((Inputs!$B$15*(1+Inputs!$B$58)^(A9-2026)-Inputs!$B$21*(1+Inputs!$B$65)^(A9-2026))*Inputs!$B$76))</f>
        <v>49.7371327602201</v>
      </c>
      <c r="T9" s="24" t="n">
        <f aca="false">IF(Payor!$B$15*(1+Inputs!$B$64)^(A9-2026)&lt;=Inputs!$B$20,0,(Payor!$B$15*(1+Inputs!$B$64)^(A9-2026)-Inputs!$B$20)/((Inputs!$B$15*(1+Inputs!$B$58)^(A9-2026)-Inputs!$B$21*(1+Inputs!$B$65)^(A9-2026))*Inputs!$B$76))</f>
        <v>64.7398172141142</v>
      </c>
      <c r="U9" s="24" t="n">
        <f aca="false">IF(Payor!$B$16*(1+Inputs!$B$64)^(A9-2026)&lt;=Inputs!$B$20,0,(Payor!$B$16*(1+Inputs!$B$64)^(A9-2026)-Inputs!$B$20)/((Inputs!$B$15*(1+Inputs!$B$58)^(A9-2026)-Inputs!$B$21*(1+Inputs!$B$65)^(A9-2026))*Inputs!$B$76))</f>
        <v>102.246528348849</v>
      </c>
    </row>
    <row r="10" customFormat="false" ht="15" hidden="false" customHeight="false" outlineLevel="0" collapsed="false">
      <c r="A10" s="0" t="n">
        <v>2031</v>
      </c>
      <c r="B10" s="25" t="n">
        <f aca="false">Residents!$B$189*Inputs!$B$75*(J10*Inputs!$B$15*(1+Inputs!$B$58)^(A10-2026)+(1-J10)*(Inputs!$B$16*(1+Inputs!$B$59)^(A10-2026)+Inputs!$B$18*Inputs!$B$17*(1+Inputs!$B$60)^(A10-2026)))</f>
        <v>5930228.18171055</v>
      </c>
      <c r="C10" s="25" t="n">
        <f aca="false">Result!$B$20*(1+Inputs!$B$61)^(A10-2026)</f>
        <v>3381817.75961832</v>
      </c>
      <c r="D10" s="25" t="n">
        <f aca="false">(Result!$B$24+Result!$B$25+Result!$B$26)*(1+Inputs!$B$62)^(A10-2026)</f>
        <v>755255.466665707</v>
      </c>
      <c r="E10" s="25" t="n">
        <f aca="false">B10-C10-D10</f>
        <v>1793154.95542653</v>
      </c>
      <c r="F10" s="23" t="n">
        <f aca="false">E10/B10</f>
        <v>0.302375372495245</v>
      </c>
      <c r="G10" s="25" t="n">
        <f aca="false">Result!$B$33*(1+Inputs!$B$63)^(A10-2026)</f>
        <v>975081.529368704</v>
      </c>
      <c r="H10" s="16" t="n">
        <f aca="false">E10/G10</f>
        <v>1.83897951239777</v>
      </c>
      <c r="I10" s="25" t="n">
        <f aca="false">E10-Inputs!$B$51*B10-G10</f>
        <v>521562.016972295</v>
      </c>
      <c r="J10" s="23" t="n">
        <f aca="false">K10*Inputs!$B$19</f>
        <v>0.359994193090994</v>
      </c>
      <c r="K10" s="23" t="n">
        <f aca="false">(IF(L10&lt;=0,0,INDEX(Residents!$J$5:$J$185,MIN(181,ROUNDUP(L10,0))))+IF(M10&lt;=0,0,INDEX(Residents!$J$5:$J$185,MIN(181,ROUNDUP(M10,0))))+IF(N10&lt;=0,0,INDEX(Residents!$J$5:$J$185,MIN(181,ROUNDUP(N10,0))))+IF(O10&lt;=0,0,INDEX(Residents!$J$5:$J$185,MIN(181,ROUNDUP(O10,0))))+IF(P10&lt;=0,0,INDEX(Residents!$J$5:$J$185,MIN(181,ROUNDUP(P10,0))))+IF(Q10&lt;=0,0,INDEX(Residents!$J$5:$J$185,MIN(181,ROUNDUP(Q10,0))))+IF(R10&lt;=0,0,INDEX(Residents!$J$5:$J$185,MIN(181,ROUNDUP(R10,0))))+IF(S10&lt;=0,0,INDEX(Residents!$J$5:$J$185,MIN(181,ROUNDUP(S10,0))))+IF(T10&lt;=0,0,INDEX(Residents!$J$5:$J$185,MIN(181,ROUNDUP(T10,0))))+IF(U10&lt;=0,0,INDEX(Residents!$J$5:$J$185,MIN(181,ROUNDUP(U10,0)))))/10/Residents!$J$185</f>
        <v>0.654534896529079</v>
      </c>
      <c r="L10" s="24" t="n">
        <f aca="false">IF(Payor!$B$7*(1+Inputs!$B$64)^(A10-2026)&lt;=Inputs!$B$20,0,(Payor!$B$7*(1+Inputs!$B$64)^(A10-2026)-Inputs!$B$20)/((Inputs!$B$15*(1+Inputs!$B$58)^(A10-2026)-Inputs!$B$21*(1+Inputs!$B$65)^(A10-2026))*Inputs!$B$76))</f>
        <v>4.78512656719902</v>
      </c>
      <c r="M10" s="24" t="n">
        <f aca="false">IF(Payor!$B$8*(1+Inputs!$B$64)^(A10-2026)&lt;=Inputs!$B$20,0,(Payor!$B$8*(1+Inputs!$B$64)^(A10-2026)-Inputs!$B$20)/((Inputs!$B$15*(1+Inputs!$B$58)^(A10-2026)-Inputs!$B$21*(1+Inputs!$B$65)^(A10-2026))*Inputs!$B$76))</f>
        <v>9.49885299520837</v>
      </c>
      <c r="N10" s="24" t="n">
        <f aca="false">IF(Payor!$B$9*(1+Inputs!$B$64)^(A10-2026)&lt;=Inputs!$B$20,0,(Payor!$B$9*(1+Inputs!$B$64)^(A10-2026)-Inputs!$B$20)/((Inputs!$B$15*(1+Inputs!$B$58)^(A10-2026)-Inputs!$B$21*(1+Inputs!$B$65)^(A10-2026))*Inputs!$B$76))</f>
        <v>14.3809267956466</v>
      </c>
      <c r="O10" s="24" t="n">
        <f aca="false">IF(Payor!$B$10*(1+Inputs!$B$64)^(A10-2026)&lt;=Inputs!$B$20,0,(Payor!$B$10*(1+Inputs!$B$64)^(A10-2026)-Inputs!$B$20)/((Inputs!$B$15*(1+Inputs!$B$58)^(A10-2026)-Inputs!$B$21*(1+Inputs!$B$65)^(A10-2026))*Inputs!$B$76))</f>
        <v>19.9363900858005</v>
      </c>
      <c r="P10" s="24" t="n">
        <f aca="false">IF(Payor!$B$11*(1+Inputs!$B$64)^(A10-2026)&lt;=Inputs!$B$20,0,(Payor!$B$11*(1+Inputs!$B$64)^(A10-2026)-Inputs!$B$20)/((Inputs!$B$15*(1+Inputs!$B$58)^(A10-2026)-Inputs!$B$21*(1+Inputs!$B$65)^(A10-2026))*Inputs!$B$76))</f>
        <v>25.6602007483833</v>
      </c>
      <c r="Q10" s="24" t="n">
        <f aca="false">IF(Payor!$B$12*(1+Inputs!$B$64)^(A10-2026)&lt;=Inputs!$B$20,0,(Payor!$B$12*(1+Inputs!$B$64)^(A10-2026)-Inputs!$B$20)/((Inputs!$B$15*(1+Inputs!$B$58)^(A10-2026)-Inputs!$B$21*(1+Inputs!$B$65)^(A10-2026))*Inputs!$B$76))</f>
        <v>32.0574009006817</v>
      </c>
      <c r="R10" s="24" t="n">
        <f aca="false">IF(Payor!$B$13*(1+Inputs!$B$64)^(A10-2026)&lt;=Inputs!$B$20,0,(Payor!$B$13*(1+Inputs!$B$64)^(A10-2026)-Inputs!$B$20)/((Inputs!$B$15*(1+Inputs!$B$58)^(A10-2026)-Inputs!$B$21*(1+Inputs!$B$65)^(A10-2026))*Inputs!$B$76))</f>
        <v>39.6330326599824</v>
      </c>
      <c r="S10" s="24" t="n">
        <f aca="false">IF(Payor!$B$14*(1+Inputs!$B$64)^(A10-2026)&lt;=Inputs!$B$20,0,(Payor!$B$14*(1+Inputs!$B$64)^(A10-2026)-Inputs!$B$20)/((Inputs!$B$15*(1+Inputs!$B$58)^(A10-2026)-Inputs!$B$21*(1+Inputs!$B$65)^(A10-2026))*Inputs!$B$76))</f>
        <v>49.22883288843</v>
      </c>
      <c r="T10" s="24" t="n">
        <f aca="false">IF(Payor!$B$15*(1+Inputs!$B$64)^(A10-2026)&lt;=Inputs!$B$20,0,(Payor!$B$15*(1+Inputs!$B$64)^(A10-2026)-Inputs!$B$20)/((Inputs!$B$15*(1+Inputs!$B$58)^(A10-2026)-Inputs!$B$21*(1+Inputs!$B$65)^(A10-2026))*Inputs!$B$76))</f>
        <v>64.0434016621737</v>
      </c>
      <c r="U10" s="24" t="n">
        <f aca="false">IF(Payor!$B$16*(1+Inputs!$B$64)^(A10-2026)&lt;=Inputs!$B$20,0,(Payor!$B$16*(1+Inputs!$B$64)^(A10-2026)-Inputs!$B$20)/((Inputs!$B$15*(1+Inputs!$B$58)^(A10-2026)-Inputs!$B$21*(1+Inputs!$B$65)^(A10-2026))*Inputs!$B$76))</f>
        <v>101.079823596533</v>
      </c>
    </row>
    <row r="11" customFormat="false" ht="15" hidden="false" customHeight="false" outlineLevel="0" collapsed="false">
      <c r="A11" s="0" t="n">
        <v>2032</v>
      </c>
      <c r="B11" s="25" t="n">
        <f aca="false">Residents!$B$189*Inputs!$B$75*(J11*Inputs!$B$15*(1+Inputs!$B$58)^(A11-2026)+(1-J11)*(Inputs!$B$16*(1+Inputs!$B$59)^(A11-2026)+Inputs!$B$18*Inputs!$B$17*(1+Inputs!$B$60)^(A11-2026)))</f>
        <v>6152493.96439848</v>
      </c>
      <c r="C11" s="25" t="n">
        <f aca="false">Result!$B$20*(1+Inputs!$B$61)^(A11-2026)</f>
        <v>3523854.10552228</v>
      </c>
      <c r="D11" s="25" t="n">
        <f aca="false">(Result!$B$24+Result!$B$25+Result!$B$26)*(1+Inputs!$B$62)^(A11-2026)</f>
        <v>777913.130665678</v>
      </c>
      <c r="E11" s="25" t="n">
        <f aca="false">B11-C11-D11</f>
        <v>1850726.72821052</v>
      </c>
      <c r="F11" s="23" t="n">
        <f aca="false">E11/B11</f>
        <v>0.300809190373819</v>
      </c>
      <c r="G11" s="25" t="n">
        <f aca="false">Result!$B$33*(1+Inputs!$B$63)^(A11-2026)</f>
        <v>1002383.81219103</v>
      </c>
      <c r="H11" s="16" t="n">
        <f aca="false">E11/G11</f>
        <v>1.84632543512965</v>
      </c>
      <c r="I11" s="25" t="n">
        <f aca="false">E11-Inputs!$B$51*B11-G11</f>
        <v>540718.217799565</v>
      </c>
      <c r="J11" s="23" t="n">
        <f aca="false">K11*Inputs!$B$19</f>
        <v>0.358873332339099</v>
      </c>
      <c r="K11" s="23" t="n">
        <f aca="false">(IF(L11&lt;=0,0,INDEX(Residents!$J$5:$J$185,MIN(181,ROUNDUP(L11,0))))+IF(M11&lt;=0,0,INDEX(Residents!$J$5:$J$185,MIN(181,ROUNDUP(M11,0))))+IF(N11&lt;=0,0,INDEX(Residents!$J$5:$J$185,MIN(181,ROUNDUP(N11,0))))+IF(O11&lt;=0,0,INDEX(Residents!$J$5:$J$185,MIN(181,ROUNDUP(O11,0))))+IF(P11&lt;=0,0,INDEX(Residents!$J$5:$J$185,MIN(181,ROUNDUP(P11,0))))+IF(Q11&lt;=0,0,INDEX(Residents!$J$5:$J$185,MIN(181,ROUNDUP(Q11,0))))+IF(R11&lt;=0,0,INDEX(Residents!$J$5:$J$185,MIN(181,ROUNDUP(R11,0))))+IF(S11&lt;=0,0,INDEX(Residents!$J$5:$J$185,MIN(181,ROUNDUP(S11,0))))+IF(T11&lt;=0,0,INDEX(Residents!$J$5:$J$185,MIN(181,ROUNDUP(T11,0))))+IF(U11&lt;=0,0,INDEX(Residents!$J$5:$J$185,MIN(181,ROUNDUP(U11,0)))))/10/Residents!$J$185</f>
        <v>0.652496967889271</v>
      </c>
      <c r="L11" s="24" t="n">
        <f aca="false">IF(Payor!$B$7*(1+Inputs!$B$64)^(A11-2026)&lt;=Inputs!$B$20,0,(Payor!$B$7*(1+Inputs!$B$64)^(A11-2026)-Inputs!$B$20)/((Inputs!$B$15*(1+Inputs!$B$58)^(A11-2026)-Inputs!$B$21*(1+Inputs!$B$65)^(A11-2026))*Inputs!$B$76))</f>
        <v>4.83538251265266</v>
      </c>
      <c r="M11" s="24" t="n">
        <f aca="false">IF(Payor!$B$8*(1+Inputs!$B$64)^(A11-2026)&lt;=Inputs!$B$20,0,(Payor!$B$8*(1+Inputs!$B$64)^(A11-2026)-Inputs!$B$20)/((Inputs!$B$15*(1+Inputs!$B$58)^(A11-2026)-Inputs!$B$21*(1+Inputs!$B$65)^(A11-2026))*Inputs!$B$76))</f>
        <v>9.4902060783306</v>
      </c>
      <c r="N11" s="24" t="n">
        <f aca="false">IF(Payor!$B$9*(1+Inputs!$B$64)^(A11-2026)&lt;=Inputs!$B$20,0,(Payor!$B$9*(1+Inputs!$B$64)^(A11-2026)-Inputs!$B$20)/((Inputs!$B$15*(1+Inputs!$B$58)^(A11-2026)-Inputs!$B$21*(1+Inputs!$B$65)^(A11-2026))*Inputs!$B$76))</f>
        <v>14.3112733427827</v>
      </c>
      <c r="O11" s="24" t="n">
        <f aca="false">IF(Payor!$B$10*(1+Inputs!$B$64)^(A11-2026)&lt;=Inputs!$B$20,0,(Payor!$B$10*(1+Inputs!$B$64)^(A11-2026)-Inputs!$B$20)/((Inputs!$B$15*(1+Inputs!$B$58)^(A11-2026)-Inputs!$B$21*(1+Inputs!$B$65)^(A11-2026))*Inputs!$B$76))</f>
        <v>19.7973154023317</v>
      </c>
      <c r="P11" s="24" t="n">
        <f aca="false">IF(Payor!$B$11*(1+Inputs!$B$64)^(A11-2026)&lt;=Inputs!$B$20,0,(Payor!$B$11*(1+Inputs!$B$64)^(A11-2026)-Inputs!$B$20)/((Inputs!$B$15*(1+Inputs!$B$58)^(A11-2026)-Inputs!$B$21*(1+Inputs!$B$65)^(A11-2026))*Inputs!$B$76))</f>
        <v>25.449601160655</v>
      </c>
      <c r="Q11" s="24" t="n">
        <f aca="false">IF(Payor!$B$12*(1+Inputs!$B$64)^(A11-2026)&lt;=Inputs!$B$20,0,(Payor!$B$12*(1+Inputs!$B$64)^(A11-2026)-Inputs!$B$20)/((Inputs!$B$15*(1+Inputs!$B$58)^(A11-2026)-Inputs!$B$21*(1+Inputs!$B$65)^(A11-2026))*Inputs!$B$76))</f>
        <v>31.766861714075</v>
      </c>
      <c r="R11" s="24" t="n">
        <f aca="false">IF(Payor!$B$13*(1+Inputs!$B$64)^(A11-2026)&lt;=Inputs!$B$20,0,(Payor!$B$13*(1+Inputs!$B$64)^(A11-2026)-Inputs!$B$20)/((Inputs!$B$15*(1+Inputs!$B$58)^(A11-2026)-Inputs!$B$21*(1+Inputs!$B$65)^(A11-2026))*Inputs!$B$76))</f>
        <v>39.2478281589146</v>
      </c>
      <c r="S11" s="24" t="n">
        <f aca="false">IF(Payor!$B$14*(1+Inputs!$B$64)^(A11-2026)&lt;=Inputs!$B$20,0,(Payor!$B$14*(1+Inputs!$B$64)^(A11-2026)-Inputs!$B$20)/((Inputs!$B$15*(1+Inputs!$B$58)^(A11-2026)-Inputs!$B$21*(1+Inputs!$B$65)^(A11-2026))*Inputs!$B$76))</f>
        <v>48.7237189890446</v>
      </c>
      <c r="T11" s="24" t="n">
        <f aca="false">IF(Payor!$B$15*(1+Inputs!$B$64)^(A11-2026)&lt;=Inputs!$B$20,0,(Payor!$B$15*(1+Inputs!$B$64)^(A11-2026)-Inputs!$B$20)/((Inputs!$B$15*(1+Inputs!$B$58)^(A11-2026)-Inputs!$B$21*(1+Inputs!$B$65)^(A11-2026))*Inputs!$B$76))</f>
        <v>63.3531644811753</v>
      </c>
      <c r="U11" s="24" t="n">
        <f aca="false">IF(Payor!$B$16*(1+Inputs!$B$64)^(A11-2026)&lt;=Inputs!$B$20,0,(Payor!$B$16*(1+Inputs!$B$64)^(A11-2026)-Inputs!$B$20)/((Inputs!$B$15*(1+Inputs!$B$58)^(A11-2026)-Inputs!$B$21*(1+Inputs!$B$65)^(A11-2026))*Inputs!$B$76))</f>
        <v>99.9267782115019</v>
      </c>
    </row>
    <row r="12" customFormat="false" ht="15" hidden="false" customHeight="false" outlineLevel="0" collapsed="false">
      <c r="A12" s="0" t="n">
        <v>2033</v>
      </c>
      <c r="B12" s="25" t="n">
        <f aca="false">Residents!$B$189*Inputs!$B$75*(J12*Inputs!$B$15*(1+Inputs!$B$58)^(A12-2026)+(1-J12)*(Inputs!$B$16*(1+Inputs!$B$59)^(A12-2026)+Inputs!$B$18*Inputs!$B$17*(1+Inputs!$B$60)^(A12-2026)))</f>
        <v>6383795.11153935</v>
      </c>
      <c r="C12" s="25" t="n">
        <f aca="false">Result!$B$20*(1+Inputs!$B$61)^(A12-2026)</f>
        <v>3671855.97795422</v>
      </c>
      <c r="D12" s="25" t="n">
        <f aca="false">(Result!$B$24+Result!$B$25+Result!$B$26)*(1+Inputs!$B$62)^(A12-2026)</f>
        <v>801250.524585649</v>
      </c>
      <c r="E12" s="25" t="n">
        <f aca="false">B12-C12-D12</f>
        <v>1910688.60899948</v>
      </c>
      <c r="F12" s="23" t="n">
        <f aca="false">E12/B12</f>
        <v>0.299302934322832</v>
      </c>
      <c r="G12" s="25" t="n">
        <f aca="false">Result!$B$33*(1+Inputs!$B$63)^(A12-2026)</f>
        <v>1030450.55893238</v>
      </c>
      <c r="H12" s="16" t="n">
        <f aca="false">E12/G12</f>
        <v>1.85422637936078</v>
      </c>
      <c r="I12" s="25" t="n">
        <f aca="false">E12-Inputs!$B$51*B12-G12</f>
        <v>561048.294490133</v>
      </c>
      <c r="J12" s="23" t="n">
        <f aca="false">K12*Inputs!$B$19</f>
        <v>0.358222765732394</v>
      </c>
      <c r="K12" s="23" t="n">
        <f aca="false">(IF(L12&lt;=0,0,INDEX(Residents!$J$5:$J$185,MIN(181,ROUNDUP(L12,0))))+IF(M12&lt;=0,0,INDEX(Residents!$J$5:$J$185,MIN(181,ROUNDUP(M12,0))))+IF(N12&lt;=0,0,INDEX(Residents!$J$5:$J$185,MIN(181,ROUNDUP(N12,0))))+IF(O12&lt;=0,0,INDEX(Residents!$J$5:$J$185,MIN(181,ROUNDUP(O12,0))))+IF(P12&lt;=0,0,INDEX(Residents!$J$5:$J$185,MIN(181,ROUNDUP(P12,0))))+IF(Q12&lt;=0,0,INDEX(Residents!$J$5:$J$185,MIN(181,ROUNDUP(Q12,0))))+IF(R12&lt;=0,0,INDEX(Residents!$J$5:$J$185,MIN(181,ROUNDUP(R12,0))))+IF(S12&lt;=0,0,INDEX(Residents!$J$5:$J$185,MIN(181,ROUNDUP(S12,0))))+IF(T12&lt;=0,0,INDEX(Residents!$J$5:$J$185,MIN(181,ROUNDUP(T12,0))))+IF(U12&lt;=0,0,INDEX(Residents!$J$5:$J$185,MIN(181,ROUNDUP(U12,0)))))/10/Residents!$J$185</f>
        <v>0.651314119513443</v>
      </c>
      <c r="L12" s="24" t="n">
        <f aca="false">IF(Payor!$B$7*(1+Inputs!$B$64)^(A12-2026)&lt;=Inputs!$B$20,0,(Payor!$B$7*(1+Inputs!$B$64)^(A12-2026)-Inputs!$B$20)/((Inputs!$B$15*(1+Inputs!$B$58)^(A12-2026)-Inputs!$B$21*(1+Inputs!$B$65)^(A12-2026))*Inputs!$B$76))</f>
        <v>4.88016794674556</v>
      </c>
      <c r="M12" s="24" t="n">
        <f aca="false">IF(Payor!$B$8*(1+Inputs!$B$64)^(A12-2026)&lt;=Inputs!$B$20,0,(Payor!$B$8*(1+Inputs!$B$64)^(A12-2026)-Inputs!$B$20)/((Inputs!$B$15*(1+Inputs!$B$58)^(A12-2026)-Inputs!$B$21*(1+Inputs!$B$65)^(A12-2026))*Inputs!$B$76))</f>
        <v>9.47702036017913</v>
      </c>
      <c r="N12" s="24" t="n">
        <f aca="false">IF(Payor!$B$9*(1+Inputs!$B$64)^(A12-2026)&lt;=Inputs!$B$20,0,(Payor!$B$9*(1+Inputs!$B$64)^(A12-2026)-Inputs!$B$20)/((Inputs!$B$15*(1+Inputs!$B$58)^(A12-2026)-Inputs!$B$21*(1+Inputs!$B$65)^(A12-2026))*Inputs!$B$76))</f>
        <v>14.2380460740925</v>
      </c>
      <c r="O12" s="24" t="n">
        <f aca="false">IF(Payor!$B$10*(1+Inputs!$B$64)^(A12-2026)&lt;=Inputs!$B$20,0,(Payor!$B$10*(1+Inputs!$B$64)^(A12-2026)-Inputs!$B$20)/((Inputs!$B$15*(1+Inputs!$B$58)^(A12-2026)-Inputs!$B$21*(1+Inputs!$B$65)^(A12-2026))*Inputs!$B$76))</f>
        <v>19.6557649899249</v>
      </c>
      <c r="P12" s="24" t="n">
        <f aca="false">IF(Payor!$B$11*(1+Inputs!$B$64)^(A12-2026)&lt;=Inputs!$B$20,0,(Payor!$B$11*(1+Inputs!$B$64)^(A12-2026)-Inputs!$B$20)/((Inputs!$B$15*(1+Inputs!$B$58)^(A12-2026)-Inputs!$B$21*(1+Inputs!$B$65)^(A12-2026))*Inputs!$B$76))</f>
        <v>25.2376572062371</v>
      </c>
      <c r="Q12" s="24" t="n">
        <f aca="false">IF(Payor!$B$12*(1+Inputs!$B$64)^(A12-2026)&lt;=Inputs!$B$20,0,(Payor!$B$12*(1+Inputs!$B$64)^(A12-2026)-Inputs!$B$20)/((Inputs!$B$15*(1+Inputs!$B$58)^(A12-2026)-Inputs!$B$21*(1+Inputs!$B$65)^(A12-2026))*Inputs!$B$76))</f>
        <v>31.4762426244684</v>
      </c>
      <c r="R12" s="24" t="n">
        <f aca="false">IF(Payor!$B$13*(1+Inputs!$B$64)^(A12-2026)&lt;=Inputs!$B$20,0,(Payor!$B$13*(1+Inputs!$B$64)^(A12-2026)-Inputs!$B$20)/((Inputs!$B$15*(1+Inputs!$B$58)^(A12-2026)-Inputs!$B$21*(1+Inputs!$B$65)^(A12-2026))*Inputs!$B$76))</f>
        <v>38.8640411460581</v>
      </c>
      <c r="S12" s="24" t="n">
        <f aca="false">IF(Payor!$B$14*(1+Inputs!$B$64)^(A12-2026)&lt;=Inputs!$B$20,0,(Payor!$B$14*(1+Inputs!$B$64)^(A12-2026)-Inputs!$B$20)/((Inputs!$B$15*(1+Inputs!$B$58)^(A12-2026)-Inputs!$B$21*(1+Inputs!$B$65)^(A12-2026))*Inputs!$B$76))</f>
        <v>48.221919273405</v>
      </c>
      <c r="T12" s="24" t="n">
        <f aca="false">IF(Payor!$B$15*(1+Inputs!$B$64)^(A12-2026)&lt;=Inputs!$B$20,0,(Payor!$B$15*(1+Inputs!$B$64)^(A12-2026)-Inputs!$B$20)/((Inputs!$B$15*(1+Inputs!$B$58)^(A12-2026)-Inputs!$B$21*(1+Inputs!$B$65)^(A12-2026))*Inputs!$B$76))</f>
        <v>62.6691697156248</v>
      </c>
      <c r="U12" s="24" t="n">
        <f aca="false">IF(Payor!$B$16*(1+Inputs!$B$64)^(A12-2026)&lt;=Inputs!$B$20,0,(Payor!$B$16*(1+Inputs!$B$64)^(A12-2026)-Inputs!$B$20)/((Inputs!$B$15*(1+Inputs!$B$58)^(A12-2026)-Inputs!$B$21*(1+Inputs!$B$65)^(A12-2026))*Inputs!$B$76))</f>
        <v>98.7872958211743</v>
      </c>
    </row>
    <row r="13" customFormat="false" ht="15" hidden="false" customHeight="false" outlineLevel="0" collapsed="false">
      <c r="A13" s="0" t="n">
        <v>2034</v>
      </c>
      <c r="B13" s="25" t="n">
        <f aca="false">Residents!$B$189*Inputs!$B$75*(J13*Inputs!$B$15*(1+Inputs!$B$58)^(A13-2026)+(1-J13)*(Inputs!$B$16*(1+Inputs!$B$59)^(A13-2026)+Inputs!$B$18*Inputs!$B$17*(1+Inputs!$B$60)^(A13-2026)))</f>
        <v>6624109.81890606</v>
      </c>
      <c r="C13" s="25" t="n">
        <f aca="false">Result!$B$20*(1+Inputs!$B$61)^(A13-2026)</f>
        <v>3826073.9290283</v>
      </c>
      <c r="D13" s="25" t="n">
        <f aca="false">(Result!$B$24+Result!$B$25+Result!$B$26)*(1+Inputs!$B$62)^(A13-2026)</f>
        <v>825288.040323218</v>
      </c>
      <c r="E13" s="25" t="n">
        <f aca="false">B13-C13-D13</f>
        <v>1972747.84955454</v>
      </c>
      <c r="F13" s="23" t="n">
        <f aca="false">E13/B13</f>
        <v>0.297813276574018</v>
      </c>
      <c r="G13" s="25" t="n">
        <f aca="false">Result!$B$33*(1+Inputs!$B$63)^(A13-2026)</f>
        <v>1059303.17458248</v>
      </c>
      <c r="H13" s="16" t="n">
        <f aca="false">E13/G13</f>
        <v>1.86230712499477</v>
      </c>
      <c r="I13" s="25" t="n">
        <f aca="false">E13-Inputs!$B$51*B13-G13</f>
        <v>582239.184026751</v>
      </c>
      <c r="J13" s="23" t="n">
        <f aca="false">K13*Inputs!$B$19</f>
        <v>0.357700475552311</v>
      </c>
      <c r="K13" s="23" t="n">
        <f aca="false">(IF(L13&lt;=0,0,INDEX(Residents!$J$5:$J$185,MIN(181,ROUNDUP(L13,0))))+IF(M13&lt;=0,0,INDEX(Residents!$J$5:$J$185,MIN(181,ROUNDUP(M13,0))))+IF(N13&lt;=0,0,INDEX(Residents!$J$5:$J$185,MIN(181,ROUNDUP(N13,0))))+IF(O13&lt;=0,0,INDEX(Residents!$J$5:$J$185,MIN(181,ROUNDUP(O13,0))))+IF(P13&lt;=0,0,INDEX(Residents!$J$5:$J$185,MIN(181,ROUNDUP(P13,0))))+IF(Q13&lt;=0,0,INDEX(Residents!$J$5:$J$185,MIN(181,ROUNDUP(Q13,0))))+IF(R13&lt;=0,0,INDEX(Residents!$J$5:$J$185,MIN(181,ROUNDUP(R13,0))))+IF(S13&lt;=0,0,INDEX(Residents!$J$5:$J$185,MIN(181,ROUNDUP(S13,0))))+IF(T13&lt;=0,0,INDEX(Residents!$J$5:$J$185,MIN(181,ROUNDUP(T13,0))))+IF(U13&lt;=0,0,INDEX(Residents!$J$5:$J$185,MIN(181,ROUNDUP(U13,0)))))/10/Residents!$J$185</f>
        <v>0.650364501004202</v>
      </c>
      <c r="L13" s="24" t="n">
        <f aca="false">IF(Payor!$B$7*(1+Inputs!$B$64)^(A13-2026)&lt;=Inputs!$B$20,0,(Payor!$B$7*(1+Inputs!$B$64)^(A13-2026)-Inputs!$B$20)/((Inputs!$B$15*(1+Inputs!$B$58)^(A13-2026)-Inputs!$B$21*(1+Inputs!$B$65)^(A13-2026))*Inputs!$B$76))</f>
        <v>4.91978700309923</v>
      </c>
      <c r="M13" s="24" t="n">
        <f aca="false">IF(Payor!$B$8*(1+Inputs!$B$64)^(A13-2026)&lt;=Inputs!$B$20,0,(Payor!$B$8*(1+Inputs!$B$64)^(A13-2026)-Inputs!$B$20)/((Inputs!$B$15*(1+Inputs!$B$58)^(A13-2026)-Inputs!$B$21*(1+Inputs!$B$65)^(A13-2026))*Inputs!$B$76))</f>
        <v>9.45958013641257</v>
      </c>
      <c r="N13" s="24" t="n">
        <f aca="false">IF(Payor!$B$9*(1+Inputs!$B$64)^(A13-2026)&lt;=Inputs!$B$20,0,(Payor!$B$9*(1+Inputs!$B$64)^(A13-2026)-Inputs!$B$20)/((Inputs!$B$15*(1+Inputs!$B$58)^(A13-2026)-Inputs!$B$21*(1+Inputs!$B$65)^(A13-2026))*Inputs!$B$76))</f>
        <v>14.1615087387728</v>
      </c>
      <c r="O13" s="24" t="n">
        <f aca="false">IF(Payor!$B$10*(1+Inputs!$B$64)^(A13-2026)&lt;=Inputs!$B$20,0,(Payor!$B$10*(1+Inputs!$B$64)^(A13-2026)-Inputs!$B$20)/((Inputs!$B$15*(1+Inputs!$B$58)^(A13-2026)-Inputs!$B$21*(1+Inputs!$B$65)^(A13-2026))*Inputs!$B$76))</f>
        <v>19.5119792173207</v>
      </c>
      <c r="P13" s="24" t="n">
        <f aca="false">IF(Payor!$B$11*(1+Inputs!$B$64)^(A13-2026)&lt;=Inputs!$B$20,0,(Payor!$B$11*(1+Inputs!$B$64)^(A13-2026)-Inputs!$B$20)/((Inputs!$B$15*(1+Inputs!$B$58)^(A13-2026)-Inputs!$B$21*(1+Inputs!$B$65)^(A13-2026))*Inputs!$B$76))</f>
        <v>25.0245851649155</v>
      </c>
      <c r="Q13" s="24" t="n">
        <f aca="false">IF(Payor!$B$12*(1+Inputs!$B$64)^(A13-2026)&lt;=Inputs!$B$20,0,(Payor!$B$12*(1+Inputs!$B$64)^(A13-2026)-Inputs!$B$20)/((Inputs!$B$15*(1+Inputs!$B$58)^(A13-2026)-Inputs!$B$21*(1+Inputs!$B$65)^(A13-2026))*Inputs!$B$76))</f>
        <v>31.1857329886979</v>
      </c>
      <c r="R13" s="24" t="n">
        <f aca="false">IF(Payor!$B$13*(1+Inputs!$B$64)^(A13-2026)&lt;=Inputs!$B$20,0,(Payor!$B$13*(1+Inputs!$B$64)^(A13-2026)-Inputs!$B$20)/((Inputs!$B$15*(1+Inputs!$B$58)^(A13-2026)-Inputs!$B$21*(1+Inputs!$B$65)^(A13-2026))*Inputs!$B$76))</f>
        <v>38.4818290958086</v>
      </c>
      <c r="S13" s="24" t="n">
        <f aca="false">IF(Payor!$B$14*(1+Inputs!$B$64)^(A13-2026)&lt;=Inputs!$B$20,0,(Payor!$B$14*(1+Inputs!$B$64)^(A13-2026)-Inputs!$B$20)/((Inputs!$B$15*(1+Inputs!$B$58)^(A13-2026)-Inputs!$B$21*(1+Inputs!$B$65)^(A13-2026))*Inputs!$B$76))</f>
        <v>47.7235508314822</v>
      </c>
      <c r="T13" s="24" t="n">
        <f aca="false">IF(Payor!$B$15*(1+Inputs!$B$64)^(A13-2026)&lt;=Inputs!$B$20,0,(Payor!$B$15*(1+Inputs!$B$64)^(A13-2026)-Inputs!$B$20)/((Inputs!$B$15*(1+Inputs!$B$58)^(A13-2026)-Inputs!$B$21*(1+Inputs!$B$65)^(A13-2026))*Inputs!$B$76))</f>
        <v>61.9914721076098</v>
      </c>
      <c r="U13" s="24" t="n">
        <f aca="false">IF(Payor!$B$16*(1+Inputs!$B$64)^(A13-2026)&lt;=Inputs!$B$20,0,(Payor!$B$16*(1+Inputs!$B$64)^(A13-2026)-Inputs!$B$20)/((Inputs!$B$15*(1+Inputs!$B$58)^(A13-2026)-Inputs!$B$21*(1+Inputs!$B$65)^(A13-2026))*Inputs!$B$76))</f>
        <v>97.661275297929</v>
      </c>
    </row>
    <row r="14" customFormat="false" ht="15" hidden="false" customHeight="false" outlineLevel="0" collapsed="false">
      <c r="A14" s="0" t="n">
        <v>2035</v>
      </c>
      <c r="B14" s="25" t="n">
        <f aca="false">Residents!$B$189*Inputs!$B$75*(J14*Inputs!$B$15*(1+Inputs!$B$58)^(A14-2026)+(1-J14)*(Inputs!$B$16*(1+Inputs!$B$59)^(A14-2026)+Inputs!$B$18*Inputs!$B$17*(1+Inputs!$B$60)^(A14-2026)))</f>
        <v>6872052.7055934</v>
      </c>
      <c r="C14" s="25" t="n">
        <f aca="false">Result!$B$20*(1+Inputs!$B$61)^(A14-2026)</f>
        <v>3986769.03404749</v>
      </c>
      <c r="D14" s="25" t="n">
        <f aca="false">(Result!$B$24+Result!$B$25+Result!$B$26)*(1+Inputs!$B$62)^(A14-2026)</f>
        <v>850046.681532915</v>
      </c>
      <c r="E14" s="25" t="n">
        <f aca="false">B14-C14-D14</f>
        <v>2035236.990013</v>
      </c>
      <c r="F14" s="23" t="n">
        <f aca="false">E14/B14</f>
        <v>0.296161434902333</v>
      </c>
      <c r="G14" s="25" t="n">
        <f aca="false">Result!$B$33*(1+Inputs!$B$63)^(A14-2026)</f>
        <v>1088963.66347079</v>
      </c>
      <c r="H14" s="16" t="n">
        <f aca="false">E14/G14</f>
        <v>1.8689668519574</v>
      </c>
      <c r="I14" s="25" t="n">
        <f aca="false">E14-Inputs!$B$51*B14-G14</f>
        <v>602670.691262539</v>
      </c>
      <c r="J14" s="23" t="n">
        <f aca="false">K14*Inputs!$B$19</f>
        <v>0.356253668531519</v>
      </c>
      <c r="K14" s="23" t="n">
        <f aca="false">(IF(L14&lt;=0,0,INDEX(Residents!$J$5:$J$185,MIN(181,ROUNDUP(L14,0))))+IF(M14&lt;=0,0,INDEX(Residents!$J$5:$J$185,MIN(181,ROUNDUP(M14,0))))+IF(N14&lt;=0,0,INDEX(Residents!$J$5:$J$185,MIN(181,ROUNDUP(N14,0))))+IF(O14&lt;=0,0,INDEX(Residents!$J$5:$J$185,MIN(181,ROUNDUP(O14,0))))+IF(P14&lt;=0,0,INDEX(Residents!$J$5:$J$185,MIN(181,ROUNDUP(P14,0))))+IF(Q14&lt;=0,0,INDEX(Residents!$J$5:$J$185,MIN(181,ROUNDUP(Q14,0))))+IF(R14&lt;=0,0,INDEX(Residents!$J$5:$J$185,MIN(181,ROUNDUP(R14,0))))+IF(S14&lt;=0,0,INDEX(Residents!$J$5:$J$185,MIN(181,ROUNDUP(S14,0))))+IF(T14&lt;=0,0,INDEX(Residents!$J$5:$J$185,MIN(181,ROUNDUP(T14,0))))+IF(U14&lt;=0,0,INDEX(Residents!$J$5:$J$185,MIN(181,ROUNDUP(U14,0)))))/10/Residents!$J$185</f>
        <v>0.64773394278458</v>
      </c>
      <c r="L14" s="24" t="n">
        <f aca="false">IF(Payor!$B$7*(1+Inputs!$B$64)^(A14-2026)&lt;=Inputs!$B$20,0,(Payor!$B$7*(1+Inputs!$B$64)^(A14-2026)-Inputs!$B$20)/((Inputs!$B$15*(1+Inputs!$B$58)^(A14-2026)-Inputs!$B$21*(1+Inputs!$B$65)^(A14-2026))*Inputs!$B$76))</f>
        <v>4.95452810364073</v>
      </c>
      <c r="M14" s="24" t="n">
        <f aca="false">IF(Payor!$B$8*(1+Inputs!$B$64)^(A14-2026)&lt;=Inputs!$B$20,0,(Payor!$B$8*(1+Inputs!$B$64)^(A14-2026)-Inputs!$B$20)/((Inputs!$B$15*(1+Inputs!$B$58)^(A14-2026)-Inputs!$B$21*(1+Inputs!$B$65)^(A14-2026))*Inputs!$B$76))</f>
        <v>9.43815454926514</v>
      </c>
      <c r="N14" s="24" t="n">
        <f aca="false">IF(Payor!$B$9*(1+Inputs!$B$64)^(A14-2026)&lt;=Inputs!$B$20,0,(Payor!$B$9*(1+Inputs!$B$64)^(A14-2026)-Inputs!$B$20)/((Inputs!$B$15*(1+Inputs!$B$58)^(A14-2026)-Inputs!$B$21*(1+Inputs!$B$65)^(A14-2026))*Inputs!$B$76))</f>
        <v>14.0819105108047</v>
      </c>
      <c r="O14" s="24" t="n">
        <f aca="false">IF(Payor!$B$10*(1+Inputs!$B$64)^(A14-2026)&lt;=Inputs!$B$20,0,(Payor!$B$10*(1+Inputs!$B$64)^(A14-2026)-Inputs!$B$20)/((Inputs!$B$15*(1+Inputs!$B$58)^(A14-2026)-Inputs!$B$21*(1+Inputs!$B$65)^(A14-2026))*Inputs!$B$76))</f>
        <v>19.3661845360049</v>
      </c>
      <c r="P14" s="24" t="n">
        <f aca="false">IF(Payor!$B$11*(1+Inputs!$B$64)^(A14-2026)&lt;=Inputs!$B$20,0,(Payor!$B$11*(1+Inputs!$B$64)^(A14-2026)-Inputs!$B$20)/((Inputs!$B$15*(1+Inputs!$B$58)^(A14-2026)-Inputs!$B$21*(1+Inputs!$B$65)^(A14-2026))*Inputs!$B$76))</f>
        <v>24.8105880771203</v>
      </c>
      <c r="Q14" s="24" t="n">
        <f aca="false">IF(Payor!$B$12*(1+Inputs!$B$64)^(A14-2026)&lt;=Inputs!$B$20,0,(Payor!$B$12*(1+Inputs!$B$64)^(A14-2026)-Inputs!$B$20)/((Inputs!$B$15*(1+Inputs!$B$58)^(A14-2026)-Inputs!$B$21*(1+Inputs!$B$65)^(A14-2026))*Inputs!$B$76))</f>
        <v>30.8955096818962</v>
      </c>
      <c r="R14" s="24" t="n">
        <f aca="false">IF(Payor!$B$13*(1+Inputs!$B$64)^(A14-2026)&lt;=Inputs!$B$20,0,(Payor!$B$13*(1+Inputs!$B$64)^(A14-2026)-Inputs!$B$20)/((Inputs!$B$15*(1+Inputs!$B$58)^(A14-2026)-Inputs!$B$21*(1+Inputs!$B$65)^(A14-2026))*Inputs!$B$76))</f>
        <v>38.1013378980783</v>
      </c>
      <c r="S14" s="24" t="n">
        <f aca="false">IF(Payor!$B$14*(1+Inputs!$B$64)^(A14-2026)&lt;=Inputs!$B$20,0,(Payor!$B$14*(1+Inputs!$B$64)^(A14-2026)-Inputs!$B$20)/((Inputs!$B$15*(1+Inputs!$B$58)^(A14-2026)-Inputs!$B$21*(1+Inputs!$B$65)^(A14-2026))*Inputs!$B$76))</f>
        <v>47.2287203052423</v>
      </c>
      <c r="T14" s="24" t="n">
        <f aca="false">IF(Payor!$B$15*(1+Inputs!$B$64)^(A14-2026)&lt;=Inputs!$B$20,0,(Payor!$B$15*(1+Inputs!$B$64)^(A14-2026)-Inputs!$B$20)/((Inputs!$B$15*(1+Inputs!$B$58)^(A14-2026)-Inputs!$B$21*(1+Inputs!$B$65)^(A14-2026))*Inputs!$B$76))</f>
        <v>61.3201177057762</v>
      </c>
      <c r="U14" s="24" t="n">
        <f aca="false">IF(Payor!$B$16*(1+Inputs!$B$64)^(A14-2026)&lt;=Inputs!$B$20,0,(Payor!$B$16*(1+Inputs!$B$64)^(A14-2026)-Inputs!$B$20)/((Inputs!$B$15*(1+Inputs!$B$58)^(A14-2026)-Inputs!$B$21*(1+Inputs!$B$65)^(A14-2026))*Inputs!$B$76))</f>
        <v>96.5486112071108</v>
      </c>
    </row>
    <row r="15" customFormat="false" ht="15" hidden="false" customHeight="false" outlineLevel="0" collapsed="false">
      <c r="A15" s="0" t="n">
        <v>2036</v>
      </c>
      <c r="B15" s="25" t="n">
        <f aca="false">Residents!$B$189*Inputs!$B$75*(J15*Inputs!$B$15*(1+Inputs!$B$58)^(A15-2026)+(1-J15)*(Inputs!$B$16*(1+Inputs!$B$59)^(A15-2026)+Inputs!$B$18*Inputs!$B$17*(1+Inputs!$B$60)^(A15-2026)))</f>
        <v>7127791.38806633</v>
      </c>
      <c r="C15" s="25" t="n">
        <f aca="false">Result!$B$20*(1+Inputs!$B$61)^(A15-2026)</f>
        <v>4154213.33347748</v>
      </c>
      <c r="D15" s="25" t="n">
        <f aca="false">(Result!$B$24+Result!$B$25+Result!$B$26)*(1+Inputs!$B$62)^(A15-2026)</f>
        <v>875548.081978902</v>
      </c>
      <c r="E15" s="25" t="n">
        <f aca="false">B15-C15-D15</f>
        <v>2098029.97260995</v>
      </c>
      <c r="F15" s="23" t="n">
        <f aca="false">E15/B15</f>
        <v>0.294345030372601</v>
      </c>
      <c r="G15" s="25" t="n">
        <f aca="false">Result!$B$33*(1+Inputs!$B$63)^(A15-2026)</f>
        <v>1119454.64604798</v>
      </c>
      <c r="H15" s="16" t="n">
        <f aca="false">E15/G15</f>
        <v>1.87415361579556</v>
      </c>
      <c r="I15" s="25" t="n">
        <f aca="false">E15-Inputs!$B$51*B15-G15</f>
        <v>622185.757158655</v>
      </c>
      <c r="J15" s="23" t="n">
        <f aca="false">K15*Inputs!$B$19</f>
        <v>0.354009375331311</v>
      </c>
      <c r="K15" s="23" t="n">
        <f aca="false">(IF(L15&lt;=0,0,INDEX(Residents!$J$5:$J$185,MIN(181,ROUNDUP(L15,0))))+IF(M15&lt;=0,0,INDEX(Residents!$J$5:$J$185,MIN(181,ROUNDUP(M15,0))))+IF(N15&lt;=0,0,INDEX(Residents!$J$5:$J$185,MIN(181,ROUNDUP(N15,0))))+IF(O15&lt;=0,0,INDEX(Residents!$J$5:$J$185,MIN(181,ROUNDUP(O15,0))))+IF(P15&lt;=0,0,INDEX(Residents!$J$5:$J$185,MIN(181,ROUNDUP(P15,0))))+IF(Q15&lt;=0,0,INDEX(Residents!$J$5:$J$185,MIN(181,ROUNDUP(Q15,0))))+IF(R15&lt;=0,0,INDEX(Residents!$J$5:$J$185,MIN(181,ROUNDUP(R15,0))))+IF(S15&lt;=0,0,INDEX(Residents!$J$5:$J$185,MIN(181,ROUNDUP(S15,0))))+IF(T15&lt;=0,0,INDEX(Residents!$J$5:$J$185,MIN(181,ROUNDUP(T15,0))))+IF(U15&lt;=0,0,INDEX(Residents!$J$5:$J$185,MIN(181,ROUNDUP(U15,0)))))/10/Residents!$J$185</f>
        <v>0.643653409693292</v>
      </c>
      <c r="L15" s="24" t="n">
        <f aca="false">IF(Payor!$B$7*(1+Inputs!$B$64)^(A15-2026)&lt;=Inputs!$B$20,0,(Payor!$B$7*(1+Inputs!$B$64)^(A15-2026)-Inputs!$B$20)/((Inputs!$B$15*(1+Inputs!$B$58)^(A15-2026)-Inputs!$B$21*(1+Inputs!$B$65)^(A15-2026))*Inputs!$B$76))</f>
        <v>4.98466477812372</v>
      </c>
      <c r="M15" s="24" t="n">
        <f aca="false">IF(Payor!$B$8*(1+Inputs!$B$64)^(A15-2026)&lt;=Inputs!$B$20,0,(Payor!$B$8*(1+Inputs!$B$64)^(A15-2026)-Inputs!$B$20)/((Inputs!$B$15*(1+Inputs!$B$58)^(A15-2026)-Inputs!$B$21*(1+Inputs!$B$65)^(A15-2026))*Inputs!$B$76))</f>
        <v>9.41299838744554</v>
      </c>
      <c r="N15" s="24" t="n">
        <f aca="false">IF(Payor!$B$9*(1+Inputs!$B$64)^(A15-2026)&lt;=Inputs!$B$20,0,(Payor!$B$9*(1+Inputs!$B$64)^(A15-2026)-Inputs!$B$20)/((Inputs!$B$15*(1+Inputs!$B$58)^(A15-2026)-Inputs!$B$21*(1+Inputs!$B$65)^(A15-2026))*Inputs!$B$76))</f>
        <v>13.9994867685289</v>
      </c>
      <c r="O15" s="24" t="n">
        <f aca="false">IF(Payor!$B$10*(1+Inputs!$B$64)^(A15-2026)&lt;=Inputs!$B$20,0,(Payor!$B$10*(1+Inputs!$B$64)^(A15-2026)-Inputs!$B$20)/((Inputs!$B$15*(1+Inputs!$B$58)^(A15-2026)-Inputs!$B$21*(1+Inputs!$B$65)^(A15-2026))*Inputs!$B$76))</f>
        <v>19.2185942366581</v>
      </c>
      <c r="P15" s="24" t="n">
        <f aca="false">IF(Payor!$B$11*(1+Inputs!$B$64)^(A15-2026)&lt;=Inputs!$B$20,0,(Payor!$B$11*(1+Inputs!$B$64)^(A15-2026)-Inputs!$B$20)/((Inputs!$B$15*(1+Inputs!$B$58)^(A15-2026)-Inputs!$B$21*(1+Inputs!$B$65)^(A15-2026))*Inputs!$B$76))</f>
        <v>24.5958564765489</v>
      </c>
      <c r="Q15" s="24" t="n">
        <f aca="false">IF(Payor!$B$12*(1+Inputs!$B$64)^(A15-2026)&lt;=Inputs!$B$20,0,(Payor!$B$12*(1+Inputs!$B$64)^(A15-2026)-Inputs!$B$20)/((Inputs!$B$15*(1+Inputs!$B$58)^(A15-2026)-Inputs!$B$21*(1+Inputs!$B$65)^(A15-2026))*Inputs!$B$76))</f>
        <v>30.6057378034857</v>
      </c>
      <c r="R15" s="24" t="n">
        <f aca="false">IF(Payor!$B$13*(1+Inputs!$B$64)^(A15-2026)&lt;=Inputs!$B$20,0,(Payor!$B$13*(1+Inputs!$B$64)^(A15-2026)-Inputs!$B$20)/((Inputs!$B$15*(1+Inputs!$B$58)^(A15-2026)-Inputs!$B$21*(1+Inputs!$B$65)^(A15-2026))*Inputs!$B$76))</f>
        <v>37.7227025327529</v>
      </c>
      <c r="S15" s="24" t="n">
        <f aca="false">IF(Payor!$B$14*(1+Inputs!$B$64)^(A15-2026)&lt;=Inputs!$B$20,0,(Payor!$B$14*(1+Inputs!$B$64)^(A15-2026)-Inputs!$B$20)/((Inputs!$B$15*(1+Inputs!$B$58)^(A15-2026)-Inputs!$B$21*(1+Inputs!$B$65)^(A15-2026))*Inputs!$B$76))</f>
        <v>46.737524523158</v>
      </c>
      <c r="T15" s="24" t="n">
        <f aca="false">IF(Payor!$B$15*(1+Inputs!$B$64)^(A15-2026)&lt;=Inputs!$B$20,0,(Payor!$B$15*(1+Inputs!$B$64)^(A15-2026)-Inputs!$B$20)/((Inputs!$B$15*(1+Inputs!$B$58)^(A15-2026)-Inputs!$B$21*(1+Inputs!$B$65)^(A15-2026))*Inputs!$B$76))</f>
        <v>60.6551444381695</v>
      </c>
      <c r="U15" s="24" t="n">
        <f aca="false">IF(Payor!$B$16*(1+Inputs!$B$64)^(A15-2026)&lt;=Inputs!$B$20,0,(Payor!$B$16*(1+Inputs!$B$64)^(A15-2026)-Inputs!$B$20)/((Inputs!$B$15*(1+Inputs!$B$58)^(A15-2026)-Inputs!$B$21*(1+Inputs!$B$65)^(A15-2026))*Inputs!$B$76))</f>
        <v>95.449194225698</v>
      </c>
    </row>
    <row r="16" customFormat="false" ht="15" hidden="false" customHeight="false" outlineLevel="0" collapsed="false">
      <c r="A16" s="0" t="n">
        <v>2037</v>
      </c>
      <c r="B16" s="25" t="n">
        <f aca="false">Residents!$B$189*Inputs!$B$75*(J16*Inputs!$B$15*(1+Inputs!$B$58)^(A16-2026)+(1-J16)*(Inputs!$B$16*(1+Inputs!$B$59)^(A16-2026)+Inputs!$B$18*Inputs!$B$17*(1+Inputs!$B$60)^(A16-2026)))</f>
        <v>7400496.16148785</v>
      </c>
      <c r="C16" s="25" t="n">
        <f aca="false">Result!$B$20*(1+Inputs!$B$61)^(A16-2026)</f>
        <v>4328690.29348354</v>
      </c>
      <c r="D16" s="25" t="n">
        <f aca="false">(Result!$B$24+Result!$B$25+Result!$B$26)*(1+Inputs!$B$62)^(A16-2026)</f>
        <v>901814.524438269</v>
      </c>
      <c r="E16" s="25" t="n">
        <f aca="false">B16-C16-D16</f>
        <v>2169991.34356604</v>
      </c>
      <c r="F16" s="23" t="n">
        <f aca="false">E16/B16</f>
        <v>0.293222413229354</v>
      </c>
      <c r="G16" s="25" t="n">
        <f aca="false">Result!$B$33*(1+Inputs!$B$63)^(A16-2026)</f>
        <v>1150799.37613732</v>
      </c>
      <c r="H16" s="16" t="n">
        <f aca="false">E16/G16</f>
        <v>1.88563826898278</v>
      </c>
      <c r="I16" s="25" t="n">
        <f aca="false">E16-Inputs!$B$51*B16-G16</f>
        <v>649167.159354328</v>
      </c>
      <c r="J16" s="23" t="n">
        <f aca="false">K16*Inputs!$B$19</f>
        <v>0.355558447422831</v>
      </c>
      <c r="K16" s="23" t="n">
        <f aca="false">(IF(L16&lt;=0,0,INDEX(Residents!$J$5:$J$185,MIN(181,ROUNDUP(L16,0))))+IF(M16&lt;=0,0,INDEX(Residents!$J$5:$J$185,MIN(181,ROUNDUP(M16,0))))+IF(N16&lt;=0,0,INDEX(Residents!$J$5:$J$185,MIN(181,ROUNDUP(N16,0))))+IF(O16&lt;=0,0,INDEX(Residents!$J$5:$J$185,MIN(181,ROUNDUP(O16,0))))+IF(P16&lt;=0,0,INDEX(Residents!$J$5:$J$185,MIN(181,ROUNDUP(P16,0))))+IF(Q16&lt;=0,0,INDEX(Residents!$J$5:$J$185,MIN(181,ROUNDUP(Q16,0))))+IF(R16&lt;=0,0,INDEX(Residents!$J$5:$J$185,MIN(181,ROUNDUP(R16,0))))+IF(S16&lt;=0,0,INDEX(Residents!$J$5:$J$185,MIN(181,ROUNDUP(S16,0))))+IF(T16&lt;=0,0,INDEX(Residents!$J$5:$J$185,MIN(181,ROUNDUP(T16,0))))+IF(U16&lt;=0,0,INDEX(Residents!$J$5:$J$185,MIN(181,ROUNDUP(U16,0)))))/10/Residents!$J$185</f>
        <v>0.646469904405146</v>
      </c>
      <c r="L16" s="24" t="n">
        <f aca="false">IF(Payor!$B$7*(1+Inputs!$B$64)^(A16-2026)&lt;=Inputs!$B$20,0,(Payor!$B$7*(1+Inputs!$B$64)^(A16-2026)-Inputs!$B$20)/((Inputs!$B$15*(1+Inputs!$B$58)^(A16-2026)-Inputs!$B$21*(1+Inputs!$B$65)^(A16-2026))*Inputs!$B$76))</f>
        <v>5.01045643932556</v>
      </c>
      <c r="M16" s="24" t="n">
        <f aca="false">IF(Payor!$B$8*(1+Inputs!$B$64)^(A16-2026)&lt;=Inputs!$B$20,0,(Payor!$B$8*(1+Inputs!$B$64)^(A16-2026)-Inputs!$B$20)/((Inputs!$B$15*(1+Inputs!$B$58)^(A16-2026)-Inputs!$B$21*(1+Inputs!$B$65)^(A16-2026))*Inputs!$B$76))</f>
        <v>9.38435284253453</v>
      </c>
      <c r="N16" s="24" t="n">
        <f aca="false">IF(Payor!$B$9*(1+Inputs!$B$64)^(A16-2026)&lt;=Inputs!$B$20,0,(Payor!$B$9*(1+Inputs!$B$64)^(A16-2026)-Inputs!$B$20)/((Inputs!$B$15*(1+Inputs!$B$58)^(A16-2026)-Inputs!$B$21*(1+Inputs!$B$65)^(A16-2026))*Inputs!$B$76))</f>
        <v>13.9144598315724</v>
      </c>
      <c r="O16" s="24" t="n">
        <f aca="false">IF(Payor!$B$10*(1+Inputs!$B$64)^(A16-2026)&lt;=Inputs!$B$20,0,(Payor!$B$10*(1+Inputs!$B$64)^(A16-2026)-Inputs!$B$20)/((Inputs!$B$15*(1+Inputs!$B$58)^(A16-2026)-Inputs!$B$21*(1+Inputs!$B$65)^(A16-2026))*Inputs!$B$76))</f>
        <v>19.0694091639258</v>
      </c>
      <c r="P16" s="24" t="n">
        <f aca="false">IF(Payor!$B$11*(1+Inputs!$B$64)^(A16-2026)&lt;=Inputs!$B$20,0,(Payor!$B$11*(1+Inputs!$B$64)^(A16-2026)-Inputs!$B$20)/((Inputs!$B$15*(1+Inputs!$B$58)^(A16-2026)-Inputs!$B$21*(1+Inputs!$B$65)^(A16-2026))*Inputs!$B$76))</f>
        <v>24.3805690821081</v>
      </c>
      <c r="Q16" s="24" t="n">
        <f aca="false">IF(Payor!$B$12*(1+Inputs!$B$64)^(A16-2026)&lt;=Inputs!$B$20,0,(Payor!$B$12*(1+Inputs!$B$64)^(A16-2026)-Inputs!$B$20)/((Inputs!$B$15*(1+Inputs!$B$58)^(A16-2026)-Inputs!$B$21*(1+Inputs!$B$65)^(A16-2026))*Inputs!$B$76))</f>
        <v>30.316571343606</v>
      </c>
      <c r="R16" s="24" t="n">
        <f aca="false">IF(Payor!$B$13*(1+Inputs!$B$64)^(A16-2026)&lt;=Inputs!$B$20,0,(Payor!$B$13*(1+Inputs!$B$64)^(A16-2026)-Inputs!$B$20)/((Inputs!$B$15*(1+Inputs!$B$58)^(A16-2026)-Inputs!$B$21*(1+Inputs!$B$65)^(A16-2026))*Inputs!$B$76))</f>
        <v>37.3460477059062</v>
      </c>
      <c r="S16" s="24" t="n">
        <f aca="false">IF(Payor!$B$14*(1+Inputs!$B$64)^(A16-2026)&lt;=Inputs!$B$20,0,(Payor!$B$14*(1+Inputs!$B$64)^(A16-2026)-Inputs!$B$20)/((Inputs!$B$15*(1+Inputs!$B$58)^(A16-2026)-Inputs!$B$21*(1+Inputs!$B$65)^(A16-2026))*Inputs!$B$76))</f>
        <v>46.250051098153</v>
      </c>
      <c r="T16" s="24" t="n">
        <f aca="false">IF(Payor!$B$15*(1+Inputs!$B$64)^(A16-2026)&lt;=Inputs!$B$20,0,(Payor!$B$15*(1+Inputs!$B$64)^(A16-2026)-Inputs!$B$20)/((Inputs!$B$15*(1+Inputs!$B$58)^(A16-2026)-Inputs!$B$21*(1+Inputs!$B$65)^(A16-2026))*Inputs!$B$76))</f>
        <v>59.9965826510955</v>
      </c>
      <c r="U16" s="24" t="n">
        <f aca="false">IF(Payor!$B$16*(1+Inputs!$B$64)^(A16-2026)&lt;=Inputs!$B$20,0,(Payor!$B$16*(1+Inputs!$B$64)^(A16-2026)-Inputs!$B$20)/((Inputs!$B$15*(1+Inputs!$B$58)^(A16-2026)-Inputs!$B$21*(1+Inputs!$B$65)^(A16-2026))*Inputs!$B$76))</f>
        <v>94.3629115334517</v>
      </c>
    </row>
    <row r="17" customFormat="false" ht="15" hidden="false" customHeight="false" outlineLevel="0" collapsed="false">
      <c r="A17" s="0" t="n">
        <v>2038</v>
      </c>
      <c r="B17" s="25" t="n">
        <f aca="false">Residents!$B$189*Inputs!$B$75*(J17*Inputs!$B$15*(1+Inputs!$B$58)^(A17-2026)+(1-J17)*(Inputs!$B$16*(1+Inputs!$B$59)^(A17-2026)+Inputs!$B$18*Inputs!$B$17*(1+Inputs!$B$60)^(A17-2026)))</f>
        <v>7676741.19022528</v>
      </c>
      <c r="C17" s="25" t="n">
        <f aca="false">Result!$B$20*(1+Inputs!$B$61)^(A17-2026)</f>
        <v>4510495.28580985</v>
      </c>
      <c r="D17" s="25" t="n">
        <f aca="false">(Result!$B$24+Result!$B$25+Result!$B$26)*(1+Inputs!$B$62)^(A17-2026)</f>
        <v>928868.960171417</v>
      </c>
      <c r="E17" s="25" t="n">
        <f aca="false">B17-C17-D17</f>
        <v>2237376.94424401</v>
      </c>
      <c r="F17" s="23" t="n">
        <f aca="false">E17/B17</f>
        <v>0.291448791720743</v>
      </c>
      <c r="G17" s="25" t="n">
        <f aca="false">Result!$B$33*(1+Inputs!$B$63)^(A17-2026)</f>
        <v>1183021.75866916</v>
      </c>
      <c r="H17" s="16" t="n">
        <f aca="false">E17/G17</f>
        <v>1.89123904767478</v>
      </c>
      <c r="I17" s="25" t="n">
        <f aca="false">E17-Inputs!$B$51*B17-G17</f>
        <v>670518.126063585</v>
      </c>
      <c r="J17" s="23" t="n">
        <f aca="false">K17*Inputs!$B$19</f>
        <v>0.353687054928571</v>
      </c>
      <c r="K17" s="23" t="n">
        <f aca="false">(IF(L17&lt;=0,0,INDEX(Residents!$J$5:$J$185,MIN(181,ROUNDUP(L17,0))))+IF(M17&lt;=0,0,INDEX(Residents!$J$5:$J$185,MIN(181,ROUNDUP(M17,0))))+IF(N17&lt;=0,0,INDEX(Residents!$J$5:$J$185,MIN(181,ROUNDUP(N17,0))))+IF(O17&lt;=0,0,INDEX(Residents!$J$5:$J$185,MIN(181,ROUNDUP(O17,0))))+IF(P17&lt;=0,0,INDEX(Residents!$J$5:$J$185,MIN(181,ROUNDUP(P17,0))))+IF(Q17&lt;=0,0,INDEX(Residents!$J$5:$J$185,MIN(181,ROUNDUP(Q17,0))))+IF(R17&lt;=0,0,INDEX(Residents!$J$5:$J$185,MIN(181,ROUNDUP(R17,0))))+IF(S17&lt;=0,0,INDEX(Residents!$J$5:$J$185,MIN(181,ROUNDUP(S17,0))))+IF(T17&lt;=0,0,INDEX(Residents!$J$5:$J$185,MIN(181,ROUNDUP(T17,0))))+IF(U17&lt;=0,0,INDEX(Residents!$J$5:$J$185,MIN(181,ROUNDUP(U17,0)))))/10/Residents!$J$185</f>
        <v>0.643067372597403</v>
      </c>
      <c r="L17" s="24" t="n">
        <f aca="false">IF(Payor!$B$7*(1+Inputs!$B$64)^(A17-2026)&lt;=Inputs!$B$20,0,(Payor!$B$7*(1+Inputs!$B$64)^(A17-2026)-Inputs!$B$20)/((Inputs!$B$15*(1+Inputs!$B$58)^(A17-2026)-Inputs!$B$21*(1+Inputs!$B$65)^(A17-2026))*Inputs!$B$76))</f>
        <v>5.03214911644291</v>
      </c>
      <c r="M17" s="24" t="n">
        <f aca="false">IF(Payor!$B$8*(1+Inputs!$B$64)^(A17-2026)&lt;=Inputs!$B$20,0,(Payor!$B$8*(1+Inputs!$B$64)^(A17-2026)-Inputs!$B$20)/((Inputs!$B$15*(1+Inputs!$B$58)^(A17-2026)-Inputs!$B$21*(1+Inputs!$B$65)^(A17-2026))*Inputs!$B$76))</f>
        <v>9.3524462243638</v>
      </c>
      <c r="N17" s="24" t="n">
        <f aca="false">IF(Payor!$B$9*(1+Inputs!$B$64)^(A17-2026)&lt;=Inputs!$B$20,0,(Payor!$B$9*(1+Inputs!$B$64)^(A17-2026)-Inputs!$B$20)/((Inputs!$B$15*(1+Inputs!$B$58)^(A17-2026)-Inputs!$B$21*(1+Inputs!$B$65)^(A17-2026))*Inputs!$B$76))</f>
        <v>13.8270396575676</v>
      </c>
      <c r="O17" s="24" t="n">
        <f aca="false">IF(Payor!$B$10*(1+Inputs!$B$64)^(A17-2026)&lt;=Inputs!$B$20,0,(Payor!$B$10*(1+Inputs!$B$64)^(A17-2026)-Inputs!$B$20)/((Inputs!$B$15*(1+Inputs!$B$58)^(A17-2026)-Inputs!$B$21*(1+Inputs!$B$65)^(A17-2026))*Inputs!$B$76))</f>
        <v>18.9188183919029</v>
      </c>
      <c r="P17" s="24" t="n">
        <f aca="false">IF(Payor!$B$11*(1+Inputs!$B$64)^(A17-2026)&lt;=Inputs!$B$20,0,(Payor!$B$11*(1+Inputs!$B$64)^(A17-2026)-Inputs!$B$20)/((Inputs!$B$15*(1+Inputs!$B$58)^(A17-2026)-Inputs!$B$21*(1+Inputs!$B$65)^(A17-2026))*Inputs!$B$76))</f>
        <v>24.1648934515211</v>
      </c>
      <c r="Q17" s="24" t="n">
        <f aca="false">IF(Payor!$B$12*(1+Inputs!$B$64)^(A17-2026)&lt;=Inputs!$B$20,0,(Payor!$B$12*(1+Inputs!$B$64)^(A17-2026)-Inputs!$B$20)/((Inputs!$B$15*(1+Inputs!$B$58)^(A17-2026)-Inputs!$B$21*(1+Inputs!$B$65)^(A17-2026))*Inputs!$B$76))</f>
        <v>30.0281538122709</v>
      </c>
      <c r="R17" s="24" t="n">
        <f aca="false">IF(Payor!$B$13*(1+Inputs!$B$64)^(A17-2026)&lt;=Inputs!$B$20,0,(Payor!$B$13*(1+Inputs!$B$64)^(A17-2026)-Inputs!$B$20)/((Inputs!$B$15*(1+Inputs!$B$58)^(A17-2026)-Inputs!$B$21*(1+Inputs!$B$65)^(A17-2026))*Inputs!$B$76))</f>
        <v>36.9714884500009</v>
      </c>
      <c r="S17" s="24" t="n">
        <f aca="false">IF(Payor!$B$14*(1+Inputs!$B$64)^(A17-2026)&lt;=Inputs!$B$20,0,(Payor!$B$14*(1+Inputs!$B$64)^(A17-2026)-Inputs!$B$20)/((Inputs!$B$15*(1+Inputs!$B$58)^(A17-2026)-Inputs!$B$21*(1+Inputs!$B$65)^(A17-2026))*Inputs!$B$76))</f>
        <v>45.7663789911256</v>
      </c>
      <c r="T17" s="24" t="n">
        <f aca="false">IF(Payor!$B$15*(1+Inputs!$B$64)^(A17-2026)&lt;=Inputs!$B$20,0,(Payor!$B$15*(1+Inputs!$B$64)^(A17-2026)-Inputs!$B$20)/((Inputs!$B$15*(1+Inputs!$B$58)^(A17-2026)-Inputs!$B$21*(1+Inputs!$B$65)^(A17-2026))*Inputs!$B$76))</f>
        <v>59.3444556160198</v>
      </c>
      <c r="U17" s="24" t="n">
        <f aca="false">IF(Payor!$B$16*(1+Inputs!$B$64)^(A17-2026)&lt;=Inputs!$B$20,0,(Payor!$B$16*(1+Inputs!$B$64)^(A17-2026)-Inputs!$B$20)/((Inputs!$B$15*(1+Inputs!$B$58)^(A17-2026)-Inputs!$B$21*(1+Inputs!$B$65)^(A17-2026))*Inputs!$B$76))</f>
        <v>93.2896471782554</v>
      </c>
    </row>
    <row r="18" customFormat="false" ht="15" hidden="false" customHeight="false" outlineLevel="0" collapsed="false">
      <c r="A18" s="0" t="n">
        <v>2039</v>
      </c>
      <c r="B18" s="25" t="n">
        <f aca="false">Residents!$B$189*Inputs!$B$75*(J18*Inputs!$B$15*(1+Inputs!$B$58)^(A18-2026)+(1-J18)*(Inputs!$B$16*(1+Inputs!$B$59)^(A18-2026)+Inputs!$B$18*Inputs!$B$17*(1+Inputs!$B$60)^(A18-2026)))</f>
        <v>7963577.75963835</v>
      </c>
      <c r="C18" s="25" t="n">
        <f aca="false">Result!$B$20*(1+Inputs!$B$61)^(A18-2026)</f>
        <v>4699936.08781386</v>
      </c>
      <c r="D18" s="25" t="n">
        <f aca="false">(Result!$B$24+Result!$B$25+Result!$B$26)*(1+Inputs!$B$62)^(A18-2026)</f>
        <v>956735.02897656</v>
      </c>
      <c r="E18" s="25" t="n">
        <f aca="false">B18-C18-D18</f>
        <v>2306906.64284793</v>
      </c>
      <c r="F18" s="23" t="n">
        <f aca="false">E18/B18</f>
        <v>0.289682189648475</v>
      </c>
      <c r="G18" s="25" t="n">
        <f aca="false">Result!$B$33*(1+Inputs!$B$63)^(A18-2026)</f>
        <v>1216146.3679119</v>
      </c>
      <c r="H18" s="16" t="n">
        <f aca="false">E18/G18</f>
        <v>1.89689884681303</v>
      </c>
      <c r="I18" s="25" t="n">
        <f aca="false">E18-Inputs!$B$51*B18-G18</f>
        <v>692581.386954115</v>
      </c>
      <c r="J18" s="23" t="n">
        <f aca="false">K18*Inputs!$B$19</f>
        <v>0.351977589536486</v>
      </c>
      <c r="K18" s="23" t="n">
        <f aca="false">(IF(L18&lt;=0,0,INDEX(Residents!$J$5:$J$185,MIN(181,ROUNDUP(L18,0))))+IF(M18&lt;=0,0,INDEX(Residents!$J$5:$J$185,MIN(181,ROUNDUP(M18,0))))+IF(N18&lt;=0,0,INDEX(Residents!$J$5:$J$185,MIN(181,ROUNDUP(N18,0))))+IF(O18&lt;=0,0,INDEX(Residents!$J$5:$J$185,MIN(181,ROUNDUP(O18,0))))+IF(P18&lt;=0,0,INDEX(Residents!$J$5:$J$185,MIN(181,ROUNDUP(P18,0))))+IF(Q18&lt;=0,0,INDEX(Residents!$J$5:$J$185,MIN(181,ROUNDUP(Q18,0))))+IF(R18&lt;=0,0,INDEX(Residents!$J$5:$J$185,MIN(181,ROUNDUP(R18,0))))+IF(S18&lt;=0,0,INDEX(Residents!$J$5:$J$185,MIN(181,ROUNDUP(S18,0))))+IF(T18&lt;=0,0,INDEX(Residents!$J$5:$J$185,MIN(181,ROUNDUP(T18,0))))+IF(U18&lt;=0,0,INDEX(Residents!$J$5:$J$185,MIN(181,ROUNDUP(U18,0)))))/10/Residents!$J$185</f>
        <v>0.639959253702702</v>
      </c>
      <c r="L18" s="24" t="n">
        <f aca="false">IF(Payor!$B$7*(1+Inputs!$B$64)^(A18-2026)&lt;=Inputs!$B$20,0,(Payor!$B$7*(1+Inputs!$B$64)^(A18-2026)-Inputs!$B$20)/((Inputs!$B$15*(1+Inputs!$B$58)^(A18-2026)-Inputs!$B$21*(1+Inputs!$B$65)^(A18-2026))*Inputs!$B$76))</f>
        <v>5.04997614905547</v>
      </c>
      <c r="M18" s="24" t="n">
        <f aca="false">IF(Payor!$B$8*(1+Inputs!$B$64)^(A18-2026)&lt;=Inputs!$B$20,0,(Payor!$B$8*(1+Inputs!$B$64)^(A18-2026)-Inputs!$B$20)/((Inputs!$B$15*(1+Inputs!$B$58)^(A18-2026)-Inputs!$B$21*(1+Inputs!$B$65)^(A18-2026))*Inputs!$B$76))</f>
        <v>9.31749463770798</v>
      </c>
      <c r="N18" s="24" t="n">
        <f aca="false">IF(Payor!$B$9*(1+Inputs!$B$64)^(A18-2026)&lt;=Inputs!$B$20,0,(Payor!$B$9*(1+Inputs!$B$64)^(A18-2026)-Inputs!$B$20)/((Inputs!$B$15*(1+Inputs!$B$58)^(A18-2026)-Inputs!$B$21*(1+Inputs!$B$65)^(A18-2026))*Inputs!$B$76))</f>
        <v>13.7374245009552</v>
      </c>
      <c r="O18" s="24" t="n">
        <f aca="false">IF(Payor!$B$10*(1+Inputs!$B$64)^(A18-2026)&lt;=Inputs!$B$20,0,(Payor!$B$10*(1+Inputs!$B$64)^(A18-2026)-Inputs!$B$20)/((Inputs!$B$15*(1+Inputs!$B$58)^(A18-2026)-Inputs!$B$21*(1+Inputs!$B$65)^(A18-2026))*Inputs!$B$76))</f>
        <v>18.7669998625814</v>
      </c>
      <c r="P18" s="24" t="n">
        <f aca="false">IF(Payor!$B$11*(1+Inputs!$B$64)^(A18-2026)&lt;=Inputs!$B$20,0,(Payor!$B$11*(1+Inputs!$B$64)^(A18-2026)-Inputs!$B$20)/((Inputs!$B$15*(1+Inputs!$B$58)^(A18-2026)-Inputs!$B$21*(1+Inputs!$B$65)^(A18-2026))*Inputs!$B$76))</f>
        <v>23.9489865988023</v>
      </c>
      <c r="Q18" s="24" t="n">
        <f aca="false">IF(Payor!$B$12*(1+Inputs!$B$64)^(A18-2026)&lt;=Inputs!$B$20,0,(Payor!$B$12*(1+Inputs!$B$64)^(A18-2026)-Inputs!$B$20)/((Inputs!$B$15*(1+Inputs!$B$58)^(A18-2026)-Inputs!$B$21*(1+Inputs!$B$65)^(A18-2026))*Inputs!$B$76))</f>
        <v>29.7406188334021</v>
      </c>
      <c r="R18" s="24" t="n">
        <f aca="false">IF(Payor!$B$13*(1+Inputs!$B$64)^(A18-2026)&lt;=Inputs!$B$20,0,(Payor!$B$13*(1+Inputs!$B$64)^(A18-2026)-Inputs!$B$20)/((Inputs!$B$15*(1+Inputs!$B$58)^(A18-2026)-Inputs!$B$21*(1+Inputs!$B$65)^(A18-2026))*Inputs!$B$76))</f>
        <v>36.5991306901651</v>
      </c>
      <c r="S18" s="24" t="n">
        <f aca="false">IF(Payor!$B$14*(1+Inputs!$B$64)^(A18-2026)&lt;=Inputs!$B$20,0,(Payor!$B$14*(1+Inputs!$B$64)^(A18-2026)-Inputs!$B$20)/((Inputs!$B$15*(1+Inputs!$B$58)^(A18-2026)-Inputs!$B$21*(1+Inputs!$B$65)^(A18-2026))*Inputs!$B$76))</f>
        <v>45.2865790420649</v>
      </c>
      <c r="T18" s="24" t="n">
        <f aca="false">IF(Payor!$B$15*(1+Inputs!$B$64)^(A18-2026)&lt;=Inputs!$B$20,0,(Payor!$B$15*(1+Inputs!$B$64)^(A18-2026)-Inputs!$B$20)/((Inputs!$B$15*(1+Inputs!$B$58)^(A18-2026)-Inputs!$B$21*(1+Inputs!$B$65)^(A18-2026))*Inputs!$B$76))</f>
        <v>58.6987800064013</v>
      </c>
      <c r="U18" s="24" t="n">
        <f aca="false">IF(Payor!$B$16*(1+Inputs!$B$64)^(A18-2026)&lt;=Inputs!$B$20,0,(Payor!$B$16*(1+Inputs!$B$64)^(A18-2026)-Inputs!$B$20)/((Inputs!$B$15*(1+Inputs!$B$58)^(A18-2026)-Inputs!$B$21*(1+Inputs!$B$65)^(A18-2026))*Inputs!$B$76))</f>
        <v>92.2292824172425</v>
      </c>
    </row>
    <row r="19" customFormat="false" ht="15" hidden="false" customHeight="false" outlineLevel="0" collapsed="false">
      <c r="A19" s="0" t="n">
        <v>2040</v>
      </c>
      <c r="B19" s="25" t="n">
        <f aca="false">Residents!$B$189*Inputs!$B$75*(J19*Inputs!$B$15*(1+Inputs!$B$58)^(A19-2026)+(1-J19)*(Inputs!$B$16*(1+Inputs!$B$59)^(A19-2026)+Inputs!$B$18*Inputs!$B$17*(1+Inputs!$B$60)^(A19-2026)))</f>
        <v>8264405.13608882</v>
      </c>
      <c r="C19" s="25" t="n">
        <f aca="false">Result!$B$20*(1+Inputs!$B$61)^(A19-2026)</f>
        <v>4897333.40350204</v>
      </c>
      <c r="D19" s="25" t="n">
        <f aca="false">(Result!$B$24+Result!$B$25+Result!$B$26)*(1+Inputs!$B$62)^(A19-2026)</f>
        <v>985437.079845857</v>
      </c>
      <c r="E19" s="25" t="n">
        <f aca="false">B19-C19-D19</f>
        <v>2381634.65274092</v>
      </c>
      <c r="F19" s="23" t="n">
        <f aca="false">E19/B19</f>
        <v>0.288179804053997</v>
      </c>
      <c r="G19" s="25" t="n">
        <f aca="false">Result!$B$33*(1+Inputs!$B$63)^(A19-2026)</f>
        <v>1250198.46621343</v>
      </c>
      <c r="H19" s="16" t="n">
        <f aca="false">E19/G19</f>
        <v>1.9050052588485</v>
      </c>
      <c r="I19" s="25" t="n">
        <f aca="false">E19-Inputs!$B$51*B19-G19</f>
        <v>718215.929723049</v>
      </c>
      <c r="J19" s="23" t="n">
        <f aca="false">K19*Inputs!$B$19</f>
        <v>0.351578075605979</v>
      </c>
      <c r="K19" s="23" t="n">
        <f aca="false">(IF(L19&lt;=0,0,INDEX(Residents!$J$5:$J$185,MIN(181,ROUNDUP(L19,0))))+IF(M19&lt;=0,0,INDEX(Residents!$J$5:$J$185,MIN(181,ROUNDUP(M19,0))))+IF(N19&lt;=0,0,INDEX(Residents!$J$5:$J$185,MIN(181,ROUNDUP(N19,0))))+IF(O19&lt;=0,0,INDEX(Residents!$J$5:$J$185,MIN(181,ROUNDUP(O19,0))))+IF(P19&lt;=0,0,INDEX(Residents!$J$5:$J$185,MIN(181,ROUNDUP(P19,0))))+IF(Q19&lt;=0,0,INDEX(Residents!$J$5:$J$185,MIN(181,ROUNDUP(Q19,0))))+IF(R19&lt;=0,0,INDEX(Residents!$J$5:$J$185,MIN(181,ROUNDUP(R19,0))))+IF(S19&lt;=0,0,INDEX(Residents!$J$5:$J$185,MIN(181,ROUNDUP(S19,0))))+IF(T19&lt;=0,0,INDEX(Residents!$J$5:$J$185,MIN(181,ROUNDUP(T19,0))))+IF(U19&lt;=0,0,INDEX(Residents!$J$5:$J$185,MIN(181,ROUNDUP(U19,0)))))/10/Residents!$J$185</f>
        <v>0.639232864738143</v>
      </c>
      <c r="L19" s="24" t="n">
        <f aca="false">IF(Payor!$B$7*(1+Inputs!$B$64)^(A19-2026)&lt;=Inputs!$B$20,0,(Payor!$B$7*(1+Inputs!$B$64)^(A19-2026)-Inputs!$B$20)/((Inputs!$B$15*(1+Inputs!$B$58)^(A19-2026)-Inputs!$B$21*(1+Inputs!$B$65)^(A19-2026))*Inputs!$B$76))</f>
        <v>5.06415884388498</v>
      </c>
      <c r="M19" s="24" t="n">
        <f aca="false">IF(Payor!$B$8*(1+Inputs!$B$64)^(A19-2026)&lt;=Inputs!$B$20,0,(Payor!$B$8*(1+Inputs!$B$64)^(A19-2026)-Inputs!$B$20)/((Inputs!$B$15*(1+Inputs!$B$58)^(A19-2026)-Inputs!$B$21*(1+Inputs!$B$65)^(A19-2026))*Inputs!$B$76))</f>
        <v>9.2797026224813</v>
      </c>
      <c r="N19" s="24" t="n">
        <f aca="false">IF(Payor!$B$9*(1+Inputs!$B$64)^(A19-2026)&lt;=Inputs!$B$20,0,(Payor!$B$9*(1+Inputs!$B$64)^(A19-2026)-Inputs!$B$20)/((Inputs!$B$15*(1+Inputs!$B$58)^(A19-2026)-Inputs!$B$21*(1+Inputs!$B$65)^(A19-2026))*Inputs!$B$76))</f>
        <v>13.6458015360275</v>
      </c>
      <c r="O19" s="24" t="n">
        <f aca="false">IF(Payor!$B$10*(1+Inputs!$B$64)^(A19-2026)&lt;=Inputs!$B$20,0,(Payor!$B$10*(1+Inputs!$B$64)^(A19-2026)-Inputs!$B$20)/((Inputs!$B$15*(1+Inputs!$B$58)^(A19-2026)-Inputs!$B$21*(1+Inputs!$B$65)^(A19-2026))*Inputs!$B$76))</f>
        <v>18.6141209893732</v>
      </c>
      <c r="P19" s="24" t="n">
        <f aca="false">IF(Payor!$B$11*(1+Inputs!$B$64)^(A19-2026)&lt;=Inputs!$B$20,0,(Payor!$B$11*(1+Inputs!$B$64)^(A19-2026)-Inputs!$B$20)/((Inputs!$B$15*(1+Inputs!$B$58)^(A19-2026)-Inputs!$B$21*(1+Inputs!$B$65)^(A19-2026))*Inputs!$B$76))</f>
        <v>23.7329955776687</v>
      </c>
      <c r="Q19" s="24" t="n">
        <f aca="false">IF(Payor!$B$12*(1+Inputs!$B$64)^(A19-2026)&lt;=Inputs!$B$20,0,(Payor!$B$12*(1+Inputs!$B$64)^(A19-2026)-Inputs!$B$20)/((Inputs!$B$15*(1+Inputs!$B$58)^(A19-2026)-Inputs!$B$21*(1+Inputs!$B$65)^(A19-2026))*Inputs!$B$76))</f>
        <v>29.4540907057637</v>
      </c>
      <c r="R19" s="24" t="n">
        <f aca="false">IF(Payor!$B$13*(1+Inputs!$B$64)^(A19-2026)&lt;=Inputs!$B$20,0,(Payor!$B$13*(1+Inputs!$B$64)^(A19-2026)-Inputs!$B$20)/((Inputs!$B$15*(1+Inputs!$B$58)^(A19-2026)-Inputs!$B$21*(1+Inputs!$B$65)^(A19-2026))*Inputs!$B$76))</f>
        <v>36.2290717785078</v>
      </c>
      <c r="S19" s="24" t="n">
        <f aca="false">IF(Payor!$B$14*(1+Inputs!$B$64)^(A19-2026)&lt;=Inputs!$B$20,0,(Payor!$B$14*(1+Inputs!$B$64)^(A19-2026)-Inputs!$B$20)/((Inputs!$B$15*(1+Inputs!$B$58)^(A19-2026)-Inputs!$B$21*(1+Inputs!$B$65)^(A19-2026))*Inputs!$B$76))</f>
        <v>44.8107144706503</v>
      </c>
      <c r="T19" s="24" t="n">
        <f aca="false">IF(Payor!$B$15*(1+Inputs!$B$64)^(A19-2026)&lt;=Inputs!$B$20,0,(Payor!$B$15*(1+Inputs!$B$64)^(A19-2026)-Inputs!$B$20)/((Inputs!$B$15*(1+Inputs!$B$58)^(A19-2026)-Inputs!$B$21*(1+Inputs!$B$65)^(A19-2026))*Inputs!$B$76))</f>
        <v>58.0595663462388</v>
      </c>
      <c r="U19" s="24" t="n">
        <f aca="false">IF(Payor!$B$16*(1+Inputs!$B$64)^(A19-2026)&lt;=Inputs!$B$20,0,(Payor!$B$16*(1+Inputs!$B$64)^(A19-2026)-Inputs!$B$20)/((Inputs!$B$15*(1+Inputs!$B$58)^(A19-2026)-Inputs!$B$21*(1+Inputs!$B$65)^(A19-2026))*Inputs!$B$76))</f>
        <v>91.1816960352099</v>
      </c>
    </row>
    <row r="20" customFormat="false" ht="15" hidden="false" customHeight="false" outlineLevel="0" collapsed="false">
      <c r="A20" s="0" t="n">
        <v>2041</v>
      </c>
      <c r="B20" s="25" t="n">
        <f aca="false">Residents!$B$189*Inputs!$B$75*(J20*Inputs!$B$15*(1+Inputs!$B$58)^(A20-2026)+(1-J20)*(Inputs!$B$16*(1+Inputs!$B$59)^(A20-2026)+Inputs!$B$18*Inputs!$B$17*(1+Inputs!$B$60)^(A20-2026)))</f>
        <v>8575806.46934787</v>
      </c>
      <c r="C20" s="25" t="n">
        <f aca="false">Result!$B$20*(1+Inputs!$B$61)^(A20-2026)</f>
        <v>5103021.40644913</v>
      </c>
      <c r="D20" s="25" t="n">
        <f aca="false">(Result!$B$24+Result!$B$25+Result!$B$26)*(1+Inputs!$B$62)^(A20-2026)</f>
        <v>1015000.19224123</v>
      </c>
      <c r="E20" s="25" t="n">
        <f aca="false">B20-C20-D20</f>
        <v>2457784.87065751</v>
      </c>
      <c r="F20" s="23" t="n">
        <f aca="false">E20/B20</f>
        <v>0.286595188387502</v>
      </c>
      <c r="G20" s="25" t="n">
        <f aca="false">Result!$B$33*(1+Inputs!$B$63)^(A20-2026)</f>
        <v>1285204.02326741</v>
      </c>
      <c r="H20" s="16" t="n">
        <f aca="false">E20/G20</f>
        <v>1.9123694185216</v>
      </c>
      <c r="I20" s="25" t="n">
        <f aca="false">E20-Inputs!$B$51*B20-G20</f>
        <v>743790.523922708</v>
      </c>
      <c r="J20" s="23" t="n">
        <f aca="false">K20*Inputs!$B$19</f>
        <v>0.350816851741847</v>
      </c>
      <c r="K20" s="23" t="n">
        <f aca="false">(IF(L20&lt;=0,0,INDEX(Residents!$J$5:$J$185,MIN(181,ROUNDUP(L20,0))))+IF(M20&lt;=0,0,INDEX(Residents!$J$5:$J$185,MIN(181,ROUNDUP(M20,0))))+IF(N20&lt;=0,0,INDEX(Residents!$J$5:$J$185,MIN(181,ROUNDUP(N20,0))))+IF(O20&lt;=0,0,INDEX(Residents!$J$5:$J$185,MIN(181,ROUNDUP(O20,0))))+IF(P20&lt;=0,0,INDEX(Residents!$J$5:$J$185,MIN(181,ROUNDUP(P20,0))))+IF(Q20&lt;=0,0,INDEX(Residents!$J$5:$J$185,MIN(181,ROUNDUP(Q20,0))))+IF(R20&lt;=0,0,INDEX(Residents!$J$5:$J$185,MIN(181,ROUNDUP(R20,0))))+IF(S20&lt;=0,0,INDEX(Residents!$J$5:$J$185,MIN(181,ROUNDUP(S20,0))))+IF(T20&lt;=0,0,INDEX(Residents!$J$5:$J$185,MIN(181,ROUNDUP(T20,0))))+IF(U20&lt;=0,0,INDEX(Residents!$J$5:$J$185,MIN(181,ROUNDUP(U20,0)))))/10/Residents!$J$185</f>
        <v>0.637848821348812</v>
      </c>
      <c r="L20" s="24" t="n">
        <f aca="false">IF(Payor!$B$7*(1+Inputs!$B$64)^(A20-2026)&lt;=Inputs!$B$20,0,(Payor!$B$7*(1+Inputs!$B$64)^(A20-2026)-Inputs!$B$20)/((Inputs!$B$15*(1+Inputs!$B$58)^(A20-2026)-Inputs!$B$21*(1+Inputs!$B$65)^(A20-2026))*Inputs!$B$76))</f>
        <v>5.07490709644293</v>
      </c>
      <c r="M20" s="24" t="n">
        <f aca="false">IF(Payor!$B$8*(1+Inputs!$B$64)^(A20-2026)&lt;=Inputs!$B$20,0,(Payor!$B$8*(1+Inputs!$B$64)^(A20-2026)-Inputs!$B$20)/((Inputs!$B$15*(1+Inputs!$B$58)^(A20-2026)-Inputs!$B$21*(1+Inputs!$B$65)^(A20-2026))*Inputs!$B$76))</f>
        <v>9.23926375949847</v>
      </c>
      <c r="N20" s="24" t="n">
        <f aca="false">IF(Payor!$B$9*(1+Inputs!$B$64)^(A20-2026)&lt;=Inputs!$B$20,0,(Payor!$B$9*(1+Inputs!$B$64)^(A20-2026)-Inputs!$B$20)/((Inputs!$B$15*(1+Inputs!$B$58)^(A20-2026)-Inputs!$B$21*(1+Inputs!$B$65)^(A20-2026))*Inputs!$B$76))</f>
        <v>13.5523474462346</v>
      </c>
      <c r="O20" s="24" t="n">
        <f aca="false">IF(Payor!$B$10*(1+Inputs!$B$64)^(A20-2026)&lt;=Inputs!$B$20,0,(Payor!$B$10*(1+Inputs!$B$64)^(A20-2026)-Inputs!$B$20)/((Inputs!$B$15*(1+Inputs!$B$58)^(A20-2026)-Inputs!$B$21*(1+Inputs!$B$65)^(A20-2026))*Inputs!$B$76))</f>
        <v>18.4603392276929</v>
      </c>
      <c r="P20" s="24" t="n">
        <f aca="false">IF(Payor!$B$11*(1+Inputs!$B$64)^(A20-2026)&lt;=Inputs!$B$20,0,(Payor!$B$11*(1+Inputs!$B$64)^(A20-2026)-Inputs!$B$20)/((Inputs!$B$15*(1+Inputs!$B$58)^(A20-2026)-Inputs!$B$21*(1+Inputs!$B$65)^(A20-2026))*Inputs!$B$76))</f>
        <v>23.5170580328318</v>
      </c>
      <c r="Q20" s="24" t="n">
        <f aca="false">IF(Payor!$B$12*(1+Inputs!$B$64)^(A20-2026)&lt;=Inputs!$B$20,0,(Payor!$B$12*(1+Inputs!$B$64)^(A20-2026)-Inputs!$B$20)/((Inputs!$B$15*(1+Inputs!$B$58)^(A20-2026)-Inputs!$B$21*(1+Inputs!$B$65)^(A20-2026))*Inputs!$B$76))</f>
        <v>29.1686849326928</v>
      </c>
      <c r="R20" s="24" t="n">
        <f aca="false">IF(Payor!$B$13*(1+Inputs!$B$64)^(A20-2026)&lt;=Inputs!$B$20,0,(Payor!$B$13*(1+Inputs!$B$64)^(A20-2026)-Inputs!$B$20)/((Inputs!$B$15*(1+Inputs!$B$58)^(A20-2026)-Inputs!$B$21*(1+Inputs!$B$65)^(A20-2026))*Inputs!$B$76))</f>
        <v>35.8614009983178</v>
      </c>
      <c r="S20" s="24" t="n">
        <f aca="false">IF(Payor!$B$14*(1+Inputs!$B$64)^(A20-2026)&lt;=Inputs!$B$20,0,(Payor!$B$14*(1+Inputs!$B$64)^(A20-2026)-Inputs!$B$20)/((Inputs!$B$15*(1+Inputs!$B$58)^(A20-2026)-Inputs!$B$21*(1+Inputs!$B$65)^(A20-2026))*Inputs!$B$76))</f>
        <v>44.3388413481095</v>
      </c>
      <c r="T20" s="24" t="n">
        <f aca="false">IF(Payor!$B$15*(1+Inputs!$B$64)^(A20-2026)&lt;=Inputs!$B$20,0,(Payor!$B$15*(1+Inputs!$B$64)^(A20-2026)-Inputs!$B$20)/((Inputs!$B$15*(1+Inputs!$B$58)^(A20-2026)-Inputs!$B$21*(1+Inputs!$B$65)^(A20-2026))*Inputs!$B$76))</f>
        <v>57.4268194319983</v>
      </c>
      <c r="U20" s="24" t="n">
        <f aca="false">IF(Payor!$B$16*(1+Inputs!$B$64)^(A20-2026)&lt;=Inputs!$B$20,0,(Payor!$B$16*(1+Inputs!$B$64)^(A20-2026)-Inputs!$B$20)/((Inputs!$B$15*(1+Inputs!$B$58)^(A20-2026)-Inputs!$B$21*(1+Inputs!$B$65)^(A20-2026))*Inputs!$B$76))</f>
        <v>90.1467646417204</v>
      </c>
    </row>
    <row r="21" customFormat="false" ht="15" hidden="false" customHeight="false" outlineLevel="0" collapsed="false">
      <c r="A21" s="0" t="n">
        <v>2042</v>
      </c>
      <c r="B21" s="25" t="n">
        <f aca="false">Residents!$B$189*Inputs!$B$75*(J21*Inputs!$B$15*(1+Inputs!$B$58)^(A21-2026)+(1-J21)*(Inputs!$B$16*(1+Inputs!$B$59)^(A21-2026)+Inputs!$B$18*Inputs!$B$17*(1+Inputs!$B$60)^(A21-2026)))</f>
        <v>8897468.26638804</v>
      </c>
      <c r="C21" s="25" t="n">
        <f aca="false">Result!$B$20*(1+Inputs!$B$61)^(A21-2026)</f>
        <v>5317348.30551999</v>
      </c>
      <c r="D21" s="25" t="n">
        <f aca="false">(Result!$B$24+Result!$B$25+Result!$B$26)*(1+Inputs!$B$62)^(A21-2026)</f>
        <v>1045450.19800847</v>
      </c>
      <c r="E21" s="25" t="n">
        <f aca="false">B21-C21-D21</f>
        <v>2534669.76285958</v>
      </c>
      <c r="F21" s="23" t="n">
        <f aca="false">E21/B21</f>
        <v>0.284875392299493</v>
      </c>
      <c r="G21" s="25" t="n">
        <f aca="false">Result!$B$33*(1+Inputs!$B$63)^(A21-2026)</f>
        <v>1321189.7359189</v>
      </c>
      <c r="H21" s="16" t="n">
        <f aca="false">E21/G21</f>
        <v>1.91847521514137</v>
      </c>
      <c r="I21" s="25" t="n">
        <f aca="false">E21-Inputs!$B$51*B21-G21</f>
        <v>768606.613621278</v>
      </c>
      <c r="J21" s="23" t="n">
        <f aca="false">K21*Inputs!$B$19</f>
        <v>0.349515596928162</v>
      </c>
      <c r="K21" s="23" t="n">
        <f aca="false">(IF(L21&lt;=0,0,INDEX(Residents!$J$5:$J$185,MIN(181,ROUNDUP(L21,0))))+IF(M21&lt;=0,0,INDEX(Residents!$J$5:$J$185,MIN(181,ROUNDUP(M21,0))))+IF(N21&lt;=0,0,INDEX(Residents!$J$5:$J$185,MIN(181,ROUNDUP(N21,0))))+IF(O21&lt;=0,0,INDEX(Residents!$J$5:$J$185,MIN(181,ROUNDUP(O21,0))))+IF(P21&lt;=0,0,INDEX(Residents!$J$5:$J$185,MIN(181,ROUNDUP(P21,0))))+IF(Q21&lt;=0,0,INDEX(Residents!$J$5:$J$185,MIN(181,ROUNDUP(Q21,0))))+IF(R21&lt;=0,0,INDEX(Residents!$J$5:$J$185,MIN(181,ROUNDUP(R21,0))))+IF(S21&lt;=0,0,INDEX(Residents!$J$5:$J$185,MIN(181,ROUNDUP(S21,0))))+IF(T21&lt;=0,0,INDEX(Residents!$J$5:$J$185,MIN(181,ROUNDUP(T21,0))))+IF(U21&lt;=0,0,INDEX(Residents!$J$5:$J$185,MIN(181,ROUNDUP(U21,0)))))/10/Residents!$J$185</f>
        <v>0.63548290350575</v>
      </c>
      <c r="L21" s="24" t="n">
        <f aca="false">IF(Payor!$B$7*(1+Inputs!$B$64)^(A21-2026)&lt;=Inputs!$B$20,0,(Payor!$B$7*(1+Inputs!$B$64)^(A21-2026)-Inputs!$B$20)/((Inputs!$B$15*(1+Inputs!$B$58)^(A21-2026)-Inputs!$B$21*(1+Inputs!$B$65)^(A21-2026))*Inputs!$B$76))</f>
        <v>5.08241997953541</v>
      </c>
      <c r="M21" s="24" t="n">
        <f aca="false">IF(Payor!$B$8*(1+Inputs!$B$64)^(A21-2026)&lt;=Inputs!$B$20,0,(Payor!$B$8*(1+Inputs!$B$64)^(A21-2026)-Inputs!$B$20)/((Inputs!$B$15*(1+Inputs!$B$58)^(A21-2026)-Inputs!$B$21*(1+Inputs!$B$65)^(A21-2026))*Inputs!$B$76))</f>
        <v>9.19636124373641</v>
      </c>
      <c r="N21" s="24" t="n">
        <f aca="false">IF(Payor!$B$9*(1+Inputs!$B$64)^(A21-2026)&lt;=Inputs!$B$20,0,(Payor!$B$9*(1+Inputs!$B$64)^(A21-2026)-Inputs!$B$20)/((Inputs!$B$15*(1+Inputs!$B$58)^(A21-2026)-Inputs!$B$21*(1+Inputs!$B$65)^(A21-2026))*Inputs!$B$76))</f>
        <v>13.4572289816589</v>
      </c>
      <c r="O21" s="24" t="n">
        <f aca="false">IF(Payor!$B$10*(1+Inputs!$B$64)^(A21-2026)&lt;=Inputs!$B$20,0,(Payor!$B$10*(1+Inputs!$B$64)^(A21-2026)-Inputs!$B$20)/((Inputs!$B$15*(1+Inputs!$B$58)^(A21-2026)-Inputs!$B$21*(1+Inputs!$B$65)^(A21-2026))*Inputs!$B$76))</f>
        <v>18.3058026144672</v>
      </c>
      <c r="P21" s="24" t="n">
        <f aca="false">IF(Payor!$B$11*(1+Inputs!$B$64)^(A21-2026)&lt;=Inputs!$B$20,0,(Payor!$B$11*(1+Inputs!$B$64)^(A21-2026)-Inputs!$B$20)/((Inputs!$B$15*(1+Inputs!$B$58)^(A21-2026)-Inputs!$B$21*(1+Inputs!$B$65)^(A21-2026))*Inputs!$B$76))</f>
        <v>23.301302720997</v>
      </c>
      <c r="Q21" s="24" t="n">
        <f aca="false">IF(Payor!$B$12*(1+Inputs!$B$64)^(A21-2026)&lt;=Inputs!$B$20,0,(Payor!$B$12*(1+Inputs!$B$64)^(A21-2026)-Inputs!$B$20)/((Inputs!$B$15*(1+Inputs!$B$58)^(A21-2026)-Inputs!$B$21*(1+Inputs!$B$65)^(A21-2026))*Inputs!$B$76))</f>
        <v>28.8845087224127</v>
      </c>
      <c r="R21" s="24" t="n">
        <f aca="false">IF(Payor!$B$13*(1+Inputs!$B$64)^(A21-2026)&lt;=Inputs!$B$20,0,(Payor!$B$13*(1+Inputs!$B$64)^(A21-2026)-Inputs!$B$20)/((Inputs!$B$15*(1+Inputs!$B$58)^(A21-2026)-Inputs!$B$21*(1+Inputs!$B$65)^(A21-2026))*Inputs!$B$76))</f>
        <v>35.4962000398786</v>
      </c>
      <c r="S21" s="24" t="n">
        <f aca="false">IF(Payor!$B$14*(1+Inputs!$B$64)^(A21-2026)&lt;=Inputs!$B$20,0,(Payor!$B$14*(1+Inputs!$B$64)^(A21-2026)-Inputs!$B$20)/((Inputs!$B$15*(1+Inputs!$B$58)^(A21-2026)-Inputs!$B$21*(1+Inputs!$B$65)^(A21-2026))*Inputs!$B$76))</f>
        <v>43.871009042002</v>
      </c>
      <c r="T21" s="24" t="n">
        <f aca="false">IF(Payor!$B$15*(1+Inputs!$B$64)^(A21-2026)&lt;=Inputs!$B$20,0,(Payor!$B$15*(1+Inputs!$B$64)^(A21-2026)-Inputs!$B$20)/((Inputs!$B$15*(1+Inputs!$B$58)^(A21-2026)-Inputs!$B$21*(1+Inputs!$B$65)^(A21-2026))*Inputs!$B$76))</f>
        <v>56.8005387294909</v>
      </c>
      <c r="U21" s="24" t="n">
        <f aca="false">IF(Payor!$B$16*(1+Inputs!$B$64)^(A21-2026)&lt;=Inputs!$B$20,0,(Payor!$B$16*(1+Inputs!$B$64)^(A21-2026)-Inputs!$B$20)/((Inputs!$B$15*(1+Inputs!$B$58)^(A21-2026)-Inputs!$B$21*(1+Inputs!$B$65)^(A21-2026))*Inputs!$B$76))</f>
        <v>89.1243629482131</v>
      </c>
    </row>
    <row r="22" customFormat="false" ht="15" hidden="false" customHeight="false" outlineLevel="0" collapsed="false">
      <c r="A22" s="0" t="n">
        <v>2043</v>
      </c>
      <c r="B22" s="25" t="n">
        <f aca="false">Residents!$B$189*Inputs!$B$75*(J22*Inputs!$B$15*(1+Inputs!$B$58)^(A22-2026)+(1-J22)*(Inputs!$B$16*(1+Inputs!$B$59)^(A22-2026)+Inputs!$B$18*Inputs!$B$17*(1+Inputs!$B$60)^(A22-2026)))</f>
        <v>9235194.98697916</v>
      </c>
      <c r="C22" s="25" t="n">
        <f aca="false">Result!$B$20*(1+Inputs!$B$61)^(A22-2026)</f>
        <v>5540676.93435183</v>
      </c>
      <c r="D22" s="25" t="n">
        <f aca="false">(Result!$B$24+Result!$B$25+Result!$B$26)*(1+Inputs!$B$62)^(A22-2026)</f>
        <v>1076813.70394872</v>
      </c>
      <c r="E22" s="25" t="n">
        <f aca="false">B22-C22-D22</f>
        <v>2617704.34867861</v>
      </c>
      <c r="F22" s="23" t="n">
        <f aca="false">E22/B22</f>
        <v>0.283448736314647</v>
      </c>
      <c r="G22" s="25" t="n">
        <f aca="false">Result!$B$33*(1+Inputs!$B$63)^(A22-2026)</f>
        <v>1358183.04852463</v>
      </c>
      <c r="H22" s="16" t="n">
        <f aca="false">E22/G22</f>
        <v>1.92735754692431</v>
      </c>
      <c r="I22" s="25" t="n">
        <f aca="false">E22-Inputs!$B$51*B22-G22</f>
        <v>797761.550805025</v>
      </c>
      <c r="J22" s="23" t="n">
        <f aca="false">K22*Inputs!$B$19</f>
        <v>0.349457790558801</v>
      </c>
      <c r="K22" s="23" t="n">
        <f aca="false">(IF(L22&lt;=0,0,INDEX(Residents!$J$5:$J$185,MIN(181,ROUNDUP(L22,0))))+IF(M22&lt;=0,0,INDEX(Residents!$J$5:$J$185,MIN(181,ROUNDUP(M22,0))))+IF(N22&lt;=0,0,INDEX(Residents!$J$5:$J$185,MIN(181,ROUNDUP(N22,0))))+IF(O22&lt;=0,0,INDEX(Residents!$J$5:$J$185,MIN(181,ROUNDUP(O22,0))))+IF(P22&lt;=0,0,INDEX(Residents!$J$5:$J$185,MIN(181,ROUNDUP(P22,0))))+IF(Q22&lt;=0,0,INDEX(Residents!$J$5:$J$185,MIN(181,ROUNDUP(Q22,0))))+IF(R22&lt;=0,0,INDEX(Residents!$J$5:$J$185,MIN(181,ROUNDUP(R22,0))))+IF(S22&lt;=0,0,INDEX(Residents!$J$5:$J$185,MIN(181,ROUNDUP(S22,0))))+IF(T22&lt;=0,0,INDEX(Residents!$J$5:$J$185,MIN(181,ROUNDUP(T22,0))))+IF(U22&lt;=0,0,INDEX(Residents!$J$5:$J$185,MIN(181,ROUNDUP(U22,0)))))/10/Residents!$J$185</f>
        <v>0.635377801016002</v>
      </c>
      <c r="L22" s="24" t="n">
        <f aca="false">IF(Payor!$B$7*(1+Inputs!$B$64)^(A22-2026)&lt;=Inputs!$B$20,0,(Payor!$B$7*(1+Inputs!$B$64)^(A22-2026)-Inputs!$B$20)/((Inputs!$B$15*(1+Inputs!$B$58)^(A22-2026)-Inputs!$B$21*(1+Inputs!$B$65)^(A22-2026))*Inputs!$B$76))</f>
        <v>5.08688630047677</v>
      </c>
      <c r="M22" s="24" t="n">
        <f aca="false">IF(Payor!$B$8*(1+Inputs!$B$64)^(A22-2026)&lt;=Inputs!$B$20,0,(Payor!$B$8*(1+Inputs!$B$64)^(A22-2026)-Inputs!$B$20)/((Inputs!$B$15*(1+Inputs!$B$58)^(A22-2026)-Inputs!$B$21*(1+Inputs!$B$65)^(A22-2026))*Inputs!$B$76))</f>
        <v>9.15116842691826</v>
      </c>
      <c r="N22" s="24" t="n">
        <f aca="false">IF(Payor!$B$9*(1+Inputs!$B$64)^(A22-2026)&lt;=Inputs!$B$20,0,(Payor!$B$9*(1+Inputs!$B$64)^(A22-2026)-Inputs!$B$20)/((Inputs!$B$15*(1+Inputs!$B$58)^(A22-2026)-Inputs!$B$21*(1+Inputs!$B$65)^(A22-2026))*Inputs!$B$76))</f>
        <v>13.3606034864469</v>
      </c>
      <c r="O22" s="24" t="n">
        <f aca="false">IF(Payor!$B$10*(1+Inputs!$B$64)^(A22-2026)&lt;=Inputs!$B$20,0,(Payor!$B$10*(1+Inputs!$B$64)^(A22-2026)-Inputs!$B$20)/((Inputs!$B$15*(1+Inputs!$B$58)^(A22-2026)-Inputs!$B$21*(1+Inputs!$B$65)^(A22-2026))*Inputs!$B$76))</f>
        <v>18.1506502783244</v>
      </c>
      <c r="P22" s="24" t="n">
        <f aca="false">IF(Payor!$B$11*(1+Inputs!$B$64)^(A22-2026)&lt;=Inputs!$B$20,0,(Payor!$B$11*(1+Inputs!$B$64)^(A22-2026)-Inputs!$B$20)/((Inputs!$B$15*(1+Inputs!$B$58)^(A22-2026)-Inputs!$B$21*(1+Inputs!$B$65)^(A22-2026))*Inputs!$B$76))</f>
        <v>23.0858500032891</v>
      </c>
      <c r="Q22" s="24" t="n">
        <f aca="false">IF(Payor!$B$12*(1+Inputs!$B$64)^(A22-2026)&lt;=Inputs!$B$20,0,(Payor!$B$12*(1+Inputs!$B$64)^(A22-2026)-Inputs!$B$20)/((Inputs!$B$15*(1+Inputs!$B$58)^(A22-2026)-Inputs!$B$21*(1+Inputs!$B$65)^(A22-2026))*Inputs!$B$76))</f>
        <v>28.6016614606025</v>
      </c>
      <c r="R22" s="24" t="n">
        <f aca="false">IF(Payor!$B$13*(1+Inputs!$B$64)^(A22-2026)&lt;=Inputs!$B$20,0,(Payor!$B$13*(1+Inputs!$B$64)^(A22-2026)-Inputs!$B$20)/((Inputs!$B$15*(1+Inputs!$B$58)^(A22-2026)-Inputs!$B$21*(1+Inputs!$B$65)^(A22-2026))*Inputs!$B$76))</f>
        <v>35.1335434495264</v>
      </c>
      <c r="S22" s="24" t="n">
        <f aca="false">IF(Payor!$B$14*(1+Inputs!$B$64)^(A22-2026)&lt;=Inputs!$B$20,0,(Payor!$B$14*(1+Inputs!$B$64)^(A22-2026)-Inputs!$B$20)/((Inputs!$B$15*(1+Inputs!$B$58)^(A22-2026)-Inputs!$B$21*(1+Inputs!$B$65)^(A22-2026))*Inputs!$B$76))</f>
        <v>43.4072606354966</v>
      </c>
      <c r="T22" s="24" t="n">
        <f aca="false">IF(Payor!$B$15*(1+Inputs!$B$64)^(A22-2026)&lt;=Inputs!$B$20,0,(Payor!$B$15*(1+Inputs!$B$64)^(A22-2026)-Inputs!$B$20)/((Inputs!$B$15*(1+Inputs!$B$58)^(A22-2026)-Inputs!$B$21*(1+Inputs!$B$65)^(A22-2026))*Inputs!$B$76))</f>
        <v>56.1807187471698</v>
      </c>
      <c r="U22" s="24" t="n">
        <f aca="false">IF(Payor!$B$16*(1+Inputs!$B$64)^(A22-2026)&lt;=Inputs!$B$20,0,(Payor!$B$16*(1+Inputs!$B$64)^(A22-2026)-Inputs!$B$20)/((Inputs!$B$15*(1+Inputs!$B$58)^(A22-2026)-Inputs!$B$21*(1+Inputs!$B$65)^(A22-2026))*Inputs!$B$76))</f>
        <v>88.114364026353</v>
      </c>
    </row>
    <row r="23" customFormat="false" ht="15" hidden="false" customHeight="false" outlineLevel="0" collapsed="false">
      <c r="A23" s="0" t="n">
        <v>2044</v>
      </c>
      <c r="B23" s="25" t="n">
        <f aca="false">Residents!$B$189*Inputs!$B$75*(J23*Inputs!$B$15*(1+Inputs!$B$58)^(A23-2026)+(1-J23)*(Inputs!$B$16*(1+Inputs!$B$59)^(A23-2026)+Inputs!$B$18*Inputs!$B$17*(1+Inputs!$B$60)^(A23-2026)))</f>
        <v>9575599.0617362</v>
      </c>
      <c r="C23" s="25" t="n">
        <f aca="false">Result!$B$20*(1+Inputs!$B$61)^(A23-2026)</f>
        <v>5773385.36559461</v>
      </c>
      <c r="D23" s="25" t="n">
        <f aca="false">(Result!$B$24+Result!$B$25+Result!$B$26)*(1+Inputs!$B$62)^(A23-2026)</f>
        <v>1109118.11506719</v>
      </c>
      <c r="E23" s="25" t="n">
        <f aca="false">B23-C23-D23</f>
        <v>2693095.58107441</v>
      </c>
      <c r="F23" s="23" t="n">
        <f aca="false">E23/B23</f>
        <v>0.281245649876459</v>
      </c>
      <c r="G23" s="25" t="n">
        <f aca="false">Result!$B$33*(1+Inputs!$B$63)^(A23-2026)</f>
        <v>1396212.17388332</v>
      </c>
      <c r="H23" s="16" t="n">
        <f aca="false">E23/G23</f>
        <v>1.92885840092917</v>
      </c>
      <c r="I23" s="25" t="n">
        <f aca="false">E23-Inputs!$B$51*B23-G23</f>
        <v>818103.454104284</v>
      </c>
      <c r="J23" s="23" t="n">
        <f aca="false">K23*Inputs!$B$19</f>
        <v>0.346369153638784</v>
      </c>
      <c r="K23" s="23" t="n">
        <f aca="false">(IF(L23&lt;=0,0,INDEX(Residents!$J$5:$J$185,MIN(181,ROUNDUP(L23,0))))+IF(M23&lt;=0,0,INDEX(Residents!$J$5:$J$185,MIN(181,ROUNDUP(M23,0))))+IF(N23&lt;=0,0,INDEX(Residents!$J$5:$J$185,MIN(181,ROUNDUP(N23,0))))+IF(O23&lt;=0,0,INDEX(Residents!$J$5:$J$185,MIN(181,ROUNDUP(O23,0))))+IF(P23&lt;=0,0,INDEX(Residents!$J$5:$J$185,MIN(181,ROUNDUP(P23,0))))+IF(Q23&lt;=0,0,INDEX(Residents!$J$5:$J$185,MIN(181,ROUNDUP(Q23,0))))+IF(R23&lt;=0,0,INDEX(Residents!$J$5:$J$185,MIN(181,ROUNDUP(R23,0))))+IF(S23&lt;=0,0,INDEX(Residents!$J$5:$J$185,MIN(181,ROUNDUP(S23,0))))+IF(T23&lt;=0,0,INDEX(Residents!$J$5:$J$185,MIN(181,ROUNDUP(T23,0))))+IF(U23&lt;=0,0,INDEX(Residents!$J$5:$J$185,MIN(181,ROUNDUP(U23,0)))))/10/Residents!$J$185</f>
        <v>0.629762097525062</v>
      </c>
      <c r="L23" s="24" t="n">
        <f aca="false">IF(Payor!$B$7*(1+Inputs!$B$64)^(A23-2026)&lt;=Inputs!$B$20,0,(Payor!$B$7*(1+Inputs!$B$64)^(A23-2026)-Inputs!$B$20)/((Inputs!$B$15*(1+Inputs!$B$58)^(A23-2026)-Inputs!$B$21*(1+Inputs!$B$65)^(A23-2026))*Inputs!$B$76))</f>
        <v>5.0884851287539</v>
      </c>
      <c r="M23" s="24" t="n">
        <f aca="false">IF(Payor!$B$8*(1+Inputs!$B$64)^(A23-2026)&lt;=Inputs!$B$20,0,(Payor!$B$8*(1+Inputs!$B$64)^(A23-2026)-Inputs!$B$20)/((Inputs!$B$15*(1+Inputs!$B$58)^(A23-2026)-Inputs!$B$21*(1+Inputs!$B$65)^(A23-2026))*Inputs!$B$76))</f>
        <v>9.10384933113277</v>
      </c>
      <c r="N23" s="24" t="n">
        <f aca="false">IF(Payor!$B$9*(1+Inputs!$B$64)^(A23-2026)&lt;=Inputs!$B$20,0,(Payor!$B$9*(1+Inputs!$B$64)^(A23-2026)-Inputs!$B$20)/((Inputs!$B$15*(1+Inputs!$B$58)^(A23-2026)-Inputs!$B$21*(1+Inputs!$B$65)^(A23-2026))*Inputs!$B$76))</f>
        <v>13.2626193978823</v>
      </c>
      <c r="O23" s="24" t="n">
        <f aca="false">IF(Payor!$B$10*(1+Inputs!$B$64)^(A23-2026)&lt;=Inputs!$B$20,0,(Payor!$B$10*(1+Inputs!$B$64)^(A23-2026)-Inputs!$B$20)/((Inputs!$B$15*(1+Inputs!$B$58)^(A23-2026)-Inputs!$B$21*(1+Inputs!$B$65)^(A23-2026))*Inputs!$B$76))</f>
        <v>17.9950129221146</v>
      </c>
      <c r="P23" s="24" t="n">
        <f aca="false">IF(Payor!$B$11*(1+Inputs!$B$64)^(A23-2026)&lt;=Inputs!$B$20,0,(Payor!$B$11*(1+Inputs!$B$64)^(A23-2026)-Inputs!$B$20)/((Inputs!$B$15*(1+Inputs!$B$58)^(A23-2026)-Inputs!$B$21*(1+Inputs!$B$65)^(A23-2026))*Inputs!$B$76))</f>
        <v>22.8708123107175</v>
      </c>
      <c r="Q23" s="24" t="n">
        <f aca="false">IF(Payor!$B$12*(1+Inputs!$B$64)^(A23-2026)&lt;=Inputs!$B$20,0,(Payor!$B$12*(1+Inputs!$B$64)^(A23-2026)-Inputs!$B$20)/((Inputs!$B$15*(1+Inputs!$B$58)^(A23-2026)-Inputs!$B$21*(1+Inputs!$B$65)^(A23-2026))*Inputs!$B$76))</f>
        <v>28.3202351568031</v>
      </c>
      <c r="R23" s="24" t="n">
        <f aca="false">IF(Payor!$B$13*(1+Inputs!$B$64)^(A23-2026)&lt;=Inputs!$B$20,0,(Payor!$B$13*(1+Inputs!$B$64)^(A23-2026)-Inputs!$B$20)/((Inputs!$B$15*(1+Inputs!$B$58)^(A23-2026)-Inputs!$B$21*(1+Inputs!$B$65)^(A23-2026))*Inputs!$B$76))</f>
        <v>34.7734990534835</v>
      </c>
      <c r="S23" s="24" t="n">
        <f aca="false">IF(Payor!$B$14*(1+Inputs!$B$64)^(A23-2026)&lt;=Inputs!$B$20,0,(Payor!$B$14*(1+Inputs!$B$64)^(A23-2026)-Inputs!$B$20)/((Inputs!$B$15*(1+Inputs!$B$58)^(A23-2026)-Inputs!$B$21*(1+Inputs!$B$65)^(A23-2026))*Inputs!$B$76))</f>
        <v>42.9476333226119</v>
      </c>
      <c r="T23" s="24" t="n">
        <f aca="false">IF(Payor!$B$15*(1+Inputs!$B$64)^(A23-2026)&lt;=Inputs!$B$20,0,(Payor!$B$15*(1+Inputs!$B$64)^(A23-2026)-Inputs!$B$20)/((Inputs!$B$15*(1+Inputs!$B$58)^(A23-2026)-Inputs!$B$21*(1+Inputs!$B$65)^(A23-2026))*Inputs!$B$76))</f>
        <v>55.5673493872312</v>
      </c>
      <c r="U23" s="24" t="n">
        <f aca="false">IF(Payor!$B$16*(1+Inputs!$B$64)^(A23-2026)&lt;=Inputs!$B$20,0,(Payor!$B$16*(1+Inputs!$B$64)^(A23-2026)-Inputs!$B$20)/((Inputs!$B$15*(1+Inputs!$B$58)^(A23-2026)-Inputs!$B$21*(1+Inputs!$B$65)^(A23-2026))*Inputs!$B$76))</f>
        <v>87.1166395487795</v>
      </c>
    </row>
    <row r="24" customFormat="false" ht="15" hidden="false" customHeight="false" outlineLevel="0" collapsed="false">
      <c r="A24" s="0" t="n">
        <v>2045</v>
      </c>
      <c r="B24" s="25" t="n">
        <f aca="false">Residents!$B$189*Inputs!$B$75*(J24*Inputs!$B$15*(1+Inputs!$B$58)^(A24-2026)+(1-J24)*(Inputs!$B$16*(1+Inputs!$B$59)^(A24-2026)+Inputs!$B$18*Inputs!$B$17*(1+Inputs!$B$60)^(A24-2026)))</f>
        <v>9938462.08200454</v>
      </c>
      <c r="C24" s="25" t="n">
        <f aca="false">Result!$B$20*(1+Inputs!$B$61)^(A24-2026)</f>
        <v>6015867.55094958</v>
      </c>
      <c r="D24" s="25" t="n">
        <f aca="false">(Result!$B$24+Result!$B$25+Result!$B$26)*(1+Inputs!$B$62)^(A24-2026)</f>
        <v>1142391.6585192</v>
      </c>
      <c r="E24" s="25" t="n">
        <f aca="false">B24-C24-D24</f>
        <v>2780202.87253576</v>
      </c>
      <c r="F24" s="23" t="n">
        <f aca="false">E24/B24</f>
        <v>0.27974175980103</v>
      </c>
      <c r="G24" s="25" t="n">
        <f aca="false">Result!$B$33*(1+Inputs!$B$63)^(A24-2026)</f>
        <v>1435306.11475205</v>
      </c>
      <c r="H24" s="16" t="n">
        <f aca="false">E24/G24</f>
        <v>1.93701040075067</v>
      </c>
      <c r="I24" s="25" t="n">
        <f aca="false">E24-Inputs!$B$51*B24-G24</f>
        <v>847973.653683482</v>
      </c>
      <c r="J24" s="23" t="n">
        <f aca="false">K24*Inputs!$B$19</f>
        <v>0.346074821599643</v>
      </c>
      <c r="K24" s="23" t="n">
        <f aca="false">(IF(L24&lt;=0,0,INDEX(Residents!$J$5:$J$185,MIN(181,ROUNDUP(L24,0))))+IF(M24&lt;=0,0,INDEX(Residents!$J$5:$J$185,MIN(181,ROUNDUP(M24,0))))+IF(N24&lt;=0,0,INDEX(Residents!$J$5:$J$185,MIN(181,ROUNDUP(N24,0))))+IF(O24&lt;=0,0,INDEX(Residents!$J$5:$J$185,MIN(181,ROUNDUP(O24,0))))+IF(P24&lt;=0,0,INDEX(Residents!$J$5:$J$185,MIN(181,ROUNDUP(P24,0))))+IF(Q24&lt;=0,0,INDEX(Residents!$J$5:$J$185,MIN(181,ROUNDUP(Q24,0))))+IF(R24&lt;=0,0,INDEX(Residents!$J$5:$J$185,MIN(181,ROUNDUP(R24,0))))+IF(S24&lt;=0,0,INDEX(Residents!$J$5:$J$185,MIN(181,ROUNDUP(S24,0))))+IF(T24&lt;=0,0,INDEX(Residents!$J$5:$J$185,MIN(181,ROUNDUP(T24,0))))+IF(U24&lt;=0,0,INDEX(Residents!$J$5:$J$185,MIN(181,ROUNDUP(U24,0)))))/10/Residents!$J$185</f>
        <v>0.629226948362987</v>
      </c>
      <c r="L24" s="24" t="n">
        <f aca="false">IF(Payor!$B$7*(1+Inputs!$B$64)^(A24-2026)&lt;=Inputs!$B$20,0,(Payor!$B$7*(1+Inputs!$B$64)^(A24-2026)-Inputs!$B$20)/((Inputs!$B$15*(1+Inputs!$B$58)^(A24-2026)-Inputs!$B$21*(1+Inputs!$B$65)^(A24-2026))*Inputs!$B$76))</f>
        <v>5.08738629578051</v>
      </c>
      <c r="M24" s="24" t="n">
        <f aca="false">IF(Payor!$B$8*(1+Inputs!$B$64)^(A24-2026)&lt;=Inputs!$B$20,0,(Payor!$B$8*(1+Inputs!$B$64)^(A24-2026)-Inputs!$B$20)/((Inputs!$B$15*(1+Inputs!$B$58)^(A24-2026)-Inputs!$B$21*(1+Inputs!$B$65)^(A24-2026))*Inputs!$B$76))</f>
        <v>9.05455913510157</v>
      </c>
      <c r="N24" s="24" t="n">
        <f aca="false">IF(Payor!$B$9*(1+Inputs!$B$64)^(A24-2026)&lt;=Inputs!$B$20,0,(Payor!$B$9*(1+Inputs!$B$64)^(A24-2026)-Inputs!$B$20)/((Inputs!$B$15*(1+Inputs!$B$58)^(A24-2026)-Inputs!$B$21*(1+Inputs!$B$65)^(A24-2026))*Inputs!$B$76))</f>
        <v>13.1634167186841</v>
      </c>
      <c r="O24" s="24" t="n">
        <f aca="false">IF(Payor!$B$10*(1+Inputs!$B$64)^(A24-2026)&lt;=Inputs!$B$20,0,(Payor!$B$10*(1+Inputs!$B$64)^(A24-2026)-Inputs!$B$20)/((Inputs!$B$15*(1+Inputs!$B$58)^(A24-2026)-Inputs!$B$21*(1+Inputs!$B$65)^(A24-2026))*Inputs!$B$76))</f>
        <v>17.8390132793125</v>
      </c>
      <c r="P24" s="24" t="n">
        <f aca="false">IF(Payor!$B$11*(1+Inputs!$B$64)^(A24-2026)&lt;=Inputs!$B$20,0,(Payor!$B$11*(1+Inputs!$B$64)^(A24-2026)-Inputs!$B$20)/((Inputs!$B$15*(1+Inputs!$B$58)^(A24-2026)-Inputs!$B$21*(1+Inputs!$B$65)^(A24-2026))*Inputs!$B$76))</f>
        <v>22.6562945842024</v>
      </c>
      <c r="Q24" s="24" t="n">
        <f aca="false">IF(Payor!$B$12*(1+Inputs!$B$64)^(A24-2026)&lt;=Inputs!$B$20,0,(Payor!$B$12*(1+Inputs!$B$64)^(A24-2026)-Inputs!$B$20)/((Inputs!$B$15*(1+Inputs!$B$58)^(A24-2026)-Inputs!$B$21*(1+Inputs!$B$65)^(A24-2026))*Inputs!$B$76))</f>
        <v>28.0403148661381</v>
      </c>
      <c r="R24" s="24" t="n">
        <f aca="false">IF(Payor!$B$13*(1+Inputs!$B$64)^(A24-2026)&lt;=Inputs!$B$20,0,(Payor!$B$13*(1+Inputs!$B$64)^(A24-2026)-Inputs!$B$20)/((Inputs!$B$15*(1+Inputs!$B$58)^(A24-2026)-Inputs!$B$21*(1+Inputs!$B$65)^(A24-2026))*Inputs!$B$76))</f>
        <v>34.4161283579041</v>
      </c>
      <c r="S24" s="24" t="n">
        <f aca="false">IF(Payor!$B$14*(1+Inputs!$B$64)^(A24-2026)&lt;=Inputs!$B$20,0,(Payor!$B$14*(1+Inputs!$B$64)^(A24-2026)-Inputs!$B$20)/((Inputs!$B$15*(1+Inputs!$B$58)^(A24-2026)-Inputs!$B$21*(1+Inputs!$B$65)^(A24-2026))*Inputs!$B$76))</f>
        <v>42.4921587808077</v>
      </c>
      <c r="T24" s="24" t="n">
        <f aca="false">IF(Payor!$B$15*(1+Inputs!$B$64)^(A24-2026)&lt;=Inputs!$B$20,0,(Payor!$B$15*(1+Inputs!$B$64)^(A24-2026)-Inputs!$B$20)/((Inputs!$B$15*(1+Inputs!$B$58)^(A24-2026)-Inputs!$B$21*(1+Inputs!$B$65)^(A24-2026))*Inputs!$B$76))</f>
        <v>54.9604162758167</v>
      </c>
      <c r="U24" s="24" t="n">
        <f aca="false">IF(Payor!$B$16*(1+Inputs!$B$64)^(A24-2026)&lt;=Inputs!$B$20,0,(Payor!$B$16*(1+Inputs!$B$64)^(A24-2026)-Inputs!$B$20)/((Inputs!$B$15*(1+Inputs!$B$58)^(A24-2026)-Inputs!$B$21*(1+Inputs!$B$65)^(A24-2026))*Inputs!$B$76))</f>
        <v>86.1310600133394</v>
      </c>
    </row>
    <row r="25" customFormat="false" ht="15" hidden="false" customHeight="false" outlineLevel="0" collapsed="false">
      <c r="A25" s="0" t="n">
        <v>2046</v>
      </c>
      <c r="B25" s="25" t="n">
        <f aca="false">Residents!$B$189*Inputs!$B$75*(J25*Inputs!$B$15*(1+Inputs!$B$58)^(A25-2026)+(1-J25)*(Inputs!$B$16*(1+Inputs!$B$59)^(A25-2026)+Inputs!$B$18*Inputs!$B$17*(1+Inputs!$B$60)^(A25-2026)))</f>
        <v>10313489.5531048</v>
      </c>
      <c r="C25" s="25" t="n">
        <f aca="false">Result!$B$20*(1+Inputs!$B$61)^(A25-2026)</f>
        <v>6268533.98808946</v>
      </c>
      <c r="D25" s="25" t="n">
        <f aca="false">(Result!$B$24+Result!$B$25+Result!$B$26)*(1+Inputs!$B$62)^(A25-2026)</f>
        <v>1176663.40827478</v>
      </c>
      <c r="E25" s="25" t="n">
        <f aca="false">B25-C25-D25</f>
        <v>2868292.15674052</v>
      </c>
      <c r="F25" s="23" t="n">
        <f aca="false">E25/B25</f>
        <v>0.278110734681169</v>
      </c>
      <c r="G25" s="25" t="n">
        <f aca="false">Result!$B$33*(1+Inputs!$B$63)^(A25-2026)</f>
        <v>1475494.68596511</v>
      </c>
      <c r="H25" s="16" t="n">
        <f aca="false">E25/G25</f>
        <v>1.94395288849475</v>
      </c>
      <c r="I25" s="25" t="n">
        <f aca="false">E25-Inputs!$B$51*B25-G25</f>
        <v>877122.993120178</v>
      </c>
      <c r="J25" s="23" t="n">
        <f aca="false">K25*Inputs!$B$19</f>
        <v>0.34531216681631</v>
      </c>
      <c r="K25" s="23" t="n">
        <f aca="false">(IF(L25&lt;=0,0,INDEX(Residents!$J$5:$J$185,MIN(181,ROUNDUP(L25,0))))+IF(M25&lt;=0,0,INDEX(Residents!$J$5:$J$185,MIN(181,ROUNDUP(M25,0))))+IF(N25&lt;=0,0,INDEX(Residents!$J$5:$J$185,MIN(181,ROUNDUP(N25,0))))+IF(O25&lt;=0,0,INDEX(Residents!$J$5:$J$185,MIN(181,ROUNDUP(O25,0))))+IF(P25&lt;=0,0,INDEX(Residents!$J$5:$J$185,MIN(181,ROUNDUP(P25,0))))+IF(Q25&lt;=0,0,INDEX(Residents!$J$5:$J$185,MIN(181,ROUNDUP(Q25,0))))+IF(R25&lt;=0,0,INDEX(Residents!$J$5:$J$185,MIN(181,ROUNDUP(R25,0))))+IF(S25&lt;=0,0,INDEX(Residents!$J$5:$J$185,MIN(181,ROUNDUP(S25,0))))+IF(T25&lt;=0,0,INDEX(Residents!$J$5:$J$185,MIN(181,ROUNDUP(T25,0))))+IF(U25&lt;=0,0,INDEX(Residents!$J$5:$J$185,MIN(181,ROUNDUP(U25,0)))))/10/Residents!$J$185</f>
        <v>0.627840303302383</v>
      </c>
      <c r="L25" s="24" t="n">
        <f aca="false">IF(Payor!$B$7*(1+Inputs!$B$64)^(A25-2026)&lt;=Inputs!$B$20,0,(Payor!$B$7*(1+Inputs!$B$64)^(A25-2026)-Inputs!$B$20)/((Inputs!$B$15*(1+Inputs!$B$58)^(A25-2026)-Inputs!$B$21*(1+Inputs!$B$65)^(A25-2026))*Inputs!$B$76))</f>
        <v>5.08375086828454</v>
      </c>
      <c r="M25" s="24" t="n">
        <f aca="false">IF(Payor!$B$8*(1+Inputs!$B$64)^(A25-2026)&lt;=Inputs!$B$20,0,(Payor!$B$8*(1+Inputs!$B$64)^(A25-2026)-Inputs!$B$20)/((Inputs!$B$15*(1+Inputs!$B$58)^(A25-2026)-Inputs!$B$21*(1+Inputs!$B$65)^(A25-2026))*Inputs!$B$76))</f>
        <v>9.00344463461153</v>
      </c>
      <c r="N25" s="24" t="n">
        <f aca="false">IF(Payor!$B$9*(1+Inputs!$B$64)^(A25-2026)&lt;=Inputs!$B$20,0,(Payor!$B$9*(1+Inputs!$B$64)^(A25-2026)-Inputs!$B$20)/((Inputs!$B$15*(1+Inputs!$B$58)^(A25-2026)-Inputs!$B$21*(1+Inputs!$B$65)^(A25-2026))*Inputs!$B$76))</f>
        <v>13.0631274640216</v>
      </c>
      <c r="O25" s="24" t="n">
        <f aca="false">IF(Payor!$B$10*(1+Inputs!$B$64)^(A25-2026)&lt;=Inputs!$B$20,0,(Payor!$B$10*(1+Inputs!$B$64)^(A25-2026)-Inputs!$B$20)/((Inputs!$B$15*(1+Inputs!$B$58)^(A25-2026)-Inputs!$B$21*(1+Inputs!$B$65)^(A25-2026))*Inputs!$B$76))</f>
        <v>17.6827665457642</v>
      </c>
      <c r="P25" s="24" t="n">
        <f aca="false">IF(Payor!$B$11*(1+Inputs!$B$64)^(A25-2026)&lt;=Inputs!$B$20,0,(Payor!$B$11*(1+Inputs!$B$64)^(A25-2026)-Inputs!$B$20)/((Inputs!$B$15*(1+Inputs!$B$58)^(A25-2026)-Inputs!$B$21*(1+Inputs!$B$65)^(A25-2026))*Inputs!$B$76))</f>
        <v>22.4423946905898</v>
      </c>
      <c r="Q25" s="24" t="n">
        <f aca="false">IF(Payor!$B$12*(1+Inputs!$B$64)^(A25-2026)&lt;=Inputs!$B$20,0,(Payor!$B$12*(1+Inputs!$B$64)^(A25-2026)-Inputs!$B$20)/((Inputs!$B$15*(1+Inputs!$B$58)^(A25-2026)-Inputs!$B$21*(1+Inputs!$B$65)^(A25-2026))*Inputs!$B$76))</f>
        <v>27.7619790877479</v>
      </c>
      <c r="R25" s="24" t="n">
        <f aca="false">IF(Payor!$B$13*(1+Inputs!$B$64)^(A25-2026)&lt;=Inputs!$B$20,0,(Payor!$B$13*(1+Inputs!$B$64)^(A25-2026)-Inputs!$B$20)/((Inputs!$B$15*(1+Inputs!$B$58)^(A25-2026)-Inputs!$B$21*(1+Inputs!$B$65)^(A25-2026))*Inputs!$B$76))</f>
        <v>34.0614869264877</v>
      </c>
      <c r="S25" s="24" t="n">
        <f aca="false">IF(Payor!$B$14*(1+Inputs!$B$64)^(A25-2026)&lt;=Inputs!$B$20,0,(Payor!$B$14*(1+Inputs!$B$64)^(A25-2026)-Inputs!$B$20)/((Inputs!$B$15*(1+Inputs!$B$58)^(A25-2026)-Inputs!$B$21*(1+Inputs!$B$65)^(A25-2026))*Inputs!$B$76))</f>
        <v>42.0408635222248</v>
      </c>
      <c r="T25" s="24" t="n">
        <f aca="false">IF(Payor!$B$15*(1+Inputs!$B$64)^(A25-2026)&lt;=Inputs!$B$20,0,(Payor!$B$15*(1+Inputs!$B$64)^(A25-2026)-Inputs!$B$20)/((Inputs!$B$15*(1+Inputs!$B$58)^(A25-2026)-Inputs!$B$21*(1+Inputs!$B$65)^(A25-2026))*Inputs!$B$76))</f>
        <v>54.3599010735382</v>
      </c>
      <c r="U25" s="24" t="n">
        <f aca="false">IF(Payor!$B$16*(1+Inputs!$B$64)^(A25-2026)&lt;=Inputs!$B$20,0,(Payor!$B$16*(1+Inputs!$B$64)^(A25-2026)-Inputs!$B$20)/((Inputs!$B$15*(1+Inputs!$B$58)^(A25-2026)-Inputs!$B$21*(1+Inputs!$B$65)^(A25-2026))*Inputs!$B$76))</f>
        <v>85.1574949518218</v>
      </c>
    </row>
    <row r="26" customFormat="false" ht="15" hidden="false" customHeight="false" outlineLevel="0" collapsed="false">
      <c r="A26" s="0" t="n">
        <v>2047</v>
      </c>
      <c r="B26" s="25" t="n">
        <f aca="false">Residents!$B$189*Inputs!$B$75*(J26*Inputs!$B$15*(1+Inputs!$B$58)^(A26-2026)+(1-J26)*(Inputs!$B$16*(1+Inputs!$B$59)^(A26-2026)+Inputs!$B$18*Inputs!$B$17*(1+Inputs!$B$60)^(A26-2026)))</f>
        <v>10688794.7098023</v>
      </c>
      <c r="C26" s="25" t="n">
        <f aca="false">Result!$B$20*(1+Inputs!$B$61)^(A26-2026)</f>
        <v>6531812.41558922</v>
      </c>
      <c r="D26" s="25" t="n">
        <f aca="false">(Result!$B$24+Result!$B$25+Result!$B$26)*(1+Inputs!$B$62)^(A26-2026)</f>
        <v>1211963.31052302</v>
      </c>
      <c r="E26" s="25" t="n">
        <f aca="false">B26-C26-D26</f>
        <v>2945018.98369006</v>
      </c>
      <c r="F26" s="23" t="n">
        <f aca="false">E26/B26</f>
        <v>0.275523954163821</v>
      </c>
      <c r="G26" s="25" t="n">
        <f aca="false">Result!$B$33*(1+Inputs!$B$63)^(A26-2026)</f>
        <v>1516808.53717213</v>
      </c>
      <c r="H26" s="16" t="n">
        <f aca="false">E26/G26</f>
        <v>1.94158914030153</v>
      </c>
      <c r="I26" s="25" t="n">
        <f aca="false">E26-Inputs!$B$51*B26-G26</f>
        <v>893770.711027818</v>
      </c>
      <c r="J26" s="23" t="n">
        <f aca="false">K26*Inputs!$B$19</f>
        <v>0.341262375955902</v>
      </c>
      <c r="K26" s="23" t="n">
        <f aca="false">(IF(L26&lt;=0,0,INDEX(Residents!$J$5:$J$185,MIN(181,ROUNDUP(L26,0))))+IF(M26&lt;=0,0,INDEX(Residents!$J$5:$J$185,MIN(181,ROUNDUP(M26,0))))+IF(N26&lt;=0,0,INDEX(Residents!$J$5:$J$185,MIN(181,ROUNDUP(N26,0))))+IF(O26&lt;=0,0,INDEX(Residents!$J$5:$J$185,MIN(181,ROUNDUP(O26,0))))+IF(P26&lt;=0,0,INDEX(Residents!$J$5:$J$185,MIN(181,ROUNDUP(P26,0))))+IF(Q26&lt;=0,0,INDEX(Residents!$J$5:$J$185,MIN(181,ROUNDUP(Q26,0))))+IF(R26&lt;=0,0,INDEX(Residents!$J$5:$J$185,MIN(181,ROUNDUP(R26,0))))+IF(S26&lt;=0,0,INDEX(Residents!$J$5:$J$185,MIN(181,ROUNDUP(S26,0))))+IF(T26&lt;=0,0,INDEX(Residents!$J$5:$J$185,MIN(181,ROUNDUP(T26,0))))+IF(U26&lt;=0,0,INDEX(Residents!$J$5:$J$185,MIN(181,ROUNDUP(U26,0)))))/10/Residents!$J$185</f>
        <v>0.620477047192549</v>
      </c>
      <c r="L26" s="24" t="n">
        <f aca="false">IF(Payor!$B$7*(1+Inputs!$B$64)^(A26-2026)&lt;=Inputs!$B$20,0,(Payor!$B$7*(1+Inputs!$B$64)^(A26-2026)-Inputs!$B$20)/((Inputs!$B$15*(1+Inputs!$B$58)^(A26-2026)-Inputs!$B$21*(1+Inputs!$B$65)^(A26-2026))*Inputs!$B$76))</f>
        <v>5.07773159678164</v>
      </c>
      <c r="M26" s="24" t="n">
        <f aca="false">IF(Payor!$B$8*(1+Inputs!$B$64)^(A26-2026)&lt;=Inputs!$B$20,0,(Payor!$B$8*(1+Inputs!$B$64)^(A26-2026)-Inputs!$B$20)/((Inputs!$B$15*(1+Inputs!$B$58)^(A26-2026)-Inputs!$B$21*(1+Inputs!$B$65)^(A26-2026))*Inputs!$B$76))</f>
        <v>8.9506446785411</v>
      </c>
      <c r="N26" s="24" t="n">
        <f aca="false">IF(Payor!$B$9*(1+Inputs!$B$64)^(A26-2026)&lt;=Inputs!$B$20,0,(Payor!$B$9*(1+Inputs!$B$64)^(A26-2026)-Inputs!$B$20)/((Inputs!$B$15*(1+Inputs!$B$58)^(A26-2026)-Inputs!$B$21*(1+Inputs!$B$65)^(A26-2026))*Inputs!$B$76))</f>
        <v>12.9618760846491</v>
      </c>
      <c r="O26" s="24" t="n">
        <f aca="false">IF(Payor!$B$10*(1+Inputs!$B$64)^(A26-2026)&lt;=Inputs!$B$20,0,(Payor!$B$10*(1+Inputs!$B$64)^(A26-2026)-Inputs!$B$20)/((Inputs!$B$15*(1+Inputs!$B$58)^(A26-2026)-Inputs!$B$21*(1+Inputs!$B$65)^(A26-2026))*Inputs!$B$76))</f>
        <v>17.5263807881513</v>
      </c>
      <c r="P26" s="24" t="n">
        <f aca="false">IF(Payor!$B$11*(1+Inputs!$B$64)^(A26-2026)&lt;=Inputs!$B$20,0,(Payor!$B$11*(1+Inputs!$B$64)^(A26-2026)-Inputs!$B$20)/((Inputs!$B$15*(1+Inputs!$B$58)^(A26-2026)-Inputs!$B$21*(1+Inputs!$B$65)^(A26-2026))*Inputs!$B$76))</f>
        <v>22.2292038160021</v>
      </c>
      <c r="Q26" s="24" t="n">
        <f aca="false">IF(Payor!$B$12*(1+Inputs!$B$64)^(A26-2026)&lt;=Inputs!$B$20,0,(Payor!$B$12*(1+Inputs!$B$64)^(A26-2026)-Inputs!$B$20)/((Inputs!$B$15*(1+Inputs!$B$58)^(A26-2026)-Inputs!$B$21*(1+Inputs!$B$65)^(A26-2026))*Inputs!$B$76))</f>
        <v>27.4853001412471</v>
      </c>
      <c r="R26" s="24" t="n">
        <f aca="false">IF(Payor!$B$13*(1+Inputs!$B$64)^(A26-2026)&lt;=Inputs!$B$20,0,(Payor!$B$13*(1+Inputs!$B$64)^(A26-2026)-Inputs!$B$20)/((Inputs!$B$15*(1+Inputs!$B$58)^(A26-2026)-Inputs!$B$21*(1+Inputs!$B$65)^(A26-2026))*Inputs!$B$76))</f>
        <v>33.7096247369319</v>
      </c>
      <c r="S26" s="24" t="n">
        <f aca="false">IF(Payor!$B$14*(1+Inputs!$B$64)^(A26-2026)&lt;=Inputs!$B$20,0,(Payor!$B$14*(1+Inputs!$B$64)^(A26-2026)-Inputs!$B$20)/((Inputs!$B$15*(1+Inputs!$B$58)^(A26-2026)-Inputs!$B$21*(1+Inputs!$B$65)^(A26-2026))*Inputs!$B$76))</f>
        <v>41.5937692247994</v>
      </c>
      <c r="T26" s="24" t="n">
        <f aca="false">IF(Payor!$B$15*(1+Inputs!$B$64)^(A26-2026)&lt;=Inputs!$B$20,0,(Payor!$B$15*(1+Inputs!$B$64)^(A26-2026)-Inputs!$B$20)/((Inputs!$B$15*(1+Inputs!$B$58)^(A26-2026)-Inputs!$B$21*(1+Inputs!$B$65)^(A26-2026))*Inputs!$B$76))</f>
        <v>53.765781767472</v>
      </c>
      <c r="U26" s="24" t="n">
        <f aca="false">IF(Payor!$B$16*(1+Inputs!$B$64)^(A26-2026)&lt;=Inputs!$B$20,0,(Payor!$B$16*(1+Inputs!$B$64)^(A26-2026)-Inputs!$B$20)/((Inputs!$B$15*(1+Inputs!$B$58)^(A26-2026)-Inputs!$B$21*(1+Inputs!$B$65)^(A26-2026))*Inputs!$B$76))</f>
        <v>84.1958131241535</v>
      </c>
    </row>
    <row r="27" customFormat="false" ht="15" hidden="false" customHeight="false" outlineLevel="0" collapsed="false">
      <c r="A27" s="0" t="n">
        <v>2048</v>
      </c>
      <c r="B27" s="25" t="n">
        <f aca="false">Residents!$B$189*Inputs!$B$75*(J27*Inputs!$B$15*(1+Inputs!$B$58)^(A27-2026)+(1-J27)*(Inputs!$B$16*(1+Inputs!$B$59)^(A27-2026)+Inputs!$B$18*Inputs!$B$17*(1+Inputs!$B$60)^(A27-2026)))</f>
        <v>11095159.5655816</v>
      </c>
      <c r="C27" s="25" t="n">
        <f aca="false">Result!$B$20*(1+Inputs!$B$61)^(A27-2026)</f>
        <v>6806148.53704397</v>
      </c>
      <c r="D27" s="25" t="n">
        <f aca="false">(Result!$B$24+Result!$B$25+Result!$B$26)*(1+Inputs!$B$62)^(A27-2026)</f>
        <v>1248322.20983871</v>
      </c>
      <c r="E27" s="25" t="n">
        <f aca="false">B27-C27-D27</f>
        <v>3040688.81869897</v>
      </c>
      <c r="F27" s="23" t="n">
        <f aca="false">E27/B27</f>
        <v>0.274055438385177</v>
      </c>
      <c r="G27" s="25" t="n">
        <f aca="false">Result!$B$33*(1+Inputs!$B$63)^(A27-2026)</f>
        <v>1559279.17621295</v>
      </c>
      <c r="H27" s="16" t="n">
        <f aca="false">E27/G27</f>
        <v>1.95006055688113</v>
      </c>
      <c r="I27" s="25" t="n">
        <f aca="false">E27-Inputs!$B$51*B27-G27</f>
        <v>926651.664206934</v>
      </c>
      <c r="J27" s="23" t="n">
        <f aca="false">K27*Inputs!$B$19</f>
        <v>0.341191480315747</v>
      </c>
      <c r="K27" s="23" t="n">
        <f aca="false">(IF(L27&lt;=0,0,INDEX(Residents!$J$5:$J$185,MIN(181,ROUNDUP(L27,0))))+IF(M27&lt;=0,0,INDEX(Residents!$J$5:$J$185,MIN(181,ROUNDUP(M27,0))))+IF(N27&lt;=0,0,INDEX(Residents!$J$5:$J$185,MIN(181,ROUNDUP(N27,0))))+IF(O27&lt;=0,0,INDEX(Residents!$J$5:$J$185,MIN(181,ROUNDUP(O27,0))))+IF(P27&lt;=0,0,INDEX(Residents!$J$5:$J$185,MIN(181,ROUNDUP(P27,0))))+IF(Q27&lt;=0,0,INDEX(Residents!$J$5:$J$185,MIN(181,ROUNDUP(Q27,0))))+IF(R27&lt;=0,0,INDEX(Residents!$J$5:$J$185,MIN(181,ROUNDUP(R27,0))))+IF(S27&lt;=0,0,INDEX(Residents!$J$5:$J$185,MIN(181,ROUNDUP(S27,0))))+IF(T27&lt;=0,0,INDEX(Residents!$J$5:$J$185,MIN(181,ROUNDUP(T27,0))))+IF(U27&lt;=0,0,INDEX(Residents!$J$5:$J$185,MIN(181,ROUNDUP(U27,0)))))/10/Residents!$J$185</f>
        <v>0.620348146028631</v>
      </c>
      <c r="L27" s="24" t="n">
        <f aca="false">IF(Payor!$B$7*(1+Inputs!$B$64)^(A27-2026)&lt;=Inputs!$B$20,0,(Payor!$B$7*(1+Inputs!$B$64)^(A27-2026)-Inputs!$B$20)/((Inputs!$B$15*(1+Inputs!$B$58)^(A27-2026)-Inputs!$B$21*(1+Inputs!$B$65)^(A27-2026))*Inputs!$B$76))</f>
        <v>5.0694733405031</v>
      </c>
      <c r="M27" s="24" t="n">
        <f aca="false">IF(Payor!$B$8*(1+Inputs!$B$64)^(A27-2026)&lt;=Inputs!$B$20,0,(Payor!$B$8*(1+Inputs!$B$64)^(A27-2026)-Inputs!$B$20)/((Inputs!$B$15*(1+Inputs!$B$58)^(A27-2026)-Inputs!$B$21*(1+Inputs!$B$65)^(A27-2026))*Inputs!$B$76))</f>
        <v>8.89629058182566</v>
      </c>
      <c r="N27" s="24" t="n">
        <f aca="false">IF(Payor!$B$9*(1+Inputs!$B$64)^(A27-2026)&lt;=Inputs!$B$20,0,(Payor!$B$9*(1+Inputs!$B$64)^(A27-2026)-Inputs!$B$20)/((Inputs!$B$15*(1+Inputs!$B$58)^(A27-2026)-Inputs!$B$21*(1+Inputs!$B$65)^(A27-2026))*Inputs!$B$76))</f>
        <v>12.8597798674812</v>
      </c>
      <c r="O27" s="24" t="n">
        <f aca="false">IF(Payor!$B$10*(1+Inputs!$B$64)^(A27-2026)&lt;=Inputs!$B$20,0,(Payor!$B$10*(1+Inputs!$B$64)^(A27-2026)-Inputs!$B$20)/((Inputs!$B$15*(1+Inputs!$B$58)^(A27-2026)-Inputs!$B$21*(1+Inputs!$B$65)^(A27-2026))*Inputs!$B$76))</f>
        <v>17.3699573304685</v>
      </c>
      <c r="P27" s="24" t="n">
        <f aca="false">IF(Payor!$B$11*(1+Inputs!$B$64)^(A27-2026)&lt;=Inputs!$B$20,0,(Payor!$B$11*(1+Inputs!$B$64)^(A27-2026)-Inputs!$B$20)/((Inputs!$B$15*(1+Inputs!$B$58)^(A27-2026)-Inputs!$B$21*(1+Inputs!$B$65)^(A27-2026))*Inputs!$B$76))</f>
        <v>22.0168068377887</v>
      </c>
      <c r="Q27" s="24" t="n">
        <f aca="false">IF(Payor!$B$12*(1+Inputs!$B$64)^(A27-2026)&lt;=Inputs!$B$20,0,(Payor!$B$12*(1+Inputs!$B$64)^(A27-2026)-Inputs!$B$20)/((Inputs!$B$15*(1+Inputs!$B$58)^(A27-2026)-Inputs!$B$21*(1+Inputs!$B$65)^(A27-2026))*Inputs!$B$76))</f>
        <v>27.2103445224408</v>
      </c>
      <c r="R27" s="24" t="n">
        <f aca="false">IF(Payor!$B$13*(1+Inputs!$B$64)^(A27-2026)&lt;=Inputs!$B$20,0,(Payor!$B$13*(1+Inputs!$B$64)^(A27-2026)-Inputs!$B$20)/((Inputs!$B$15*(1+Inputs!$B$58)^(A27-2026)-Inputs!$B$21*(1+Inputs!$B$65)^(A27-2026))*Inputs!$B$76))</f>
        <v>33.3605865174235</v>
      </c>
      <c r="S27" s="24" t="n">
        <f aca="false">IF(Payor!$B$14*(1+Inputs!$B$64)^(A27-2026)&lt;=Inputs!$B$20,0,(Payor!$B$14*(1+Inputs!$B$64)^(A27-2026)-Inputs!$B$20)/((Inputs!$B$15*(1+Inputs!$B$58)^(A27-2026)-Inputs!$B$21*(1+Inputs!$B$65)^(A27-2026))*Inputs!$B$76))</f>
        <v>41.1508930444016</v>
      </c>
      <c r="T27" s="24" t="n">
        <f aca="false">IF(Payor!$B$15*(1+Inputs!$B$64)^(A27-2026)&lt;=Inputs!$B$20,0,(Payor!$B$15*(1+Inputs!$B$64)^(A27-2026)-Inputs!$B$20)/((Inputs!$B$15*(1+Inputs!$B$58)^(A27-2026)-Inputs!$B$21*(1+Inputs!$B$65)^(A27-2026))*Inputs!$B$76))</f>
        <v>53.178032945701</v>
      </c>
      <c r="U27" s="24" t="n">
        <f aca="false">IF(Payor!$B$16*(1+Inputs!$B$64)^(A27-2026)&lt;=Inputs!$B$20,0,(Payor!$B$16*(1+Inputs!$B$64)^(A27-2026)-Inputs!$B$20)/((Inputs!$B$15*(1+Inputs!$B$58)^(A27-2026)-Inputs!$B$21*(1+Inputs!$B$65)^(A27-2026))*Inputs!$B$76))</f>
        <v>83.2458826989497</v>
      </c>
    </row>
    <row r="28" customFormat="false" ht="15" hidden="false" customHeight="false" outlineLevel="0" collapsed="false">
      <c r="A28" s="0" t="n">
        <v>2049</v>
      </c>
      <c r="B28" s="25" t="n">
        <f aca="false">Residents!$B$189*Inputs!$B$75*(J28*Inputs!$B$15*(1+Inputs!$B$58)^(A28-2026)+(1-J28)*(Inputs!$B$16*(1+Inputs!$B$59)^(A28-2026)+Inputs!$B$18*Inputs!$B$17*(1+Inputs!$B$60)^(A28-2026)))</f>
        <v>11506177.8239557</v>
      </c>
      <c r="C28" s="25" t="n">
        <f aca="false">Result!$B$20*(1+Inputs!$B$61)^(A28-2026)</f>
        <v>7092006.77559982</v>
      </c>
      <c r="D28" s="25" t="n">
        <f aca="false">(Result!$B$24+Result!$B$25+Result!$B$26)*(1+Inputs!$B$62)^(A28-2026)</f>
        <v>1285771.87613387</v>
      </c>
      <c r="E28" s="25" t="n">
        <f aca="false">B28-C28-D28</f>
        <v>3128399.17222202</v>
      </c>
      <c r="F28" s="23" t="n">
        <f aca="false">E28/B28</f>
        <v>0.271888651478055</v>
      </c>
      <c r="G28" s="25" t="n">
        <f aca="false">Result!$B$33*(1+Inputs!$B$63)^(A28-2026)</f>
        <v>1602938.99314691</v>
      </c>
      <c r="H28" s="16" t="n">
        <f aca="false">E28/G28</f>
        <v>1.95166452721965</v>
      </c>
      <c r="I28" s="25" t="n">
        <f aca="false">E28-Inputs!$B$51*B28-G28</f>
        <v>950151.287877319</v>
      </c>
      <c r="J28" s="23" t="n">
        <f aca="false">K28*Inputs!$B$19</f>
        <v>0.338838937612298</v>
      </c>
      <c r="K28" s="23" t="n">
        <f aca="false">(IF(L28&lt;=0,0,INDEX(Residents!$J$5:$J$185,MIN(181,ROUNDUP(L28,0))))+IF(M28&lt;=0,0,INDEX(Residents!$J$5:$J$185,MIN(181,ROUNDUP(M28,0))))+IF(N28&lt;=0,0,INDEX(Residents!$J$5:$J$185,MIN(181,ROUNDUP(N28,0))))+IF(O28&lt;=0,0,INDEX(Residents!$J$5:$J$185,MIN(181,ROUNDUP(O28,0))))+IF(P28&lt;=0,0,INDEX(Residents!$J$5:$J$185,MIN(181,ROUNDUP(P28,0))))+IF(Q28&lt;=0,0,INDEX(Residents!$J$5:$J$185,MIN(181,ROUNDUP(Q28,0))))+IF(R28&lt;=0,0,INDEX(Residents!$J$5:$J$185,MIN(181,ROUNDUP(R28,0))))+IF(S28&lt;=0,0,INDEX(Residents!$J$5:$J$185,MIN(181,ROUNDUP(S28,0))))+IF(T28&lt;=0,0,INDEX(Residents!$J$5:$J$185,MIN(181,ROUNDUP(T28,0))))+IF(U28&lt;=0,0,INDEX(Residents!$J$5:$J$185,MIN(181,ROUNDUP(U28,0)))))/10/Residents!$J$185</f>
        <v>0.616070795658724</v>
      </c>
      <c r="L28" s="24" t="n">
        <f aca="false">IF(Payor!$B$7*(1+Inputs!$B$64)^(A28-2026)&lt;=Inputs!$B$20,0,(Payor!$B$7*(1+Inputs!$B$64)^(A28-2026)-Inputs!$B$20)/((Inputs!$B$15*(1+Inputs!$B$58)^(A28-2026)-Inputs!$B$21*(1+Inputs!$B$65)^(A28-2026))*Inputs!$B$76))</f>
        <v>5.05911347006739</v>
      </c>
      <c r="M28" s="24" t="n">
        <f aca="false">IF(Payor!$B$8*(1+Inputs!$B$64)^(A28-2026)&lt;=Inputs!$B$20,0,(Payor!$B$8*(1+Inputs!$B$64)^(A28-2026)-Inputs!$B$20)/((Inputs!$B$15*(1+Inputs!$B$58)^(A28-2026)-Inputs!$B$21*(1+Inputs!$B$65)^(A28-2026))*Inputs!$B$76))</f>
        <v>8.84050651662946</v>
      </c>
      <c r="N28" s="24" t="n">
        <f aca="false">IF(Payor!$B$9*(1+Inputs!$B$64)^(A28-2026)&lt;=Inputs!$B$20,0,(Payor!$B$9*(1+Inputs!$B$64)^(A28-2026)-Inputs!$B$20)/((Inputs!$B$15*(1+Inputs!$B$58)^(A28-2026)-Inputs!$B$21*(1+Inputs!$B$65)^(A28-2026))*Inputs!$B$76))</f>
        <v>12.7569493148545</v>
      </c>
      <c r="O28" s="24" t="n">
        <f aca="false">IF(Payor!$B$10*(1+Inputs!$B$64)^(A28-2026)&lt;=Inputs!$B$20,0,(Payor!$B$10*(1+Inputs!$B$64)^(A28-2026)-Inputs!$B$20)/((Inputs!$B$15*(1+Inputs!$B$58)^(A28-2026)-Inputs!$B$21*(1+Inputs!$B$65)^(A28-2026))*Inputs!$B$76))</f>
        <v>17.2135911197312</v>
      </c>
      <c r="P28" s="24" t="n">
        <f aca="false">IF(Payor!$B$11*(1+Inputs!$B$64)^(A28-2026)&lt;=Inputs!$B$20,0,(Payor!$B$11*(1+Inputs!$B$64)^(A28-2026)-Inputs!$B$20)/((Inputs!$B$15*(1+Inputs!$B$58)^(A28-2026)-Inputs!$B$21*(1+Inputs!$B$65)^(A28-2026))*Inputs!$B$76))</f>
        <v>21.8052826762708</v>
      </c>
      <c r="Q28" s="24" t="n">
        <f aca="false">IF(Payor!$B$12*(1+Inputs!$B$64)^(A28-2026)&lt;=Inputs!$B$20,0,(Payor!$B$12*(1+Inputs!$B$64)^(A28-2026)-Inputs!$B$20)/((Inputs!$B$15*(1+Inputs!$B$58)^(A28-2026)-Inputs!$B$21*(1+Inputs!$B$65)^(A28-2026))*Inputs!$B$76))</f>
        <v>26.9371732394622</v>
      </c>
      <c r="R28" s="24" t="n">
        <f aca="false">IF(Payor!$B$13*(1+Inputs!$B$64)^(A28-2026)&lt;=Inputs!$B$20,0,(Payor!$B$13*(1+Inputs!$B$64)^(A28-2026)-Inputs!$B$20)/((Inputs!$B$15*(1+Inputs!$B$58)^(A28-2026)-Inputs!$B$21*(1+Inputs!$B$65)^(A28-2026))*Inputs!$B$76))</f>
        <v>33.0144120642941</v>
      </c>
      <c r="S28" s="24" t="n">
        <f aca="false">IF(Payor!$B$14*(1+Inputs!$B$64)^(A28-2026)&lt;=Inputs!$B$20,0,(Payor!$B$14*(1+Inputs!$B$64)^(A28-2026)-Inputs!$B$20)/((Inputs!$B$15*(1+Inputs!$B$58)^(A28-2026)-Inputs!$B$21*(1+Inputs!$B$65)^(A28-2026))*Inputs!$B$76))</f>
        <v>40.7122479090812</v>
      </c>
      <c r="T28" s="24" t="n">
        <f aca="false">IF(Payor!$B$15*(1+Inputs!$B$64)^(A28-2026)&lt;=Inputs!$B$20,0,(Payor!$B$15*(1+Inputs!$B$64)^(A28-2026)-Inputs!$B$20)/((Inputs!$B$15*(1+Inputs!$B$58)^(A28-2026)-Inputs!$B$21*(1+Inputs!$B$65)^(A28-2026))*Inputs!$B$76))</f>
        <v>52.5966260554191</v>
      </c>
      <c r="U28" s="24" t="n">
        <f aca="false">IF(Payor!$B$16*(1+Inputs!$B$64)^(A28-2026)&lt;=Inputs!$B$20,0,(Payor!$B$16*(1+Inputs!$B$64)^(A28-2026)-Inputs!$B$20)/((Inputs!$B$15*(1+Inputs!$B$58)^(A28-2026)-Inputs!$B$21*(1+Inputs!$B$65)^(A28-2026))*Inputs!$B$76))</f>
        <v>82.307571421264</v>
      </c>
    </row>
    <row r="29" customFormat="false" ht="15" hidden="false" customHeight="false" outlineLevel="0" collapsed="false">
      <c r="A29" s="0" t="n">
        <v>2050</v>
      </c>
      <c r="B29" s="25" t="n">
        <f aca="false">Residents!$B$189*Inputs!$B$75*(J29*Inputs!$B$15*(1+Inputs!$B$58)^(A29-2026)+(1-J29)*(Inputs!$B$16*(1+Inputs!$B$59)^(A29-2026)+Inputs!$B$18*Inputs!$B$17*(1+Inputs!$B$60)^(A29-2026)))</f>
        <v>11941038.4719136</v>
      </c>
      <c r="C29" s="25" t="n">
        <f aca="false">Result!$B$20*(1+Inputs!$B$61)^(A29-2026)</f>
        <v>7389871.06017501</v>
      </c>
      <c r="D29" s="25" t="n">
        <f aca="false">(Result!$B$24+Result!$B$25+Result!$B$26)*(1+Inputs!$B$62)^(A29-2026)</f>
        <v>1324345.03241789</v>
      </c>
      <c r="E29" s="25" t="n">
        <f aca="false">B29-C29-D29</f>
        <v>3226822.37932072</v>
      </c>
      <c r="F29" s="23" t="n">
        <f aca="false">E29/B29</f>
        <v>0.270229627591478</v>
      </c>
      <c r="G29" s="25" t="n">
        <f aca="false">Result!$B$33*(1+Inputs!$B$63)^(A29-2026)</f>
        <v>1647821.28495503</v>
      </c>
      <c r="H29" s="16" t="n">
        <f aca="false">E29/G29</f>
        <v>1.95823564653663</v>
      </c>
      <c r="I29" s="25" t="n">
        <f aca="false">E29-Inputs!$B$51*B29-G29</f>
        <v>981949.170770017</v>
      </c>
      <c r="J29" s="23" t="n">
        <f aca="false">K29*Inputs!$B$19</f>
        <v>0.338193437381402</v>
      </c>
      <c r="K29" s="23" t="n">
        <f aca="false">(IF(L29&lt;=0,0,INDEX(Residents!$J$5:$J$185,MIN(181,ROUNDUP(L29,0))))+IF(M29&lt;=0,0,INDEX(Residents!$J$5:$J$185,MIN(181,ROUNDUP(M29,0))))+IF(N29&lt;=0,0,INDEX(Residents!$J$5:$J$185,MIN(181,ROUNDUP(N29,0))))+IF(O29&lt;=0,0,INDEX(Residents!$J$5:$J$185,MIN(181,ROUNDUP(O29,0))))+IF(P29&lt;=0,0,INDEX(Residents!$J$5:$J$185,MIN(181,ROUNDUP(P29,0))))+IF(Q29&lt;=0,0,INDEX(Residents!$J$5:$J$185,MIN(181,ROUNDUP(Q29,0))))+IF(R29&lt;=0,0,INDEX(Residents!$J$5:$J$185,MIN(181,ROUNDUP(R29,0))))+IF(S29&lt;=0,0,INDEX(Residents!$J$5:$J$185,MIN(181,ROUNDUP(S29,0))))+IF(T29&lt;=0,0,INDEX(Residents!$J$5:$J$185,MIN(181,ROUNDUP(T29,0))))+IF(U29&lt;=0,0,INDEX(Residents!$J$5:$J$185,MIN(181,ROUNDUP(U29,0)))))/10/Residents!$J$185</f>
        <v>0.614897158875276</v>
      </c>
      <c r="L29" s="24" t="n">
        <f aca="false">IF(Payor!$B$7*(1+Inputs!$B$64)^(A29-2026)&lt;=Inputs!$B$20,0,(Payor!$B$7*(1+Inputs!$B$64)^(A29-2026)-Inputs!$B$20)/((Inputs!$B$15*(1+Inputs!$B$58)^(A29-2026)-Inputs!$B$21*(1+Inputs!$B$65)^(A29-2026))*Inputs!$B$76))</f>
        <v>5.04678224910992</v>
      </c>
      <c r="M29" s="24" t="n">
        <f aca="false">IF(Payor!$B$8*(1+Inputs!$B$64)^(A29-2026)&lt;=Inputs!$B$20,0,(Payor!$B$8*(1+Inputs!$B$64)^(A29-2026)-Inputs!$B$20)/((Inputs!$B$15*(1+Inputs!$B$58)^(A29-2026)-Inputs!$B$21*(1+Inputs!$B$65)^(A29-2026))*Inputs!$B$76))</f>
        <v>8.78340988291775</v>
      </c>
      <c r="N29" s="24" t="n">
        <f aca="false">IF(Payor!$B$9*(1+Inputs!$B$64)^(A29-2026)&lt;=Inputs!$B$20,0,(Payor!$B$9*(1+Inputs!$B$64)^(A29-2026)-Inputs!$B$20)/((Inputs!$B$15*(1+Inputs!$B$58)^(A29-2026)-Inputs!$B$21*(1+Inputs!$B$65)^(A29-2026))*Inputs!$B$76))</f>
        <v>12.6534885036473</v>
      </c>
      <c r="O29" s="24" t="n">
        <f aca="false">IF(Payor!$B$10*(1+Inputs!$B$64)^(A29-2026)&lt;=Inputs!$B$20,0,(Payor!$B$10*(1+Inputs!$B$64)^(A29-2026)-Inputs!$B$20)/((Inputs!$B$15*(1+Inputs!$B$58)^(A29-2026)-Inputs!$B$21*(1+Inputs!$B$65)^(A29-2026))*Inputs!$B$76))</f>
        <v>17.0573710720636</v>
      </c>
      <c r="P29" s="24" t="n">
        <f aca="false">IF(Payor!$B$11*(1+Inputs!$B$64)^(A29-2026)&lt;=Inputs!$B$20,0,(Payor!$B$11*(1+Inputs!$B$64)^(A29-2026)-Inputs!$B$20)/((Inputs!$B$15*(1+Inputs!$B$58)^(A29-2026)-Inputs!$B$21*(1+Inputs!$B$65)^(A29-2026))*Inputs!$B$76))</f>
        <v>21.5947046274017</v>
      </c>
      <c r="Q29" s="24" t="n">
        <f aca="false">IF(Payor!$B$12*(1+Inputs!$B$64)^(A29-2026)&lt;=Inputs!$B$20,0,(Payor!$B$12*(1+Inputs!$B$64)^(A29-2026)-Inputs!$B$20)/((Inputs!$B$15*(1+Inputs!$B$58)^(A29-2026)-Inputs!$B$21*(1+Inputs!$B$65)^(A29-2026))*Inputs!$B$76))</f>
        <v>26.6658421304266</v>
      </c>
      <c r="R29" s="24" t="n">
        <f aca="false">IF(Payor!$B$13*(1+Inputs!$B$64)^(A29-2026)&lt;=Inputs!$B$20,0,(Payor!$B$13*(1+Inputs!$B$64)^(A29-2026)-Inputs!$B$20)/((Inputs!$B$15*(1+Inputs!$B$58)^(A29-2026)-Inputs!$B$21*(1+Inputs!$B$65)^(A29-2026))*Inputs!$B$76))</f>
        <v>32.6711365419035</v>
      </c>
      <c r="S29" s="24" t="n">
        <f aca="false">IF(Payor!$B$14*(1+Inputs!$B$64)^(A29-2026)&lt;=Inputs!$B$20,0,(Payor!$B$14*(1+Inputs!$B$64)^(A29-2026)-Inputs!$B$20)/((Inputs!$B$15*(1+Inputs!$B$58)^(A29-2026)-Inputs!$B$21*(1+Inputs!$B$65)^(A29-2026))*Inputs!$B$76))</f>
        <v>40.2778427964408</v>
      </c>
      <c r="T29" s="24" t="n">
        <f aca="false">IF(Payor!$B$15*(1+Inputs!$B$64)^(A29-2026)&lt;=Inputs!$B$20,0,(Payor!$B$15*(1+Inputs!$B$64)^(A29-2026)-Inputs!$B$20)/((Inputs!$B$15*(1+Inputs!$B$58)^(A29-2026)-Inputs!$B$21*(1+Inputs!$B$65)^(A29-2026))*Inputs!$B$76))</f>
        <v>52.0215296455511</v>
      </c>
      <c r="U29" s="24" t="n">
        <f aca="false">IF(Payor!$B$16*(1+Inputs!$B$64)^(A29-2026)&lt;=Inputs!$B$20,0,(Payor!$B$16*(1+Inputs!$B$64)^(A29-2026)-Inputs!$B$20)/((Inputs!$B$15*(1+Inputs!$B$58)^(A29-2026)-Inputs!$B$21*(1+Inputs!$B$65)^(A29-2026))*Inputs!$B$76))</f>
        <v>81.3807467683269</v>
      </c>
    </row>
    <row r="30" customFormat="false" ht="15" hidden="false" customHeight="false" outlineLevel="0" collapsed="false">
      <c r="A30" s="0" t="n">
        <v>2051</v>
      </c>
      <c r="B30" s="25" t="n">
        <f aca="false">Residents!$B$189*Inputs!$B$75*(J30*Inputs!$B$15*(1+Inputs!$B$58)^(A30-2026)+(1-J30)*(Inputs!$B$16*(1+Inputs!$B$59)^(A30-2026)+Inputs!$B$18*Inputs!$B$17*(1+Inputs!$B$60)^(A30-2026)))</f>
        <v>12385747.1288386</v>
      </c>
      <c r="C30" s="25" t="n">
        <f aca="false">Result!$B$20*(1+Inputs!$B$61)^(A30-2026)</f>
        <v>7700245.64470236</v>
      </c>
      <c r="D30" s="25" t="n">
        <f aca="false">(Result!$B$24+Result!$B$25+Result!$B$26)*(1+Inputs!$B$62)^(A30-2026)</f>
        <v>1364075.38339043</v>
      </c>
      <c r="E30" s="25" t="n">
        <f aca="false">B30-C30-D30</f>
        <v>3321426.10074579</v>
      </c>
      <c r="F30" s="23" t="n">
        <f aca="false">E30/B30</f>
        <v>0.268165179394975</v>
      </c>
      <c r="G30" s="25" t="n">
        <f aca="false">Result!$B$33*(1+Inputs!$B$63)^(A30-2026)</f>
        <v>1693960.28093377</v>
      </c>
      <c r="H30" s="16" t="n">
        <f aca="false">E30/G30</f>
        <v>1.96074615097523</v>
      </c>
      <c r="I30" s="25" t="n">
        <f aca="false">E30-Inputs!$B$51*B30-G30</f>
        <v>1008178.4633701</v>
      </c>
      <c r="J30" s="23" t="n">
        <f aca="false">K30*Inputs!$B$19</f>
        <v>0.336331706012596</v>
      </c>
      <c r="K30" s="23" t="n">
        <f aca="false">(IF(L30&lt;=0,0,INDEX(Residents!$J$5:$J$185,MIN(181,ROUNDUP(L30,0))))+IF(M30&lt;=0,0,INDEX(Residents!$J$5:$J$185,MIN(181,ROUNDUP(M30,0))))+IF(N30&lt;=0,0,INDEX(Residents!$J$5:$J$185,MIN(181,ROUNDUP(N30,0))))+IF(O30&lt;=0,0,INDEX(Residents!$J$5:$J$185,MIN(181,ROUNDUP(O30,0))))+IF(P30&lt;=0,0,INDEX(Residents!$J$5:$J$185,MIN(181,ROUNDUP(P30,0))))+IF(Q30&lt;=0,0,INDEX(Residents!$J$5:$J$185,MIN(181,ROUNDUP(Q30,0))))+IF(R30&lt;=0,0,INDEX(Residents!$J$5:$J$185,MIN(181,ROUNDUP(R30,0))))+IF(S30&lt;=0,0,INDEX(Residents!$J$5:$J$185,MIN(181,ROUNDUP(S30,0))))+IF(T30&lt;=0,0,INDEX(Residents!$J$5:$J$185,MIN(181,ROUNDUP(T30,0))))+IF(U30&lt;=0,0,INDEX(Residents!$J$5:$J$185,MIN(181,ROUNDUP(U30,0)))))/10/Residents!$J$185</f>
        <v>0.611512192750175</v>
      </c>
      <c r="L30" s="24" t="n">
        <f aca="false">IF(Payor!$B$7*(1+Inputs!$B$64)^(A30-2026)&lt;=Inputs!$B$20,0,(Payor!$B$7*(1+Inputs!$B$64)^(A30-2026)-Inputs!$B$20)/((Inputs!$B$15*(1+Inputs!$B$58)^(A30-2026)-Inputs!$B$21*(1+Inputs!$B$65)^(A30-2026))*Inputs!$B$76))</f>
        <v>5.03260319601582</v>
      </c>
      <c r="M30" s="24" t="n">
        <f aca="false">IF(Payor!$B$8*(1+Inputs!$B$64)^(A30-2026)&lt;=Inputs!$B$20,0,(Payor!$B$8*(1+Inputs!$B$64)^(A30-2026)-Inputs!$B$20)/((Inputs!$B$15*(1+Inputs!$B$58)^(A30-2026)-Inputs!$B$21*(1+Inputs!$B$65)^(A30-2026))*Inputs!$B$76))</f>
        <v>8.72511165955436</v>
      </c>
      <c r="N30" s="24" t="n">
        <f aca="false">IF(Payor!$B$9*(1+Inputs!$B$64)^(A30-2026)&lt;=Inputs!$B$20,0,(Payor!$B$9*(1+Inputs!$B$64)^(A30-2026)-Inputs!$B$20)/((Inputs!$B$15*(1+Inputs!$B$58)^(A30-2026)-Inputs!$B$21*(1+Inputs!$B$65)^(A30-2026))*Inputs!$B$76))</f>
        <v>12.5494954253621</v>
      </c>
      <c r="O30" s="24" t="n">
        <f aca="false">IF(Payor!$B$10*(1+Inputs!$B$64)^(A30-2026)&lt;=Inputs!$B$20,0,(Payor!$B$10*(1+Inputs!$B$64)^(A30-2026)-Inputs!$B$20)/((Inputs!$B$15*(1+Inputs!$B$58)^(A30-2026)-Inputs!$B$21*(1+Inputs!$B$65)^(A30-2026))*Inputs!$B$76))</f>
        <v>16.9013804002468</v>
      </c>
      <c r="P30" s="24" t="n">
        <f aca="false">IF(Payor!$B$11*(1+Inputs!$B$64)^(A30-2026)&lt;=Inputs!$B$20,0,(Payor!$B$11*(1+Inputs!$B$64)^(A30-2026)-Inputs!$B$20)/((Inputs!$B$15*(1+Inputs!$B$58)^(A30-2026)-Inputs!$B$21*(1+Inputs!$B$65)^(A30-2026))*Inputs!$B$76))</f>
        <v>21.3851406774008</v>
      </c>
      <c r="Q30" s="24" t="n">
        <f aca="false">IF(Payor!$B$12*(1+Inputs!$B$64)^(A30-2026)&lt;=Inputs!$B$20,0,(Payor!$B$12*(1+Inputs!$B$64)^(A30-2026)-Inputs!$B$20)/((Inputs!$B$15*(1+Inputs!$B$58)^(A30-2026)-Inputs!$B$21*(1+Inputs!$B$65)^(A30-2026))*Inputs!$B$76))</f>
        <v>26.3964021636316</v>
      </c>
      <c r="R30" s="24" t="n">
        <f aca="false">IF(Payor!$B$13*(1+Inputs!$B$64)^(A30-2026)&lt;=Inputs!$B$20,0,(Payor!$B$13*(1+Inputs!$B$64)^(A30-2026)-Inputs!$B$20)/((Inputs!$B$15*(1+Inputs!$B$58)^(A30-2026)-Inputs!$B$21*(1+Inputs!$B$65)^(A30-2026))*Inputs!$B$76))</f>
        <v>32.3307907657471</v>
      </c>
      <c r="S30" s="24" t="n">
        <f aca="false">IF(Payor!$B$14*(1+Inputs!$B$64)^(A30-2026)&lt;=Inputs!$B$20,0,(Payor!$B$14*(1+Inputs!$B$64)^(A30-2026)-Inputs!$B$20)/((Inputs!$B$15*(1+Inputs!$B$58)^(A30-2026)-Inputs!$B$21*(1+Inputs!$B$65)^(A30-2026))*Inputs!$B$76))</f>
        <v>39.8476829950934</v>
      </c>
      <c r="T30" s="24" t="n">
        <f aca="false">IF(Payor!$B$15*(1+Inputs!$B$64)^(A30-2026)&lt;=Inputs!$B$20,0,(Payor!$B$15*(1+Inputs!$B$64)^(A30-2026)-Inputs!$B$20)/((Inputs!$B$15*(1+Inputs!$B$58)^(A30-2026)-Inputs!$B$21*(1+Inputs!$B$65)^(A30-2026))*Inputs!$B$76))</f>
        <v>51.452709594786</v>
      </c>
      <c r="U30" s="24" t="n">
        <f aca="false">IF(Payor!$B$16*(1+Inputs!$B$64)^(A30-2026)&lt;=Inputs!$B$20,0,(Payor!$B$16*(1+Inputs!$B$64)^(A30-2026)-Inputs!$B$20)/((Inputs!$B$15*(1+Inputs!$B$58)^(A30-2026)-Inputs!$B$21*(1+Inputs!$B$65)^(A30-2026))*Inputs!$B$76))</f>
        <v>80.4652760940173</v>
      </c>
    </row>
    <row r="32" customFormat="false" ht="15" hidden="false" customHeight="false" outlineLevel="0" collapsed="false">
      <c r="A32" s="3" t="s">
        <v>215</v>
      </c>
    </row>
    <row r="33" customFormat="false" ht="15" hidden="false" customHeight="false" outlineLevel="0" collapsed="false">
      <c r="A33" s="0" t="s">
        <v>216</v>
      </c>
      <c r="B33" s="16" t="n">
        <f aca="false">H5</f>
        <v>1.8</v>
      </c>
    </row>
    <row r="34" customFormat="false" ht="15" hidden="false" customHeight="false" outlineLevel="0" collapsed="false">
      <c r="A34" s="0" t="s">
        <v>217</v>
      </c>
      <c r="B34" s="16" t="n">
        <f aca="false">H30</f>
        <v>1.96074615097523</v>
      </c>
    </row>
    <row r="35" customFormat="false" ht="15" hidden="false" customHeight="false" outlineLevel="0" collapsed="false">
      <c r="A35" s="0" t="s">
        <v>218</v>
      </c>
      <c r="B35" s="23" t="n">
        <f aca="false">F5</f>
        <v>0.309891081030889</v>
      </c>
    </row>
    <row r="36" customFormat="false" ht="15" hidden="false" customHeight="false" outlineLevel="0" collapsed="false">
      <c r="A36" s="0" t="s">
        <v>219</v>
      </c>
      <c r="B36" s="23" t="n">
        <f aca="false">F30</f>
        <v>0.268165179394975</v>
      </c>
    </row>
    <row r="37" customFormat="false" ht="15" hidden="false" customHeight="false" outlineLevel="0" collapsed="false">
      <c r="A37" s="0" t="s">
        <v>220</v>
      </c>
      <c r="B37" s="24" t="n">
        <f aca="false">(F5-F30)*100</f>
        <v>4.17259016359139</v>
      </c>
    </row>
    <row r="38" customFormat="false" ht="15" hidden="false" customHeight="false" outlineLevel="0" collapsed="false">
      <c r="A38" s="0" t="s">
        <v>221</v>
      </c>
      <c r="B38" s="23" t="n">
        <f aca="false">J5</f>
        <v>0.364308569105298</v>
      </c>
    </row>
    <row r="39" customFormat="false" ht="15" hidden="false" customHeight="false" outlineLevel="0" collapsed="false">
      <c r="A39" s="0" t="s">
        <v>222</v>
      </c>
      <c r="B39" s="23" t="n">
        <f aca="false">J30</f>
        <v>0.336331706012596</v>
      </c>
    </row>
    <row r="41" customFormat="false" ht="15" hidden="false" customHeight="false" outlineLevel="0" collapsed="false">
      <c r="A41" s="2" t="s">
        <v>223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3" min="2" style="0" width="16"/>
    <col collapsed="false" customWidth="true" hidden="false" outlineLevel="0" max="4" min="4" style="0" width="12"/>
    <col collapsed="false" customWidth="true" hidden="false" outlineLevel="0" max="5" min="5" style="0" width="14"/>
    <col collapsed="false" customWidth="true" hidden="false" outlineLevel="0" max="6" min="6" style="0" width="16"/>
  </cols>
  <sheetData>
    <row r="1" customFormat="false" ht="16.15" hidden="false" customHeight="false" outlineLevel="0" collapsed="false">
      <c r="A1" s="6" t="s">
        <v>224</v>
      </c>
    </row>
    <row r="2" customFormat="false" ht="15" hidden="false" customHeight="false" outlineLevel="0" collapsed="false">
      <c r="A2" s="2" t="s">
        <v>225</v>
      </c>
    </row>
    <row r="4" customFormat="false" ht="15" hidden="false" customHeight="false" outlineLevel="0" collapsed="false">
      <c r="A4" s="3" t="s">
        <v>226</v>
      </c>
    </row>
    <row r="5" customFormat="false" ht="15" hidden="false" customHeight="false" outlineLevel="0" collapsed="false">
      <c r="A5" s="18" t="s">
        <v>227</v>
      </c>
      <c r="B5" s="28" t="n">
        <f aca="false">Result!$B$6*Inputs!$B$75</f>
        <v>78707.2350856895</v>
      </c>
    </row>
    <row r="6" customFormat="false" ht="15" hidden="false" customHeight="false" outlineLevel="0" collapsed="false">
      <c r="A6" s="18" t="s">
        <v>172</v>
      </c>
      <c r="B6" s="28" t="n">
        <f aca="false">Result!$B$13/Residents!$B$189</f>
        <v>27978.8040216307</v>
      </c>
    </row>
    <row r="7" customFormat="false" ht="15" hidden="false" customHeight="false" outlineLevel="0" collapsed="false">
      <c r="A7" s="18" t="s">
        <v>228</v>
      </c>
      <c r="B7" s="29" t="n">
        <f aca="false">Result!$B$12*(1-Inputs!$B$39)*Inputs!$B$31/Residents!$B$189</f>
        <v>1.37754402268775</v>
      </c>
    </row>
    <row r="8" customFormat="false" ht="15" hidden="false" customHeight="false" outlineLevel="0" collapsed="false">
      <c r="A8" s="18" t="s">
        <v>178</v>
      </c>
      <c r="B8" s="28" t="n">
        <f aca="false">Inputs!$B$32*(B6-Inputs!$B$33*B7)+IF(Result!$B$15/Result!$B$16&gt;=Inputs!$B$37,(1-Inputs!$B$38)*Inputs!$B$35*(B6-Inputs!$B$36*B7),0)</f>
        <v>3687.00167787039</v>
      </c>
    </row>
    <row r="9" customFormat="false" ht="15" hidden="false" customHeight="false" outlineLevel="0" collapsed="false">
      <c r="A9" s="18" t="s">
        <v>180</v>
      </c>
      <c r="B9" s="28" t="n">
        <f aca="false">Result!$B$18/Residents!$B$189</f>
        <v>1221.27110732812</v>
      </c>
    </row>
    <row r="10" customFormat="false" ht="15" hidden="false" customHeight="false" outlineLevel="0" collapsed="false">
      <c r="A10" s="18" t="s">
        <v>182</v>
      </c>
      <c r="B10" s="28" t="n">
        <f aca="false">Inputs!$B$41*B6</f>
        <v>727.448904562398</v>
      </c>
    </row>
    <row r="11" customFormat="false" ht="15" hidden="false" customHeight="false" outlineLevel="0" collapsed="false">
      <c r="A11" s="18" t="s">
        <v>229</v>
      </c>
      <c r="B11" s="30" t="n">
        <f aca="false">B5-B6-B8-B9-B10</f>
        <v>45092.7093742979</v>
      </c>
      <c r="C11" s="2" t="s">
        <v>230</v>
      </c>
    </row>
    <row r="12" customFormat="false" ht="15" hidden="false" customHeight="false" outlineLevel="0" collapsed="false">
      <c r="A12" s="18" t="s">
        <v>191</v>
      </c>
      <c r="B12" s="28" t="n">
        <f aca="false">Inputs!$B$51*B5</f>
        <v>3935.36175428447</v>
      </c>
    </row>
    <row r="13" customFormat="false" ht="15" hidden="false" customHeight="false" outlineLevel="0" collapsed="false">
      <c r="A13" s="18" t="s">
        <v>231</v>
      </c>
      <c r="B13" s="30" t="n">
        <f aca="false">B11-B12</f>
        <v>41157.3476200134</v>
      </c>
    </row>
    <row r="15" customFormat="false" ht="15" hidden="false" customHeight="false" outlineLevel="0" collapsed="false">
      <c r="A15" s="3" t="s">
        <v>232</v>
      </c>
    </row>
    <row r="16" customFormat="false" ht="15" hidden="false" customHeight="false" outlineLevel="0" collapsed="false">
      <c r="A16" s="18" t="s">
        <v>233</v>
      </c>
      <c r="B16" s="31" t="n">
        <f aca="false">Inputs!$B$7/100</f>
        <v>0.7</v>
      </c>
    </row>
    <row r="17" customFormat="false" ht="15" hidden="false" customHeight="false" outlineLevel="0" collapsed="false">
      <c r="A17" s="18" t="s">
        <v>164</v>
      </c>
      <c r="B17" s="28" t="n">
        <f aca="false">B5*B16</f>
        <v>55095.0645599826</v>
      </c>
    </row>
    <row r="18" customFormat="false" ht="15" hidden="false" customHeight="false" outlineLevel="0" collapsed="false">
      <c r="A18" s="18" t="s">
        <v>188</v>
      </c>
      <c r="B18" s="28" t="n">
        <f aca="false">B11*B16</f>
        <v>31564.8965620085</v>
      </c>
    </row>
    <row r="19" customFormat="false" ht="15" hidden="false" customHeight="false" outlineLevel="0" collapsed="false">
      <c r="A19" s="18" t="s">
        <v>234</v>
      </c>
      <c r="B19" s="32" t="n">
        <f aca="false">B18*Residents!$B$190*100/Result!$B$29</f>
        <v>1.84876877379904</v>
      </c>
    </row>
    <row r="21" customFormat="false" ht="28.35" hidden="false" customHeight="false" outlineLevel="0" collapsed="false">
      <c r="A21" s="3" t="s">
        <v>235</v>
      </c>
      <c r="B21" s="33" t="s">
        <v>145</v>
      </c>
      <c r="C21" s="33" t="s">
        <v>236</v>
      </c>
    </row>
    <row r="22" customFormat="false" ht="15" hidden="false" customHeight="false" outlineLevel="0" collapsed="false">
      <c r="A22" s="18" t="s">
        <v>237</v>
      </c>
      <c r="B22" s="34" t="n">
        <f aca="false">Residents!$B$190</f>
        <v>0.895418552265387</v>
      </c>
    </row>
    <row r="23" customFormat="false" ht="15" hidden="false" customHeight="false" outlineLevel="0" collapsed="false">
      <c r="A23" s="18" t="s">
        <v>238</v>
      </c>
      <c r="B23" s="34" t="n">
        <f aca="false">(Residents!$B$189+(Result!$B$33-Result!$B$32)/B13)/Inputs!$B$7</f>
        <v>0.745194880403687</v>
      </c>
      <c r="C23" s="35" t="n">
        <f aca="false">(B22-B23)*100</f>
        <v>15.02236718617</v>
      </c>
      <c r="D23" s="2" t="s">
        <v>239</v>
      </c>
    </row>
    <row r="24" customFormat="false" ht="15" hidden="false" customHeight="false" outlineLevel="0" collapsed="false">
      <c r="A24" s="18" t="s">
        <v>240</v>
      </c>
      <c r="B24" s="34" t="n">
        <f aca="false">(Residents!$B$189+(Inputs!$B$81*Result!$B$33-Result!$B$29)/B11)/Inputs!$B$7</f>
        <v>0.814696491457914</v>
      </c>
      <c r="C24" s="35" t="n">
        <f aca="false">(B22-B24)*100</f>
        <v>8.07220608074734</v>
      </c>
      <c r="D24" s="2" t="s">
        <v>241</v>
      </c>
    </row>
    <row r="25" customFormat="false" ht="15" hidden="false" customHeight="false" outlineLevel="0" collapsed="false">
      <c r="A25" s="18" t="s">
        <v>242</v>
      </c>
      <c r="B25" s="34" t="n">
        <f aca="false">(Residents!$B$189+(Inputs!$B$83*B32*Inputs!$B$84-Result!$B$32)/B13)/Inputs!$B$7</f>
        <v>0.891675933579215</v>
      </c>
      <c r="C25" s="35" t="n">
        <f aca="false">(B22-B25)*100</f>
        <v>0.374261868617143</v>
      </c>
      <c r="D25" s="2" t="s">
        <v>243</v>
      </c>
    </row>
    <row r="26" customFormat="false" ht="15" hidden="false" customHeight="false" outlineLevel="0" collapsed="false">
      <c r="A26" s="18" t="s">
        <v>244</v>
      </c>
      <c r="B26" s="28" t="n">
        <f aca="false">Result!$B$29+(B24*Inputs!$B$7-Residents!$B$189)*B11</f>
        <v>1273991.74983003</v>
      </c>
    </row>
    <row r="27" customFormat="false" ht="15" hidden="false" customHeight="false" outlineLevel="0" collapsed="false">
      <c r="A27" s="18" t="s">
        <v>245</v>
      </c>
      <c r="B27" s="28" t="n">
        <f aca="false">Result!$B$29+(B25*Inputs!$B$7-Residents!$B$189)*B11</f>
        <v>1516976.56262603</v>
      </c>
    </row>
    <row r="29" customFormat="false" ht="15" hidden="false" customHeight="false" outlineLevel="0" collapsed="false">
      <c r="A29" s="3" t="s">
        <v>246</v>
      </c>
    </row>
    <row r="30" customFormat="false" ht="15" hidden="false" customHeight="false" outlineLevel="0" collapsed="false">
      <c r="A30" s="18" t="s">
        <v>247</v>
      </c>
      <c r="B30" s="28" t="n">
        <f aca="false">Inputs!$B$82*Result!$B$39</f>
        <v>10090014.6586538</v>
      </c>
    </row>
    <row r="31" customFormat="false" ht="15" hidden="false" customHeight="false" outlineLevel="0" collapsed="false">
      <c r="A31" s="18" t="s">
        <v>248</v>
      </c>
      <c r="B31" s="28" t="n">
        <f aca="false">Result!$B$32/(Inputs!$B$83*Inputs!$B$84)</f>
        <v>10175590.357696</v>
      </c>
    </row>
    <row r="32" customFormat="false" ht="15" hidden="false" customHeight="false" outlineLevel="0" collapsed="false">
      <c r="A32" s="18" t="s">
        <v>249</v>
      </c>
      <c r="B32" s="30" t="n">
        <f aca="false">MIN(B30,B31)</f>
        <v>10090014.6586538</v>
      </c>
    </row>
    <row r="33" customFormat="false" ht="15" hidden="false" customHeight="false" outlineLevel="0" collapsed="false">
      <c r="A33" s="18" t="s">
        <v>250</v>
      </c>
      <c r="B33" s="18" t="str">
        <f aca="false">IF(B30&lt;B31,"loan to value","interest cover")</f>
        <v>loan to value</v>
      </c>
    </row>
    <row r="34" customFormat="false" ht="15" hidden="false" customHeight="false" outlineLevel="0" collapsed="false">
      <c r="A34" s="18" t="s">
        <v>251</v>
      </c>
      <c r="B34" s="28" t="n">
        <f aca="false">B32*(Inputs!$B$84+Inputs!$B$85)</f>
        <v>928281.348596153</v>
      </c>
    </row>
    <row r="35" customFormat="false" ht="15" hidden="false" customHeight="false" outlineLevel="0" collapsed="false">
      <c r="A35" s="18" t="s">
        <v>252</v>
      </c>
      <c r="B35" s="36" t="n">
        <f aca="false">Result!$B$32/B34</f>
        <v>1.3811808101161</v>
      </c>
    </row>
    <row r="36" customFormat="false" ht="15" hidden="false" customHeight="false" outlineLevel="0" collapsed="false">
      <c r="A36" s="18" t="s">
        <v>253</v>
      </c>
      <c r="B36" s="36" t="n">
        <f aca="false">Result!$B$32/(B32*Inputs!$B$84)</f>
        <v>1.76484214625946</v>
      </c>
    </row>
    <row r="37" customFormat="false" ht="15" hidden="false" customHeight="false" outlineLevel="0" collapsed="false">
      <c r="A37" s="18" t="s">
        <v>254</v>
      </c>
      <c r="B37" s="28" t="n">
        <f aca="false">MAX(0,Result!$B$34)/(Inputs!$B$83*Inputs!$B$84)</f>
        <v>3434893.26864824</v>
      </c>
    </row>
    <row r="38" customFormat="false" ht="15" hidden="false" customHeight="false" outlineLevel="0" collapsed="false">
      <c r="A38" s="18" t="s">
        <v>255</v>
      </c>
      <c r="B38" s="37" t="n">
        <f aca="false">B37/B31</f>
        <v>0.337562062534323</v>
      </c>
    </row>
    <row r="40" customFormat="false" ht="15" hidden="false" customHeight="false" outlineLevel="0" collapsed="false">
      <c r="A40" s="3" t="s">
        <v>256</v>
      </c>
    </row>
    <row r="41" customFormat="false" ht="15" hidden="false" customHeight="false" outlineLevel="0" collapsed="false">
      <c r="A41" s="33" t="s">
        <v>145</v>
      </c>
      <c r="B41" s="33" t="s">
        <v>164</v>
      </c>
      <c r="C41" s="33" t="s">
        <v>188</v>
      </c>
      <c r="D41" s="33" t="s">
        <v>212</v>
      </c>
      <c r="E41" s="33" t="s">
        <v>213</v>
      </c>
      <c r="F41" s="33" t="s">
        <v>214</v>
      </c>
    </row>
    <row r="42" customFormat="false" ht="15" hidden="false" customHeight="false" outlineLevel="0" collapsed="false">
      <c r="A42" s="37" t="n">
        <v>0.65</v>
      </c>
      <c r="B42" s="28" t="n">
        <f aca="false">A42*Inputs!$B$7*Result!$B$6*Inputs!$B$75</f>
        <v>3581179.19639887</v>
      </c>
      <c r="C42" s="28" t="n">
        <f aca="false">Result!$B$29+(A42*Inputs!$B$7-Residents!$B$189)*$B$11</f>
        <v>754128.978130555</v>
      </c>
      <c r="D42" s="37" t="n">
        <f aca="false">C42/B42</f>
        <v>0.210581190376869</v>
      </c>
      <c r="E42" s="32" t="n">
        <f aca="false">C42/Result!$B$33</f>
        <v>0.887912710067981</v>
      </c>
      <c r="F42" s="28" t="n">
        <f aca="false">C42-Inputs!$B$51*B42-Result!$B$33</f>
        <v>-274257.814909409</v>
      </c>
    </row>
    <row r="43" customFormat="false" ht="15" hidden="false" customHeight="false" outlineLevel="0" collapsed="false">
      <c r="A43" s="37" t="n">
        <v>0.7</v>
      </c>
      <c r="B43" s="28" t="n">
        <f aca="false">A43*Inputs!$B$7*Result!$B$6*Inputs!$B$75</f>
        <v>3856654.51919878</v>
      </c>
      <c r="C43" s="28" t="n">
        <f aca="false">Result!$B$29+(A43*Inputs!$B$7-Residents!$B$189)*$B$11</f>
        <v>911953.460940597</v>
      </c>
      <c r="D43" s="37" t="n">
        <f aca="false">C43/B43</f>
        <v>0.236462316342003</v>
      </c>
      <c r="E43" s="32" t="n">
        <f aca="false">C43/Result!$B$33</f>
        <v>1.07373551798385</v>
      </c>
      <c r="F43" s="28" t="n">
        <f aca="false">C43-Inputs!$B$51*B43-Result!$B$33</f>
        <v>-130207.098239362</v>
      </c>
    </row>
    <row r="44" customFormat="false" ht="15" hidden="false" customHeight="false" outlineLevel="0" collapsed="false">
      <c r="A44" s="37" t="n">
        <v>0.75</v>
      </c>
      <c r="B44" s="28" t="n">
        <f aca="false">A44*Inputs!$B$7*Result!$B$6*Inputs!$B$75</f>
        <v>4132129.8419987</v>
      </c>
      <c r="C44" s="28" t="n">
        <f aca="false">Result!$B$29+(A44*Inputs!$B$7-Residents!$B$189)*$B$11</f>
        <v>1069777.94375064</v>
      </c>
      <c r="D44" s="37" t="n">
        <f aca="false">C44/B44</f>
        <v>0.258892625511785</v>
      </c>
      <c r="E44" s="32" t="n">
        <f aca="false">C44/Result!$B$33</f>
        <v>1.25955832589971</v>
      </c>
      <c r="F44" s="28" t="n">
        <f aca="false">C44-Inputs!$B$51*B44-Result!$B$33</f>
        <v>13843.6184306848</v>
      </c>
    </row>
    <row r="45" customFormat="false" ht="15" hidden="false" customHeight="false" outlineLevel="0" collapsed="false">
      <c r="A45" s="37" t="n">
        <v>0.8</v>
      </c>
      <c r="B45" s="28" t="n">
        <f aca="false">A45*Inputs!$B$7*Result!$B$6*Inputs!$B$75</f>
        <v>4407605.16479861</v>
      </c>
      <c r="C45" s="28" t="n">
        <f aca="false">Result!$B$29+(A45*Inputs!$B$7-Residents!$B$189)*$B$11</f>
        <v>1227602.42656068</v>
      </c>
      <c r="D45" s="37" t="n">
        <f aca="false">C45/B45</f>
        <v>0.278519146035344</v>
      </c>
      <c r="E45" s="32" t="n">
        <f aca="false">C45/Result!$B$33</f>
        <v>1.44538113381558</v>
      </c>
      <c r="F45" s="28" t="n">
        <f aca="false">C45-Inputs!$B$51*B45-Result!$B$33</f>
        <v>157894.335100732</v>
      </c>
    </row>
    <row r="46" customFormat="false" ht="15" hidden="false" customHeight="false" outlineLevel="0" collapsed="false">
      <c r="A46" s="37" t="n">
        <v>0.85</v>
      </c>
      <c r="B46" s="28" t="n">
        <f aca="false">A46*Inputs!$B$7*Result!$B$6*Inputs!$B$75</f>
        <v>4683080.48759852</v>
      </c>
      <c r="C46" s="28" t="n">
        <f aca="false">Result!$B$29+(A46*Inputs!$B$7-Residents!$B$189)*$B$11</f>
        <v>1385426.90937073</v>
      </c>
      <c r="D46" s="37" t="n">
        <f aca="false">C46/B46</f>
        <v>0.295836664144367</v>
      </c>
      <c r="E46" s="32" t="n">
        <f aca="false">C46/Result!$B$33</f>
        <v>1.63120394173145</v>
      </c>
      <c r="F46" s="28" t="n">
        <f aca="false">C46-Inputs!$B$51*B46-Result!$B$33</f>
        <v>301945.051770779</v>
      </c>
    </row>
    <row r="47" customFormat="false" ht="15" hidden="false" customHeight="false" outlineLevel="0" collapsed="false">
      <c r="A47" s="37" t="n">
        <f aca="false">Residents!$B$190</f>
        <v>0.895418552265387</v>
      </c>
      <c r="B47" s="28" t="n">
        <f aca="false">A47*Inputs!$B$7*Result!$B$6*Inputs!$B$75</f>
        <v>4933314.29452677</v>
      </c>
      <c r="C47" s="28" t="n">
        <f aca="false">Result!$B$29+(A47*Inputs!$B$7-Residents!$B$189)*$B$11</f>
        <v>1528790.09979604</v>
      </c>
      <c r="D47" s="37" t="n">
        <f aca="false">C47/B47</f>
        <v>0.309891081030889</v>
      </c>
      <c r="E47" s="32" t="n">
        <f aca="false">C47/Result!$B$33</f>
        <v>1.8</v>
      </c>
      <c r="F47" s="28" t="n">
        <f aca="false">C47-Inputs!$B$51*B47-Result!$B$33</f>
        <v>432796.551849678</v>
      </c>
    </row>
    <row r="48" customFormat="false" ht="15" hidden="false" customHeight="false" outlineLevel="0" collapsed="false">
      <c r="A48" s="37" t="n">
        <v>0.95</v>
      </c>
      <c r="B48" s="28" t="n">
        <f aca="false">A48*Inputs!$B$7*Result!$B$6*Inputs!$B$75</f>
        <v>5234031.13319835</v>
      </c>
      <c r="C48" s="28" t="n">
        <f aca="false">Result!$B$29+(A48*Inputs!$B$7-Residents!$B$189)*$B$11</f>
        <v>1701075.87499081</v>
      </c>
      <c r="D48" s="37" t="n">
        <f aca="false">C48/B48</f>
        <v>0.325003010433248</v>
      </c>
      <c r="E48" s="32" t="n">
        <f aca="false">C48/Result!$B$33</f>
        <v>2.00284955756318</v>
      </c>
      <c r="F48" s="28" t="n">
        <f aca="false">C48-Inputs!$B$51*B48-Result!$B$33</f>
        <v>590046.485110873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1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2" min="2" style="0" width="10"/>
    <col collapsed="false" customWidth="true" hidden="false" outlineLevel="0" max="8" min="3" style="0" width="11"/>
    <col collapsed="false" customWidth="true" hidden="false" outlineLevel="0" max="11" min="9" style="0" width="14"/>
    <col collapsed="false" customWidth="true" hidden="false" outlineLevel="0" max="12" min="12" style="0" width="8"/>
    <col collapsed="false" customWidth="true" hidden="false" outlineLevel="0" max="13" min="13" style="0" width="2"/>
    <col collapsed="false" customWidth="true" hidden="false" outlineLevel="0" max="14" min="14" style="0" width="56"/>
    <col collapsed="false" customWidth="true" hidden="false" outlineLevel="0" max="15" min="15" style="0" width="16"/>
  </cols>
  <sheetData>
    <row r="1" customFormat="false" ht="16.15" hidden="false" customHeight="false" outlineLevel="0" collapsed="false">
      <c r="A1" s="6" t="s">
        <v>98</v>
      </c>
    </row>
    <row r="2" customFormat="false" ht="15" hidden="false" customHeight="false" outlineLevel="0" collapsed="false">
      <c r="A2" s="2" t="s">
        <v>257</v>
      </c>
    </row>
    <row r="4" customFormat="false" ht="15" hidden="false" customHeight="false" outlineLevel="0" collapsed="false">
      <c r="A4" s="18" t="s">
        <v>258</v>
      </c>
      <c r="I4" s="31" t="n">
        <f aca="false">1+(1-Inputs!$B$10)+(1-Inputs!$B$10)*(1-Inputs!$B$11)+(1-Inputs!$B$10)*(1-Inputs!$B$11)^2/Inputs!$B$12</f>
        <v>22.479503125</v>
      </c>
      <c r="N4" s="3" t="s">
        <v>259</v>
      </c>
    </row>
    <row r="5" customFormat="false" ht="15" hidden="false" customHeight="false" outlineLevel="0" collapsed="false">
      <c r="A5" s="18" t="s">
        <v>260</v>
      </c>
      <c r="I5" s="31" t="n">
        <f aca="false">MIN(Inputs!$B$7,Inputs!$B$8*I4)</f>
        <v>62.71781371875</v>
      </c>
      <c r="N5" s="5" t="s">
        <v>261</v>
      </c>
      <c r="O5" s="34" t="n">
        <f aca="false">MIN(H11:H131)</f>
        <v>0.6967336061952</v>
      </c>
    </row>
    <row r="6" customFormat="false" ht="15" hidden="false" customHeight="false" outlineLevel="0" collapsed="false">
      <c r="A6" s="18" t="s">
        <v>262</v>
      </c>
      <c r="I6" s="38" t="n">
        <f aca="false">MIN(1,(I5-Inputs!$B$8)/Inputs!$B$7)</f>
        <v>0.856111624553572</v>
      </c>
      <c r="N6" s="5" t="s">
        <v>263</v>
      </c>
      <c r="O6" s="39" t="n">
        <f aca="false">MATCH(O5,H11:H131,0)-1</f>
        <v>6</v>
      </c>
    </row>
    <row r="7" customFormat="false" ht="15" hidden="false" customHeight="false" outlineLevel="0" collapsed="false">
      <c r="A7" s="18" t="s">
        <v>264</v>
      </c>
      <c r="I7" s="28" t="n">
        <f aca="false">Result!$B$29+(I5-Residents!$B$189)*Occupancy!$B$11</f>
        <v>1530526.84821095</v>
      </c>
      <c r="N7" s="5" t="s">
        <v>265</v>
      </c>
      <c r="O7" s="39" t="n">
        <f aca="false">O6-Inputs!$B$68</f>
        <v>0</v>
      </c>
    </row>
    <row r="8" customFormat="false" ht="15" hidden="false" customHeight="false" outlineLevel="0" collapsed="false">
      <c r="A8" s="2" t="s">
        <v>266</v>
      </c>
      <c r="N8" s="5" t="s">
        <v>267</v>
      </c>
      <c r="O8" s="35" t="n">
        <f aca="false">(MIN(L11:L131)-Inputs!$B$68)/12</f>
        <v>4</v>
      </c>
    </row>
    <row r="9" customFormat="false" ht="15" hidden="false" customHeight="false" outlineLevel="0" collapsed="false">
      <c r="N9" s="5" t="s">
        <v>268</v>
      </c>
      <c r="O9" s="28" t="n">
        <f aca="false">SUM(J11:J131)</f>
        <v>1161336.13907165</v>
      </c>
    </row>
    <row r="10" customFormat="false" ht="41.75" hidden="false" customHeight="false" outlineLevel="0" collapsed="false">
      <c r="A10" s="33" t="s">
        <v>133</v>
      </c>
      <c r="B10" s="33" t="s">
        <v>269</v>
      </c>
      <c r="C10" s="33" t="s">
        <v>270</v>
      </c>
      <c r="D10" s="33" t="s">
        <v>271</v>
      </c>
      <c r="E10" s="33" t="s">
        <v>272</v>
      </c>
      <c r="F10" s="33" t="s">
        <v>273</v>
      </c>
      <c r="G10" s="33" t="s">
        <v>274</v>
      </c>
      <c r="H10" s="33" t="s">
        <v>145</v>
      </c>
      <c r="I10" s="33" t="s">
        <v>275</v>
      </c>
      <c r="J10" s="33" t="s">
        <v>276</v>
      </c>
      <c r="K10" s="33" t="s">
        <v>277</v>
      </c>
      <c r="L10" s="33" t="s">
        <v>278</v>
      </c>
      <c r="N10" s="5" t="s">
        <v>279</v>
      </c>
      <c r="O10" s="28" t="n">
        <f aca="false">Inputs!$B$71</f>
        <v>185000</v>
      </c>
    </row>
    <row r="11" customFormat="false" ht="15" hidden="false" customHeight="false" outlineLevel="0" collapsed="false">
      <c r="A11" s="39" t="n">
        <v>0</v>
      </c>
      <c r="B11" s="18" t="str">
        <f aca="false">IF(A11&gt;=Inputs!$B$68,"yes","no")</f>
        <v>no</v>
      </c>
      <c r="C11" s="31" t="n">
        <f aca="false">Inputs!$B$8</f>
        <v>2.79</v>
      </c>
      <c r="D11" s="31" t="n">
        <f aca="false">Inputs!$B$8*(1-Inputs!$B$10)</f>
        <v>2.46915</v>
      </c>
      <c r="E11" s="31" t="n">
        <f aca="false">Inputs!$B$8*(1-Inputs!$B$10)*(1-Inputs!$B$11)</f>
        <v>2.33334675</v>
      </c>
      <c r="F11" s="31" t="n">
        <f aca="false">Inputs!$B$8*(1-Inputs!$B$10)*(1-Inputs!$B$11)^2/Inputs!$B$12</f>
        <v>55.12531696875</v>
      </c>
      <c r="G11" s="31" t="n">
        <f aca="false">SUM(C11:F11)</f>
        <v>62.71781371875</v>
      </c>
      <c r="H11" s="37" t="n">
        <f aca="false">G11/Inputs!$B$7</f>
        <v>0.895968767410714</v>
      </c>
      <c r="I11" s="28" t="n">
        <f aca="false">Result!$B$29+(G11-Residents!$B$189)*Occupancy!$B$11</f>
        <v>1530526.84821095</v>
      </c>
      <c r="J11" s="28" t="n">
        <f aca="false">($I$7-I11)/12</f>
        <v>0</v>
      </c>
      <c r="K11" s="28" t="n">
        <f aca="false">IF(AND(A11&gt;=$O$6,I11&lt;$I$7*0.995),($I$7-I11)/12,0)</f>
        <v>0</v>
      </c>
      <c r="L11" s="39" t="str">
        <f aca="false">IF(AND(A11&gt;=$O$6,H11&gt;=0.99*$H$11),A11,"")</f>
        <v/>
      </c>
      <c r="N11" s="5" t="s">
        <v>280</v>
      </c>
      <c r="O11" s="30" t="n">
        <f aca="false">O9+O10</f>
        <v>1346336.13907165</v>
      </c>
    </row>
    <row r="12" customFormat="false" ht="15" hidden="false" customHeight="false" outlineLevel="0" collapsed="false">
      <c r="A12" s="39" t="n">
        <v>1</v>
      </c>
      <c r="B12" s="18" t="str">
        <f aca="false">IF(A12&gt;=Inputs!$B$68,"yes","no")</f>
        <v>no</v>
      </c>
      <c r="C12" s="31" t="n">
        <f aca="false">IF(A11&gt;=Inputs!$B$68,MIN((Inputs!$B$8+(Inputs!$B$9-Inputs!$B$8)*MAX(0,($I$6-SUM(D12:F12)/Inputs!$B$7)/$I$6))*IF(AND(Inputs!$B$68&gt;0,A11&lt;Inputs!$B$68+Inputs!$B$70),Inputs!$B$69,1),Inputs!$B$7-SUM(D12:F12)),0)</f>
        <v>0</v>
      </c>
      <c r="D12" s="31" t="n">
        <f aca="false">C11*(1-Inputs!$B$10)</f>
        <v>2.46915</v>
      </c>
      <c r="E12" s="31" t="n">
        <f aca="false">D11*(1-Inputs!$B$11)</f>
        <v>2.33334675</v>
      </c>
      <c r="F12" s="31" t="n">
        <f aca="false">E11*(1-Inputs!$B$11)+F11*(1-Inputs!$B$12)</f>
        <v>55.12531696875</v>
      </c>
      <c r="G12" s="31" t="n">
        <f aca="false">SUM(C12:F12)</f>
        <v>59.92781371875</v>
      </c>
      <c r="H12" s="37" t="n">
        <f aca="false">G12/Inputs!$B$7</f>
        <v>0.856111624553571</v>
      </c>
      <c r="I12" s="28" t="n">
        <f aca="false">Result!$B$29+(G12-Residents!$B$189)*Occupancy!$B$11</f>
        <v>1404718.18905666</v>
      </c>
      <c r="J12" s="28" t="n">
        <f aca="false">($I$7-I12)/12</f>
        <v>10484.0549295243</v>
      </c>
      <c r="K12" s="28" t="n">
        <f aca="false">IF(AND(A12&gt;=$O$6,I12&lt;$I$7*0.995),($I$7-I12)/12,0)</f>
        <v>0</v>
      </c>
      <c r="L12" s="39" t="str">
        <f aca="false">IF(AND(A12&gt;=$O$6,H12&gt;=0.99*$H$11),A12,"")</f>
        <v/>
      </c>
      <c r="N12" s="5" t="s">
        <v>281</v>
      </c>
      <c r="O12" s="32" t="n">
        <f aca="false">O11/Result!$B$29</f>
        <v>0.880654668846475</v>
      </c>
    </row>
    <row r="13" customFormat="false" ht="28.35" hidden="false" customHeight="false" outlineLevel="0" collapsed="false">
      <c r="A13" s="39" t="n">
        <v>2</v>
      </c>
      <c r="B13" s="18" t="str">
        <f aca="false">IF(A13&gt;=Inputs!$B$68,"yes","no")</f>
        <v>no</v>
      </c>
      <c r="C13" s="31" t="n">
        <f aca="false">IF(A12&gt;=Inputs!$B$68,MIN((Inputs!$B$8+(Inputs!$B$9-Inputs!$B$8)*MAX(0,($I$6-SUM(D13:F13)/Inputs!$B$7)/$I$6))*IF(AND(Inputs!$B$68&gt;0,A12&lt;Inputs!$B$68+Inputs!$B$70),Inputs!$B$69,1),Inputs!$B$7-SUM(D13:F13)),0)</f>
        <v>0</v>
      </c>
      <c r="D13" s="31" t="n">
        <f aca="false">C12*(1-Inputs!$B$10)</f>
        <v>0</v>
      </c>
      <c r="E13" s="31" t="n">
        <f aca="false">D12*(1-Inputs!$B$11)</f>
        <v>2.33334675</v>
      </c>
      <c r="F13" s="31" t="n">
        <f aca="false">E12*(1-Inputs!$B$11)+F12*(1-Inputs!$B$12)</f>
        <v>55.12531696875</v>
      </c>
      <c r="G13" s="31" t="n">
        <f aca="false">SUM(C13:F13)</f>
        <v>57.45866371875</v>
      </c>
      <c r="H13" s="37" t="n">
        <f aca="false">G13/Inputs!$B$7</f>
        <v>0.820838053125</v>
      </c>
      <c r="I13" s="28" t="n">
        <f aca="false">Result!$B$29+(G13-Residents!$B$189)*Occupancy!$B$11</f>
        <v>1293377.52570511</v>
      </c>
      <c r="J13" s="28" t="n">
        <f aca="false">($I$7-I13)/12</f>
        <v>19762.4435421533</v>
      </c>
      <c r="K13" s="28" t="n">
        <f aca="false">IF(AND(A13&gt;=$O$6,I13&lt;$I$7*0.995),($I$7-I13)/12,0)</f>
        <v>0</v>
      </c>
      <c r="L13" s="39" t="str">
        <f aca="false">IF(AND(A13&gt;=$O$6,H13&gt;=0.99*$H$11),A13,"")</f>
        <v/>
      </c>
      <c r="N13" s="5" t="s">
        <v>282</v>
      </c>
      <c r="O13" s="28" t="n">
        <f aca="false">SUM(K11:K131)</f>
        <v>1012586.95862779</v>
      </c>
    </row>
    <row r="14" customFormat="false" ht="15" hidden="false" customHeight="false" outlineLevel="0" collapsed="false">
      <c r="A14" s="39" t="n">
        <v>3</v>
      </c>
      <c r="B14" s="18" t="str">
        <f aca="false">IF(A14&gt;=Inputs!$B$68,"yes","no")</f>
        <v>no</v>
      </c>
      <c r="C14" s="31" t="n">
        <f aca="false">IF(A13&gt;=Inputs!$B$68,MIN((Inputs!$B$8+(Inputs!$B$9-Inputs!$B$8)*MAX(0,($I$6-SUM(D14:F14)/Inputs!$B$7)/$I$6))*IF(AND(Inputs!$B$68&gt;0,A13&lt;Inputs!$B$68+Inputs!$B$70),Inputs!$B$69,1),Inputs!$B$7-SUM(D14:F14)),0)</f>
        <v>0</v>
      </c>
      <c r="D14" s="31" t="n">
        <f aca="false">C13*(1-Inputs!$B$10)</f>
        <v>0</v>
      </c>
      <c r="E14" s="31" t="n">
        <f aca="false">D13*(1-Inputs!$B$11)</f>
        <v>0</v>
      </c>
      <c r="F14" s="31" t="n">
        <f aca="false">E13*(1-Inputs!$B$11)+F13*(1-Inputs!$B$12)</f>
        <v>55.12531696875</v>
      </c>
      <c r="G14" s="31" t="n">
        <f aca="false">SUM(C14:F14)</f>
        <v>55.12531696875</v>
      </c>
      <c r="H14" s="37" t="n">
        <f aca="false">G14/Inputs!$B$7</f>
        <v>0.787504528125</v>
      </c>
      <c r="I14" s="28" t="n">
        <f aca="false">Result!$B$29+(G14-Residents!$B$189)*Occupancy!$B$11</f>
        <v>1188160.5988379</v>
      </c>
      <c r="J14" s="28" t="n">
        <f aca="false">($I$7-I14)/12</f>
        <v>28530.5207810876</v>
      </c>
      <c r="K14" s="28" t="n">
        <f aca="false">IF(AND(A14&gt;=$O$6,I14&lt;$I$7*0.995),($I$7-I14)/12,0)</f>
        <v>0</v>
      </c>
      <c r="L14" s="39" t="str">
        <f aca="false">IF(AND(A14&gt;=$O$6,H14&gt;=0.99*$H$11),A14,"")</f>
        <v/>
      </c>
      <c r="N14" s="5" t="s">
        <v>283</v>
      </c>
      <c r="O14" s="28" t="n">
        <f aca="false">Result!$B$39-O13</f>
        <v>15804104.1391286</v>
      </c>
    </row>
    <row r="15" customFormat="false" ht="15" hidden="false" customHeight="false" outlineLevel="0" collapsed="false">
      <c r="A15" s="39" t="n">
        <v>4</v>
      </c>
      <c r="B15" s="18" t="str">
        <f aca="false">IF(A15&gt;=Inputs!$B$68,"yes","no")</f>
        <v>no</v>
      </c>
      <c r="C15" s="31" t="n">
        <f aca="false">IF(A14&gt;=Inputs!$B$68,MIN((Inputs!$B$8+(Inputs!$B$9-Inputs!$B$8)*MAX(0,($I$6-SUM(D15:F15)/Inputs!$B$7)/$I$6))*IF(AND(Inputs!$B$68&gt;0,A14&lt;Inputs!$B$68+Inputs!$B$70),Inputs!$B$69,1),Inputs!$B$7-SUM(D15:F15)),0)</f>
        <v>0</v>
      </c>
      <c r="D15" s="31" t="n">
        <f aca="false">C14*(1-Inputs!$B$10)</f>
        <v>0</v>
      </c>
      <c r="E15" s="31" t="n">
        <f aca="false">D14*(1-Inputs!$B$11)</f>
        <v>0</v>
      </c>
      <c r="F15" s="31" t="n">
        <f aca="false">E14*(1-Inputs!$B$11)+F14*(1-Inputs!$B$12)</f>
        <v>52.92030429</v>
      </c>
      <c r="G15" s="31" t="n">
        <f aca="false">SUM(C15:F15)</f>
        <v>52.92030429</v>
      </c>
      <c r="H15" s="37" t="n">
        <f aca="false">G15/Inputs!$B$7</f>
        <v>0.756004347</v>
      </c>
      <c r="I15" s="28" t="n">
        <f aca="false">Result!$B$29+(G15-Residents!$B$189)*Occupancy!$B$11</f>
        <v>1088730.60294838</v>
      </c>
      <c r="J15" s="28" t="n">
        <f aca="false">($I$7-I15)/12</f>
        <v>36816.3537718806</v>
      </c>
      <c r="K15" s="28" t="n">
        <f aca="false">IF(AND(A15&gt;=$O$6,I15&lt;$I$7*0.995),($I$7-I15)/12,0)</f>
        <v>0</v>
      </c>
      <c r="L15" s="39" t="str">
        <f aca="false">IF(AND(A15&gt;=$O$6,H15&gt;=0.99*$H$11),A15,"")</f>
        <v/>
      </c>
      <c r="N15" s="5" t="s">
        <v>284</v>
      </c>
      <c r="O15" s="28" t="n">
        <v>1410102</v>
      </c>
    </row>
    <row r="16" customFormat="false" ht="15" hidden="false" customHeight="false" outlineLevel="0" collapsed="false">
      <c r="A16" s="39" t="n">
        <v>5</v>
      </c>
      <c r="B16" s="18" t="str">
        <f aca="false">IF(A16&gt;=Inputs!$B$68,"yes","no")</f>
        <v>no</v>
      </c>
      <c r="C16" s="31" t="n">
        <f aca="false">IF(A15&gt;=Inputs!$B$68,MIN((Inputs!$B$8+(Inputs!$B$9-Inputs!$B$8)*MAX(0,($I$6-SUM(D16:F16)/Inputs!$B$7)/$I$6))*IF(AND(Inputs!$B$68&gt;0,A15&lt;Inputs!$B$68+Inputs!$B$70),Inputs!$B$69,1),Inputs!$B$7-SUM(D16:F16)),0)</f>
        <v>0</v>
      </c>
      <c r="D16" s="31" t="n">
        <f aca="false">C15*(1-Inputs!$B$10)</f>
        <v>0</v>
      </c>
      <c r="E16" s="31" t="n">
        <f aca="false">D15*(1-Inputs!$B$11)</f>
        <v>0</v>
      </c>
      <c r="F16" s="31" t="n">
        <f aca="false">E15*(1-Inputs!$B$11)+F15*(1-Inputs!$B$12)</f>
        <v>50.8034921184</v>
      </c>
      <c r="G16" s="31" t="n">
        <f aca="false">SUM(C16:F16)</f>
        <v>50.8034921184</v>
      </c>
      <c r="H16" s="37" t="n">
        <f aca="false">G16/Inputs!$B$7</f>
        <v>0.72576417312</v>
      </c>
      <c r="I16" s="28" t="n">
        <f aca="false">Result!$B$29+(G16-Residents!$B$189)*Occupancy!$B$11</f>
        <v>993277.806894445</v>
      </c>
      <c r="J16" s="28" t="n">
        <f aca="false">($I$7-I16)/12</f>
        <v>44770.7534430419</v>
      </c>
      <c r="K16" s="28" t="n">
        <f aca="false">IF(AND(A16&gt;=$O$6,I16&lt;$I$7*0.995),($I$7-I16)/12,0)</f>
        <v>0</v>
      </c>
      <c r="L16" s="39" t="str">
        <f aca="false">IF(AND(A16&gt;=$O$6,H16&gt;=0.99*$H$11),A16,"")</f>
        <v/>
      </c>
      <c r="N16" s="5" t="s">
        <v>285</v>
      </c>
      <c r="O16" s="38" t="n">
        <f aca="false">O11/O15-1</f>
        <v>-0.0452207435549711</v>
      </c>
    </row>
    <row r="17" customFormat="false" ht="15" hidden="false" customHeight="false" outlineLevel="0" collapsed="false">
      <c r="A17" s="39" t="n">
        <v>6</v>
      </c>
      <c r="B17" s="18" t="str">
        <f aca="false">IF(A17&gt;=Inputs!$B$68,"yes","no")</f>
        <v>yes</v>
      </c>
      <c r="C17" s="31" t="n">
        <f aca="false">IF(A16&gt;=Inputs!$B$68,MIN((Inputs!$B$8+(Inputs!$B$9-Inputs!$B$8)*MAX(0,($I$6-SUM(D17:F17)/Inputs!$B$7)/$I$6))*IF(AND(Inputs!$B$68&gt;0,A16&lt;Inputs!$B$68+Inputs!$B$70),Inputs!$B$69,1),Inputs!$B$7-SUM(D17:F17)),0)</f>
        <v>0</v>
      </c>
      <c r="D17" s="31" t="n">
        <f aca="false">C16*(1-Inputs!$B$10)</f>
        <v>0</v>
      </c>
      <c r="E17" s="31" t="n">
        <f aca="false">D16*(1-Inputs!$B$11)</f>
        <v>0</v>
      </c>
      <c r="F17" s="31" t="n">
        <f aca="false">E16*(1-Inputs!$B$11)+F16*(1-Inputs!$B$12)</f>
        <v>48.771352433664</v>
      </c>
      <c r="G17" s="31" t="n">
        <f aca="false">SUM(C17:F17)</f>
        <v>48.771352433664</v>
      </c>
      <c r="H17" s="37" t="n">
        <f aca="false">G17/Inputs!$B$7</f>
        <v>0.6967336061952</v>
      </c>
      <c r="I17" s="28" t="n">
        <f aca="false">Result!$B$29+(G17-Residents!$B$189)*Occupancy!$B$11</f>
        <v>901643.122682667</v>
      </c>
      <c r="J17" s="28" t="n">
        <f aca="false">($I$7-I17)/12</f>
        <v>52406.9771273567</v>
      </c>
      <c r="K17" s="28" t="n">
        <f aca="false">IF(AND(A17&gt;=$O$6,I17&lt;$I$7*0.995),($I$7-I17)/12,0)</f>
        <v>52406.9771273567</v>
      </c>
      <c r="L17" s="39" t="str">
        <f aca="false">IF(AND(A17&gt;=$O$6,H17&gt;=0.99*$H$11),A17,"")</f>
        <v/>
      </c>
    </row>
    <row r="18" customFormat="false" ht="90" hidden="false" customHeight="true" outlineLevel="0" collapsed="false">
      <c r="A18" s="39" t="n">
        <v>7</v>
      </c>
      <c r="B18" s="18" t="str">
        <f aca="false">IF(A18&gt;=Inputs!$B$68,"yes","no")</f>
        <v>yes</v>
      </c>
      <c r="C18" s="31" t="n">
        <f aca="false">IF(A17&gt;=Inputs!$B$68,MIN((Inputs!$B$8+(Inputs!$B$9-Inputs!$B$8)*MAX(0,($I$6-SUM(D18:F18)/Inputs!$B$7)/$I$6))*IF(AND(Inputs!$B$68&gt;0,A17&lt;Inputs!$B$68+Inputs!$B$70),Inputs!$B$69,1),Inputs!$B$7-SUM(D18:F18)),0)</f>
        <v>3.64</v>
      </c>
      <c r="D18" s="31" t="n">
        <f aca="false">C17*(1-Inputs!$B$10)</f>
        <v>0</v>
      </c>
      <c r="E18" s="31" t="n">
        <f aca="false">D17*(1-Inputs!$B$11)</f>
        <v>0</v>
      </c>
      <c r="F18" s="31" t="n">
        <f aca="false">E17*(1-Inputs!$B$11)+F17*(1-Inputs!$B$12)</f>
        <v>46.8204983363174</v>
      </c>
      <c r="G18" s="31" t="n">
        <f aca="false">SUM(C18:F18)</f>
        <v>50.4604983363174</v>
      </c>
      <c r="H18" s="37" t="n">
        <f aca="false">G18/Inputs!$B$7</f>
        <v>0.720864261947392</v>
      </c>
      <c r="I18" s="28" t="n">
        <f aca="false">Result!$B$29+(G18-Residents!$B$189)*Occupancy!$B$11</f>
        <v>977811.287961804</v>
      </c>
      <c r="J18" s="28" t="n">
        <f aca="false">($I$7-I18)/12</f>
        <v>46059.6300207619</v>
      </c>
      <c r="K18" s="28" t="n">
        <f aca="false">IF(AND(A18&gt;=$O$6,I18&lt;$I$7*0.995),($I$7-I18)/12,0)</f>
        <v>46059.6300207619</v>
      </c>
      <c r="L18" s="39" t="str">
        <f aca="false">IF(AND(A18&gt;=$O$6,H18&gt;=0.99*$H$11),A18,"")</f>
        <v/>
      </c>
      <c r="N18" s="26" t="s">
        <v>286</v>
      </c>
    </row>
    <row r="19" customFormat="false" ht="15" hidden="false" customHeight="false" outlineLevel="0" collapsed="false">
      <c r="A19" s="39" t="n">
        <v>8</v>
      </c>
      <c r="B19" s="18" t="str">
        <f aca="false">IF(A19&gt;=Inputs!$B$68,"yes","no")</f>
        <v>yes</v>
      </c>
      <c r="C19" s="31" t="n">
        <f aca="false">IF(A18&gt;=Inputs!$B$68,MIN((Inputs!$B$8+(Inputs!$B$9-Inputs!$B$8)*MAX(0,($I$6-SUM(D19:F19)/Inputs!$B$7)/$I$6))*IF(AND(Inputs!$B$68&gt;0,A18&lt;Inputs!$B$68+Inputs!$B$70),Inputs!$B$69,1),Inputs!$B$7-SUM(D19:F19)),0)</f>
        <v>2.28401468661941</v>
      </c>
      <c r="D19" s="31" t="n">
        <f aca="false">C18*(1-Inputs!$B$10)</f>
        <v>3.2214</v>
      </c>
      <c r="E19" s="31" t="n">
        <f aca="false">D18*(1-Inputs!$B$11)</f>
        <v>0</v>
      </c>
      <c r="F19" s="31" t="n">
        <f aca="false">E18*(1-Inputs!$B$11)+F18*(1-Inputs!$B$12)</f>
        <v>44.9476784028647</v>
      </c>
      <c r="G19" s="31" t="n">
        <f aca="false">SUM(C19:F19)</f>
        <v>50.4530930894841</v>
      </c>
      <c r="H19" s="37" t="n">
        <f aca="false">G19/Inputs!$B$7</f>
        <v>0.720758472706916</v>
      </c>
      <c r="I19" s="28" t="n">
        <f aca="false">Result!$B$29+(G19-Residents!$B$189)*Occupancy!$B$11</f>
        <v>977477.365318506</v>
      </c>
      <c r="J19" s="28" t="n">
        <f aca="false">($I$7-I19)/12</f>
        <v>46087.4569077035</v>
      </c>
      <c r="K19" s="28" t="n">
        <f aca="false">IF(AND(A19&gt;=$O$6,I19&lt;$I$7*0.995),($I$7-I19)/12,0)</f>
        <v>46087.4569077035</v>
      </c>
      <c r="L19" s="39" t="str">
        <f aca="false">IF(AND(A19&gt;=$O$6,H19&gt;=0.99*$H$11),A19,"")</f>
        <v/>
      </c>
    </row>
    <row r="20" customFormat="false" ht="15" hidden="false" customHeight="false" outlineLevel="0" collapsed="false">
      <c r="A20" s="39" t="n">
        <v>9</v>
      </c>
      <c r="B20" s="18" t="str">
        <f aca="false">IF(A20&gt;=Inputs!$B$68,"yes","no")</f>
        <v>yes</v>
      </c>
      <c r="C20" s="31" t="n">
        <f aca="false">IF(A19&gt;=Inputs!$B$68,MIN((Inputs!$B$8+(Inputs!$B$9-Inputs!$B$8)*MAX(0,($I$6-SUM(D20:F20)/Inputs!$B$7)/$I$6))*IF(AND(Inputs!$B$68&gt;0,A19&lt;Inputs!$B$68+Inputs!$B$70),Inputs!$B$69,1),Inputs!$B$7-SUM(D20:F20)),0)</f>
        <v>2.28271219342668</v>
      </c>
      <c r="D20" s="31" t="n">
        <f aca="false">C19*(1-Inputs!$B$10)</f>
        <v>2.02135299765818</v>
      </c>
      <c r="E20" s="31" t="n">
        <f aca="false">D19*(1-Inputs!$B$11)</f>
        <v>3.044223</v>
      </c>
      <c r="F20" s="31" t="n">
        <f aca="false">E19*(1-Inputs!$B$11)+F19*(1-Inputs!$B$12)</f>
        <v>43.1497712667501</v>
      </c>
      <c r="G20" s="31" t="n">
        <f aca="false">SUM(C20:F20)</f>
        <v>50.498059457835</v>
      </c>
      <c r="H20" s="37" t="n">
        <f aca="false">G20/Inputs!$B$7</f>
        <v>0.721400849397643</v>
      </c>
      <c r="I20" s="28" t="n">
        <f aca="false">Result!$B$29+(G20-Residents!$B$189)*Occupancy!$B$11</f>
        <v>979505.020698169</v>
      </c>
      <c r="J20" s="28" t="n">
        <f aca="false">($I$7-I20)/12</f>
        <v>45918.4856260649</v>
      </c>
      <c r="K20" s="28" t="n">
        <f aca="false">IF(AND(A20&gt;=$O$6,I20&lt;$I$7*0.995),($I$7-I20)/12,0)</f>
        <v>45918.4856260649</v>
      </c>
      <c r="L20" s="39" t="str">
        <f aca="false">IF(AND(A20&gt;=$O$6,H20&gt;=0.99*$H$11),A20,"")</f>
        <v/>
      </c>
    </row>
    <row r="21" customFormat="false" ht="15" hidden="false" customHeight="false" outlineLevel="0" collapsed="false">
      <c r="A21" s="39" t="n">
        <v>10</v>
      </c>
      <c r="B21" s="18" t="str">
        <f aca="false">IF(A21&gt;=Inputs!$B$68,"yes","no")</f>
        <v>yes</v>
      </c>
      <c r="C21" s="31" t="n">
        <f aca="false">IF(A20&gt;=Inputs!$B$68,MIN((Inputs!$B$8+(Inputs!$B$9-Inputs!$B$8)*MAX(0,($I$6-SUM(D21:F21)/Inputs!$B$7)/$I$6))*IF(AND(Inputs!$B$68&gt;0,A20&lt;Inputs!$B$68+Inputs!$B$70),Inputs!$B$69,1),Inputs!$B$7-SUM(D21:F21)),0)</f>
        <v>2.28227296737172</v>
      </c>
      <c r="D21" s="31" t="n">
        <f aca="false">C20*(1-Inputs!$B$10)</f>
        <v>2.02020029118261</v>
      </c>
      <c r="E21" s="31" t="n">
        <f aca="false">D20*(1-Inputs!$B$11)</f>
        <v>1.91017858278698</v>
      </c>
      <c r="F21" s="31" t="n">
        <f aca="false">E20*(1-Inputs!$B$11)+F20*(1-Inputs!$B$12)</f>
        <v>44.3005711510801</v>
      </c>
      <c r="G21" s="31" t="n">
        <f aca="false">SUM(C21:F21)</f>
        <v>50.5132229924214</v>
      </c>
      <c r="H21" s="37" t="n">
        <f aca="false">G21/Inputs!$B$7</f>
        <v>0.721617471320306</v>
      </c>
      <c r="I21" s="28" t="n">
        <f aca="false">Result!$B$29+(G21-Residents!$B$189)*Occupancy!$B$11</f>
        <v>980188.785556362</v>
      </c>
      <c r="J21" s="28" t="n">
        <f aca="false">($I$7-I21)/12</f>
        <v>45861.5052212155</v>
      </c>
      <c r="K21" s="28" t="n">
        <f aca="false">IF(AND(A21&gt;=$O$6,I21&lt;$I$7*0.995),($I$7-I21)/12,0)</f>
        <v>45861.5052212155</v>
      </c>
      <c r="L21" s="39" t="str">
        <f aca="false">IF(AND(A21&gt;=$O$6,H21&gt;=0.99*$H$11),A21,"")</f>
        <v/>
      </c>
    </row>
    <row r="22" customFormat="false" ht="15" hidden="false" customHeight="false" outlineLevel="0" collapsed="false">
      <c r="A22" s="39" t="n">
        <v>11</v>
      </c>
      <c r="B22" s="18" t="str">
        <f aca="false">IF(A22&gt;=Inputs!$B$68,"yes","no")</f>
        <v>yes</v>
      </c>
      <c r="C22" s="31" t="n">
        <f aca="false">IF(A21&gt;=Inputs!$B$68,MIN((Inputs!$B$8+(Inputs!$B$9-Inputs!$B$8)*MAX(0,($I$6-SUM(D22:F22)/Inputs!$B$7)/$I$6))*IF(AND(Inputs!$B$68&gt;0,A21&lt;Inputs!$B$68+Inputs!$B$70),Inputs!$B$69,1),Inputs!$B$7-SUM(D22:F22)),0)</f>
        <v>2.28138290680526</v>
      </c>
      <c r="D22" s="31" t="n">
        <f aca="false">C21*(1-Inputs!$B$10)</f>
        <v>2.01981157612397</v>
      </c>
      <c r="E22" s="31" t="n">
        <f aca="false">D21*(1-Inputs!$B$11)</f>
        <v>1.90908927516757</v>
      </c>
      <c r="F22" s="31" t="n">
        <f aca="false">E21*(1-Inputs!$B$11)+F21*(1-Inputs!$B$12)</f>
        <v>44.3336670657706</v>
      </c>
      <c r="G22" s="31" t="n">
        <f aca="false">SUM(C22:F22)</f>
        <v>50.5439508238674</v>
      </c>
      <c r="H22" s="37" t="n">
        <f aca="false">G22/Inputs!$B$7</f>
        <v>0.722056440340963</v>
      </c>
      <c r="I22" s="28" t="n">
        <f aca="false">Result!$B$29+(G22-Residents!$B$189)*Occupancy!$B$11</f>
        <v>981574.386729458</v>
      </c>
      <c r="J22" s="28" t="n">
        <f aca="false">($I$7-I22)/12</f>
        <v>45746.0384567908</v>
      </c>
      <c r="K22" s="28" t="n">
        <f aca="false">IF(AND(A22&gt;=$O$6,I22&lt;$I$7*0.995),($I$7-I22)/12,0)</f>
        <v>45746.0384567908</v>
      </c>
      <c r="L22" s="39" t="str">
        <f aca="false">IF(AND(A22&gt;=$O$6,H22&gt;=0.99*$H$11),A22,"")</f>
        <v/>
      </c>
    </row>
    <row r="23" customFormat="false" ht="15" hidden="false" customHeight="false" outlineLevel="0" collapsed="false">
      <c r="A23" s="39" t="n">
        <v>12</v>
      </c>
      <c r="B23" s="18" t="str">
        <f aca="false">IF(A23&gt;=Inputs!$B$68,"yes","no")</f>
        <v>yes</v>
      </c>
      <c r="C23" s="31" t="n">
        <f aca="false">IF(A22&gt;=Inputs!$B$68,MIN((Inputs!$B$8+(Inputs!$B$9-Inputs!$B$8)*MAX(0,($I$6-SUM(D23:F23)/Inputs!$B$7)/$I$6))*IF(AND(Inputs!$B$68&gt;0,A22&lt;Inputs!$B$68+Inputs!$B$70),Inputs!$B$69,1),Inputs!$B$7-SUM(D23:F23)),0)</f>
        <v>2.2805499988321</v>
      </c>
      <c r="D23" s="31" t="n">
        <f aca="false">C22*(1-Inputs!$B$10)</f>
        <v>2.01902387252266</v>
      </c>
      <c r="E23" s="31" t="n">
        <f aca="false">D22*(1-Inputs!$B$11)</f>
        <v>1.90872193943715</v>
      </c>
      <c r="F23" s="31" t="n">
        <f aca="false">E22*(1-Inputs!$B$11)+F22*(1-Inputs!$B$12)</f>
        <v>44.3644097481731</v>
      </c>
      <c r="G23" s="31" t="n">
        <f aca="false">SUM(C23:F23)</f>
        <v>50.5727055589651</v>
      </c>
      <c r="H23" s="37" t="n">
        <f aca="false">G23/Inputs!$B$7</f>
        <v>0.722467222270929</v>
      </c>
      <c r="I23" s="28" t="n">
        <f aca="false">Result!$B$29+(G23-Residents!$B$189)*Occupancy!$B$11</f>
        <v>982871.015642351</v>
      </c>
      <c r="J23" s="28" t="n">
        <f aca="false">($I$7-I23)/12</f>
        <v>45637.9860473831</v>
      </c>
      <c r="K23" s="28" t="n">
        <f aca="false">IF(AND(A23&gt;=$O$6,I23&lt;$I$7*0.995),($I$7-I23)/12,0)</f>
        <v>45637.9860473831</v>
      </c>
      <c r="L23" s="39" t="str">
        <f aca="false">IF(AND(A23&gt;=$O$6,H23&gt;=0.99*$H$11),A23,"")</f>
        <v/>
      </c>
    </row>
    <row r="24" customFormat="false" ht="15" hidden="false" customHeight="false" outlineLevel="0" collapsed="false">
      <c r="A24" s="39" t="n">
        <v>13</v>
      </c>
      <c r="B24" s="18" t="str">
        <f aca="false">IF(A24&gt;=Inputs!$B$68,"yes","no")</f>
        <v>yes</v>
      </c>
      <c r="C24" s="31" t="n">
        <f aca="false">IF(A23&gt;=Inputs!$B$68,MIN((Inputs!$B$8+(Inputs!$B$9-Inputs!$B$8)*MAX(0,($I$6-SUM(D24:F24)/Inputs!$B$7)/$I$6))*IF(AND(Inputs!$B$68&gt;0,A23&lt;Inputs!$B$68+Inputs!$B$70),Inputs!$B$69,1),Inputs!$B$7-SUM(D24:F24)),0)</f>
        <v>2.2797706698755</v>
      </c>
      <c r="D24" s="31" t="n">
        <f aca="false">C23*(1-Inputs!$B$10)</f>
        <v>2.01828674896641</v>
      </c>
      <c r="E24" s="31" t="n">
        <f aca="false">D23*(1-Inputs!$B$11)</f>
        <v>1.90797755953391</v>
      </c>
      <c r="F24" s="31" t="n">
        <f aca="false">E23*(1-Inputs!$B$11)+F23*(1-Inputs!$B$12)</f>
        <v>44.3935755910143</v>
      </c>
      <c r="G24" s="31" t="n">
        <f aca="false">SUM(C24:F24)</f>
        <v>50.5996105693901</v>
      </c>
      <c r="H24" s="37" t="n">
        <f aca="false">G24/Inputs!$B$7</f>
        <v>0.722851579562716</v>
      </c>
      <c r="I24" s="28" t="n">
        <f aca="false">Result!$B$29+(G24-Residents!$B$189)*Occupancy!$B$11</f>
        <v>984084.235458162</v>
      </c>
      <c r="J24" s="28" t="n">
        <f aca="false">($I$7-I24)/12</f>
        <v>45536.8843960655</v>
      </c>
      <c r="K24" s="28" t="n">
        <f aca="false">IF(AND(A24&gt;=$O$6,I24&lt;$I$7*0.995),($I$7-I24)/12,0)</f>
        <v>45536.8843960655</v>
      </c>
      <c r="L24" s="39" t="str">
        <f aca="false">IF(AND(A24&gt;=$O$6,H24&gt;=0.99*$H$11),A24,"")</f>
        <v/>
      </c>
    </row>
    <row r="25" customFormat="false" ht="15" hidden="false" customHeight="false" outlineLevel="0" collapsed="false">
      <c r="A25" s="39" t="n">
        <v>14</v>
      </c>
      <c r="B25" s="18" t="str">
        <f aca="false">IF(A25&gt;=Inputs!$B$68,"yes","no")</f>
        <v>yes</v>
      </c>
      <c r="C25" s="31" t="n">
        <f aca="false">IF(A24&gt;=Inputs!$B$68,MIN((Inputs!$B$8+(Inputs!$B$9-Inputs!$B$8)*MAX(0,($I$6-SUM(D25:F25)/Inputs!$B$7)/$I$6))*IF(AND(Inputs!$B$68&gt;0,A24&lt;Inputs!$B$68+Inputs!$B$70),Inputs!$B$69,1),Inputs!$B$7-SUM(D25:F25)),0)</f>
        <v>2.2790413040967</v>
      </c>
      <c r="D25" s="31" t="n">
        <f aca="false">C24*(1-Inputs!$B$10)</f>
        <v>2.01759704283982</v>
      </c>
      <c r="E25" s="31" t="n">
        <f aca="false">D24*(1-Inputs!$B$11)</f>
        <v>1.90728097777326</v>
      </c>
      <c r="F25" s="31" t="n">
        <f aca="false">E24*(1-Inputs!$B$11)+F24*(1-Inputs!$B$12)</f>
        <v>44.4208713611333</v>
      </c>
      <c r="G25" s="31" t="n">
        <f aca="false">SUM(C25:F25)</f>
        <v>50.6247906858431</v>
      </c>
      <c r="H25" s="37" t="n">
        <f aca="false">G25/Inputs!$B$7</f>
        <v>0.723211295512044</v>
      </c>
      <c r="I25" s="28" t="n">
        <f aca="false">Result!$B$29+(G25-Residents!$B$189)*Occupancy!$B$11</f>
        <v>985219.675131385</v>
      </c>
      <c r="J25" s="28" t="n">
        <f aca="false">($I$7-I25)/12</f>
        <v>45442.2644232969</v>
      </c>
      <c r="K25" s="28" t="n">
        <f aca="false">IF(AND(A25&gt;=$O$6,I25&lt;$I$7*0.995),($I$7-I25)/12,0)</f>
        <v>45442.2644232969</v>
      </c>
      <c r="L25" s="39" t="str">
        <f aca="false">IF(AND(A25&gt;=$O$6,H25&gt;=0.99*$H$11),A25,"")</f>
        <v/>
      </c>
    </row>
    <row r="26" customFormat="false" ht="15" hidden="false" customHeight="false" outlineLevel="0" collapsed="false">
      <c r="A26" s="39" t="n">
        <v>15</v>
      </c>
      <c r="B26" s="18" t="str">
        <f aca="false">IF(A26&gt;=Inputs!$B$68,"yes","no")</f>
        <v>yes</v>
      </c>
      <c r="C26" s="31" t="n">
        <f aca="false">IF(A25&gt;=Inputs!$B$68,MIN((Inputs!$B$8+(Inputs!$B$9-Inputs!$B$8)*MAX(0,($I$6-SUM(D26:F26)/Inputs!$B$7)/$I$6))*IF(AND(Inputs!$B$68&gt;0,A25&lt;Inputs!$B$68+Inputs!$B$70),Inputs!$B$69,1),Inputs!$B$7-SUM(D26:F26)),0)</f>
        <v>2.27835869843032</v>
      </c>
      <c r="D26" s="31" t="n">
        <f aca="false">C25*(1-Inputs!$B$10)</f>
        <v>2.01695155412558</v>
      </c>
      <c r="E26" s="31" t="n">
        <f aca="false">D25*(1-Inputs!$B$11)</f>
        <v>1.90662920548363</v>
      </c>
      <c r="F26" s="31" t="n">
        <f aca="false">E25*(1-Inputs!$B$11)+F25*(1-Inputs!$B$12)</f>
        <v>44.4464170306837</v>
      </c>
      <c r="G26" s="31" t="n">
        <f aca="false">SUM(C26:F26)</f>
        <v>50.6483564887232</v>
      </c>
      <c r="H26" s="37" t="n">
        <f aca="false">G26/Inputs!$B$7</f>
        <v>0.723547949838903</v>
      </c>
      <c r="I26" s="28" t="n">
        <f aca="false">Result!$B$29+(G26-Residents!$B$189)*Occupancy!$B$11</f>
        <v>986282.321031831</v>
      </c>
      <c r="J26" s="28" t="n">
        <f aca="false">($I$7-I26)/12</f>
        <v>45353.7105982597</v>
      </c>
      <c r="K26" s="28" t="n">
        <f aca="false">IF(AND(A26&gt;=$O$6,I26&lt;$I$7*0.995),($I$7-I26)/12,0)</f>
        <v>45353.7105982597</v>
      </c>
      <c r="L26" s="39" t="str">
        <f aca="false">IF(AND(A26&gt;=$O$6,H26&gt;=0.99*$H$11),A26,"")</f>
        <v/>
      </c>
    </row>
    <row r="27" customFormat="false" ht="15" hidden="false" customHeight="false" outlineLevel="0" collapsed="false">
      <c r="A27" s="39" t="n">
        <v>16</v>
      </c>
      <c r="B27" s="18" t="str">
        <f aca="false">IF(A27&gt;=Inputs!$B$68,"yes","no")</f>
        <v>yes</v>
      </c>
      <c r="C27" s="31" t="n">
        <f aca="false">IF(A26&gt;=Inputs!$B$68,MIN((Inputs!$B$8+(Inputs!$B$9-Inputs!$B$8)*MAX(0,($I$6-SUM(D27:F27)/Inputs!$B$7)/$I$6))*IF(AND(Inputs!$B$68&gt;0,A26&lt;Inputs!$B$68+Inputs!$B$70),Inputs!$B$69,1),Inputs!$B$7-SUM(D27:F27)),0)</f>
        <v>3.25388550731296</v>
      </c>
      <c r="D27" s="31" t="n">
        <f aca="false">C26*(1-Inputs!$B$10)</f>
        <v>2.01634744811083</v>
      </c>
      <c r="E27" s="31" t="n">
        <f aca="false">D26*(1-Inputs!$B$11)</f>
        <v>1.90601921864867</v>
      </c>
      <c r="F27" s="31" t="n">
        <f aca="false">E26*(1-Inputs!$B$11)+F26*(1-Inputs!$B$12)</f>
        <v>44.4703249486384</v>
      </c>
      <c r="G27" s="31" t="n">
        <f aca="false">SUM(C27:F27)</f>
        <v>51.6465771227108</v>
      </c>
      <c r="H27" s="37" t="n">
        <f aca="false">G27/Inputs!$B$7</f>
        <v>0.737808244610155</v>
      </c>
      <c r="I27" s="28" t="n">
        <f aca="false">Result!$B$29+(G27-Residents!$B$189)*Occupancy!$B$11</f>
        <v>1031294.79397166</v>
      </c>
      <c r="J27" s="28" t="n">
        <f aca="false">($I$7-I27)/12</f>
        <v>41602.6711866071</v>
      </c>
      <c r="K27" s="28" t="n">
        <f aca="false">IF(AND(A27&gt;=$O$6,I27&lt;$I$7*0.995),($I$7-I27)/12,0)</f>
        <v>41602.6711866071</v>
      </c>
      <c r="L27" s="39" t="str">
        <f aca="false">IF(AND(A27&gt;=$O$6,H27&gt;=0.99*$H$11),A27,"")</f>
        <v/>
      </c>
    </row>
    <row r="28" customFormat="false" ht="15" hidden="false" customHeight="false" outlineLevel="0" collapsed="false">
      <c r="A28" s="39" t="n">
        <v>17</v>
      </c>
      <c r="B28" s="18" t="str">
        <f aca="false">IF(A28&gt;=Inputs!$B$68,"yes","no")</f>
        <v>yes</v>
      </c>
      <c r="C28" s="31" t="n">
        <f aca="false">IF(A27&gt;=Inputs!$B$68,MIN((Inputs!$B$8+(Inputs!$B$9-Inputs!$B$8)*MAX(0,($I$6-SUM(D28:F28)/Inputs!$B$7)/$I$6))*IF(AND(Inputs!$B$68&gt;0,A27&lt;Inputs!$B$68+Inputs!$B$70),Inputs!$B$69,1),Inputs!$B$7-SUM(D28:F28)),0)</f>
        <v>3.21828933676757</v>
      </c>
      <c r="D28" s="31" t="n">
        <f aca="false">C27*(1-Inputs!$B$10)</f>
        <v>2.87968867397197</v>
      </c>
      <c r="E28" s="31" t="n">
        <f aca="false">D27*(1-Inputs!$B$11)</f>
        <v>1.90544833846474</v>
      </c>
      <c r="F28" s="31" t="n">
        <f aca="false">E27*(1-Inputs!$B$11)+F27*(1-Inputs!$B$12)</f>
        <v>44.4927001123158</v>
      </c>
      <c r="G28" s="31" t="n">
        <f aca="false">SUM(C28:F28)</f>
        <v>52.4961264615201</v>
      </c>
      <c r="H28" s="37" t="n">
        <f aca="false">G28/Inputs!$B$7</f>
        <v>0.749944663736002</v>
      </c>
      <c r="I28" s="28" t="n">
        <f aca="false">Result!$B$29+(G28-Residents!$B$189)*Occupancy!$B$11</f>
        <v>1069603.27540572</v>
      </c>
      <c r="J28" s="28" t="n">
        <f aca="false">($I$7-I28)/12</f>
        <v>38410.2977337693</v>
      </c>
      <c r="K28" s="28" t="n">
        <f aca="false">IF(AND(A28&gt;=$O$6,I28&lt;$I$7*0.995),($I$7-I28)/12,0)</f>
        <v>38410.2977337693</v>
      </c>
      <c r="L28" s="39" t="str">
        <f aca="false">IF(AND(A28&gt;=$O$6,H28&gt;=0.99*$H$11),A28,"")</f>
        <v/>
      </c>
    </row>
    <row r="29" customFormat="false" ht="15" hidden="false" customHeight="false" outlineLevel="0" collapsed="false">
      <c r="A29" s="39" t="n">
        <v>18</v>
      </c>
      <c r="B29" s="18" t="str">
        <f aca="false">IF(A29&gt;=Inputs!$B$68,"yes","no")</f>
        <v>yes</v>
      </c>
      <c r="C29" s="31" t="n">
        <f aca="false">IF(A28&gt;=Inputs!$B$68,MIN((Inputs!$B$8+(Inputs!$B$9-Inputs!$B$8)*MAX(0,($I$6-SUM(D29:F29)/Inputs!$B$7)/$I$6))*IF(AND(Inputs!$B$68&gt;0,A28&lt;Inputs!$B$68+Inputs!$B$70),Inputs!$B$69,1),Inputs!$B$7-SUM(D29:F29)),0)</f>
        <v>3.18590433738803</v>
      </c>
      <c r="D29" s="31" t="n">
        <f aca="false">C28*(1-Inputs!$B$10)</f>
        <v>2.8481860630393</v>
      </c>
      <c r="E29" s="31" t="n">
        <f aca="false">D28*(1-Inputs!$B$11)</f>
        <v>2.72130579690351</v>
      </c>
      <c r="F29" s="31" t="n">
        <f aca="false">E28*(1-Inputs!$B$11)+F28*(1-Inputs!$B$12)</f>
        <v>44.5136407876724</v>
      </c>
      <c r="G29" s="31" t="n">
        <f aca="false">SUM(C29:F29)</f>
        <v>53.2690369850032</v>
      </c>
      <c r="H29" s="37" t="n">
        <f aca="false">G29/Inputs!$B$7</f>
        <v>0.760986242642903</v>
      </c>
      <c r="I29" s="28" t="n">
        <f aca="false">Result!$B$29+(G29-Residents!$B$189)*Occupancy!$B$11</f>
        <v>1104455.90501348</v>
      </c>
      <c r="J29" s="28" t="n">
        <f aca="false">($I$7-I29)/12</f>
        <v>35505.9119331226</v>
      </c>
      <c r="K29" s="28" t="n">
        <f aca="false">IF(AND(A29&gt;=$O$6,I29&lt;$I$7*0.995),($I$7-I29)/12,0)</f>
        <v>35505.9119331226</v>
      </c>
      <c r="L29" s="39" t="str">
        <f aca="false">IF(AND(A29&gt;=$O$6,H29&gt;=0.99*$H$11),A29,"")</f>
        <v/>
      </c>
    </row>
    <row r="30" customFormat="false" ht="15" hidden="false" customHeight="false" outlineLevel="0" collapsed="false">
      <c r="A30" s="39" t="n">
        <v>19</v>
      </c>
      <c r="B30" s="18" t="str">
        <f aca="false">IF(A30&gt;=Inputs!$B$68,"yes","no")</f>
        <v>yes</v>
      </c>
      <c r="C30" s="31" t="n">
        <f aca="false">IF(A29&gt;=Inputs!$B$68,MIN((Inputs!$B$8+(Inputs!$B$9-Inputs!$B$8)*MAX(0,($I$6-SUM(D30:F30)/Inputs!$B$7)/$I$6))*IF(AND(Inputs!$B$68&gt;0,A29&lt;Inputs!$B$68+Inputs!$B$70),Inputs!$B$69,1),Inputs!$B$7-SUM(D30:F30)),0)</f>
        <v>3.15644047347473</v>
      </c>
      <c r="D30" s="31" t="n">
        <f aca="false">C29*(1-Inputs!$B$10)</f>
        <v>2.81952533858841</v>
      </c>
      <c r="E30" s="31" t="n">
        <f aca="false">D29*(1-Inputs!$B$11)</f>
        <v>2.69153582957214</v>
      </c>
      <c r="F30" s="31" t="n">
        <f aca="false">E29*(1-Inputs!$B$11)+F29*(1-Inputs!$B$12)</f>
        <v>45.3047291342393</v>
      </c>
      <c r="G30" s="31" t="n">
        <f aca="false">SUM(C30:F30)</f>
        <v>53.9722307758746</v>
      </c>
      <c r="H30" s="37" t="n">
        <f aca="false">G30/Inputs!$B$7</f>
        <v>0.771031868226779</v>
      </c>
      <c r="I30" s="28" t="n">
        <f aca="false">Result!$B$29+(G30-Residents!$B$189)*Occupancy!$B$11</f>
        <v>1136164.81825905</v>
      </c>
      <c r="J30" s="28" t="n">
        <f aca="false">($I$7-I30)/12</f>
        <v>32863.5024959916</v>
      </c>
      <c r="K30" s="28" t="n">
        <f aca="false">IF(AND(A30&gt;=$O$6,I30&lt;$I$7*0.995),($I$7-I30)/12,0)</f>
        <v>32863.5024959916</v>
      </c>
      <c r="L30" s="39" t="str">
        <f aca="false">IF(AND(A30&gt;=$O$6,H30&gt;=0.99*$H$11),A30,"")</f>
        <v/>
      </c>
    </row>
    <row r="31" customFormat="false" ht="15" hidden="false" customHeight="false" outlineLevel="0" collapsed="false">
      <c r="A31" s="39" t="n">
        <v>20</v>
      </c>
      <c r="B31" s="18" t="str">
        <f aca="false">IF(A31&gt;=Inputs!$B$68,"yes","no")</f>
        <v>yes</v>
      </c>
      <c r="C31" s="31" t="n">
        <f aca="false">IF(A30&gt;=Inputs!$B$68,MIN((Inputs!$B$8+(Inputs!$B$9-Inputs!$B$8)*MAX(0,($I$6-SUM(D31:F31)/Inputs!$B$7)/$I$6))*IF(AND(Inputs!$B$68&gt;0,A30&lt;Inputs!$B$68+Inputs!$B$70),Inputs!$B$69,1),Inputs!$B$7-SUM(D31:F31)),0)</f>
        <v>3.12916854553254</v>
      </c>
      <c r="D31" s="31" t="n">
        <f aca="false">C30*(1-Inputs!$B$10)</f>
        <v>2.79344981902513</v>
      </c>
      <c r="E31" s="31" t="n">
        <f aca="false">D30*(1-Inputs!$B$11)</f>
        <v>2.66445144496604</v>
      </c>
      <c r="F31" s="31" t="n">
        <f aca="false">E30*(1-Inputs!$B$11)+F30*(1-Inputs!$B$12)</f>
        <v>46.0360413278154</v>
      </c>
      <c r="G31" s="31" t="n">
        <f aca="false">SUM(C31:F31)</f>
        <v>54.6231111373391</v>
      </c>
      <c r="H31" s="37" t="n">
        <f aca="false">G31/Inputs!$B$7</f>
        <v>0.780330159104844</v>
      </c>
      <c r="I31" s="28" t="n">
        <f aca="false">Result!$B$29+(G31-Residents!$B$189)*Occupancy!$B$11</f>
        <v>1165514.77723601</v>
      </c>
      <c r="J31" s="28" t="n">
        <f aca="false">($I$7-I31)/12</f>
        <v>30417.672581245</v>
      </c>
      <c r="K31" s="28" t="n">
        <f aca="false">IF(AND(A31&gt;=$O$6,I31&lt;$I$7*0.995),($I$7-I31)/12,0)</f>
        <v>30417.672581245</v>
      </c>
      <c r="L31" s="39" t="str">
        <f aca="false">IF(AND(A31&gt;=$O$6,H31&gt;=0.99*$H$11),A31,"")</f>
        <v/>
      </c>
    </row>
    <row r="32" customFormat="false" ht="15" hidden="false" customHeight="false" outlineLevel="0" collapsed="false">
      <c r="A32" s="39" t="n">
        <v>21</v>
      </c>
      <c r="B32" s="18" t="str">
        <f aca="false">IF(A32&gt;=Inputs!$B$68,"yes","no")</f>
        <v>yes</v>
      </c>
      <c r="C32" s="31" t="n">
        <f aca="false">IF(A31&gt;=Inputs!$B$68,MIN((Inputs!$B$8+(Inputs!$B$9-Inputs!$B$8)*MAX(0,($I$6-SUM(D32:F32)/Inputs!$B$7)/$I$6))*IF(AND(Inputs!$B$68&gt;0,A31&lt;Inputs!$B$68+Inputs!$B$70),Inputs!$B$69,1),Inputs!$B$7-SUM(D32:F32)),0)</f>
        <v>3.10392604389724</v>
      </c>
      <c r="D32" s="31" t="n">
        <f aca="false">C31*(1-Inputs!$B$10)</f>
        <v>2.7693141627963</v>
      </c>
      <c r="E32" s="31" t="n">
        <f aca="false">D31*(1-Inputs!$B$11)</f>
        <v>2.63981007897875</v>
      </c>
      <c r="F32" s="31" t="n">
        <f aca="false">E31*(1-Inputs!$B$11)+F31*(1-Inputs!$B$12)</f>
        <v>46.7125062901957</v>
      </c>
      <c r="G32" s="31" t="n">
        <f aca="false">SUM(C32:F32)</f>
        <v>55.225556575868</v>
      </c>
      <c r="H32" s="37" t="n">
        <f aca="false">G32/Inputs!$B$7</f>
        <v>0.7889365225124</v>
      </c>
      <c r="I32" s="28" t="n">
        <f aca="false">Result!$B$29+(G32-Residents!$B$189)*Occupancy!$B$11</f>
        <v>1192680.67430946</v>
      </c>
      <c r="J32" s="28" t="n">
        <f aca="false">($I$7-I32)/12</f>
        <v>28153.8478251239</v>
      </c>
      <c r="K32" s="28" t="n">
        <f aca="false">IF(AND(A32&gt;=$O$6,I32&lt;$I$7*0.995),($I$7-I32)/12,0)</f>
        <v>28153.8478251239</v>
      </c>
      <c r="L32" s="39" t="str">
        <f aca="false">IF(AND(A32&gt;=$O$6,H32&gt;=0.99*$H$11),A32,"")</f>
        <v/>
      </c>
    </row>
    <row r="33" customFormat="false" ht="15" hidden="false" customHeight="false" outlineLevel="0" collapsed="false">
      <c r="A33" s="39" t="n">
        <v>22</v>
      </c>
      <c r="B33" s="18" t="str">
        <f aca="false">IF(A33&gt;=Inputs!$B$68,"yes","no")</f>
        <v>yes</v>
      </c>
      <c r="C33" s="31" t="n">
        <f aca="false">IF(A32&gt;=Inputs!$B$68,MIN((Inputs!$B$8+(Inputs!$B$9-Inputs!$B$8)*MAX(0,($I$6-SUM(D33:F33)/Inputs!$B$7)/$I$6))*IF(AND(Inputs!$B$68&gt;0,A32&lt;Inputs!$B$68+Inputs!$B$70),Inputs!$B$69,1),Inputs!$B$7-SUM(D33:F33)),0)</f>
        <v>3.08056220745437</v>
      </c>
      <c r="D33" s="31" t="n">
        <f aca="false">C32*(1-Inputs!$B$10)</f>
        <v>2.74697454884906</v>
      </c>
      <c r="E33" s="31" t="n">
        <f aca="false">D32*(1-Inputs!$B$11)</f>
        <v>2.61700188384251</v>
      </c>
      <c r="F33" s="31" t="n">
        <f aca="false">E32*(1-Inputs!$B$11)+F32*(1-Inputs!$B$12)</f>
        <v>47.3386265632228</v>
      </c>
      <c r="G33" s="31" t="n">
        <f aca="false">SUM(C33:F33)</f>
        <v>55.7831652033687</v>
      </c>
      <c r="H33" s="37" t="n">
        <f aca="false">G33/Inputs!$B$7</f>
        <v>0.796902360048124</v>
      </c>
      <c r="I33" s="28" t="n">
        <f aca="false">Result!$B$29+(G33-Residents!$B$189)*Occupancy!$B$11</f>
        <v>1217824.75809395</v>
      </c>
      <c r="J33" s="28" t="n">
        <f aca="false">($I$7-I33)/12</f>
        <v>26058.5075097496</v>
      </c>
      <c r="K33" s="28" t="n">
        <f aca="false">IF(AND(A33&gt;=$O$6,I33&lt;$I$7*0.995),($I$7-I33)/12,0)</f>
        <v>26058.5075097496</v>
      </c>
      <c r="L33" s="39" t="str">
        <f aca="false">IF(AND(A33&gt;=$O$6,H33&gt;=0.99*$H$11),A33,"")</f>
        <v/>
      </c>
    </row>
    <row r="34" customFormat="false" ht="15" hidden="false" customHeight="false" outlineLevel="0" collapsed="false">
      <c r="A34" s="39" t="n">
        <v>23</v>
      </c>
      <c r="B34" s="18" t="str">
        <f aca="false">IF(A34&gt;=Inputs!$B$68,"yes","no")</f>
        <v>yes</v>
      </c>
      <c r="C34" s="31" t="n">
        <f aca="false">IF(A33&gt;=Inputs!$B$68,MIN((Inputs!$B$8+(Inputs!$B$9-Inputs!$B$8)*MAX(0,($I$6-SUM(D34:F34)/Inputs!$B$7)/$I$6))*IF(AND(Inputs!$B$68&gt;0,A33&lt;Inputs!$B$68+Inputs!$B$70),Inputs!$B$69,1),Inputs!$B$7-SUM(D34:F34)),0)</f>
        <v>3.05893721653774</v>
      </c>
      <c r="D34" s="31" t="n">
        <f aca="false">C33*(1-Inputs!$B$10)</f>
        <v>2.72629755359711</v>
      </c>
      <c r="E34" s="31" t="n">
        <f aca="false">D33*(1-Inputs!$B$11)</f>
        <v>2.59589094866236</v>
      </c>
      <c r="F34" s="31" t="n">
        <f aca="false">E33*(1-Inputs!$B$11)+F33*(1-Inputs!$B$12)</f>
        <v>47.918148280925</v>
      </c>
      <c r="G34" s="31" t="n">
        <f aca="false">SUM(C34:F34)</f>
        <v>56.2992739997222</v>
      </c>
      <c r="H34" s="37" t="n">
        <f aca="false">G34/Inputs!$B$7</f>
        <v>0.804275342853175</v>
      </c>
      <c r="I34" s="28" t="n">
        <f aca="false">Result!$B$29+(G34-Residents!$B$189)*Occupancy!$B$11</f>
        <v>1241097.50205344</v>
      </c>
      <c r="J34" s="28" t="n">
        <f aca="false">($I$7-I34)/12</f>
        <v>24119.1121797922</v>
      </c>
      <c r="K34" s="28" t="n">
        <f aca="false">IF(AND(A34&gt;=$O$6,I34&lt;$I$7*0.995),($I$7-I34)/12,0)</f>
        <v>24119.1121797922</v>
      </c>
      <c r="L34" s="39" t="str">
        <f aca="false">IF(AND(A34&gt;=$O$6,H34&gt;=0.99*$H$11),A34,"")</f>
        <v/>
      </c>
    </row>
    <row r="35" customFormat="false" ht="15" hidden="false" customHeight="false" outlineLevel="0" collapsed="false">
      <c r="A35" s="39" t="n">
        <v>24</v>
      </c>
      <c r="B35" s="18" t="str">
        <f aca="false">IF(A35&gt;=Inputs!$B$68,"yes","no")</f>
        <v>yes</v>
      </c>
      <c r="C35" s="31" t="n">
        <f aca="false">IF(A34&gt;=Inputs!$B$68,MIN((Inputs!$B$8+(Inputs!$B$9-Inputs!$B$8)*MAX(0,($I$6-SUM(D35:F35)/Inputs!$B$7)/$I$6))*IF(AND(Inputs!$B$68&gt;0,A34&lt;Inputs!$B$68+Inputs!$B$70),Inputs!$B$69,1),Inputs!$B$7-SUM(D35:F35)),0)</f>
        <v>3.03892165802486</v>
      </c>
      <c r="D35" s="31" t="n">
        <f aca="false">C34*(1-Inputs!$B$10)</f>
        <v>2.7071594366359</v>
      </c>
      <c r="E35" s="31" t="n">
        <f aca="false">D34*(1-Inputs!$B$11)</f>
        <v>2.57635118814927</v>
      </c>
      <c r="F35" s="31" t="n">
        <f aca="false">E34*(1-Inputs!$B$11)+F34*(1-Inputs!$B$12)</f>
        <v>48.4545392961739</v>
      </c>
      <c r="G35" s="31" t="n">
        <f aca="false">SUM(C35:F35)</f>
        <v>56.776971578984</v>
      </c>
      <c r="H35" s="37" t="n">
        <f aca="false">G35/Inputs!$B$7</f>
        <v>0.811099593985485</v>
      </c>
      <c r="I35" s="28" t="n">
        <f aca="false">Result!$B$29+(G35-Residents!$B$189)*Occupancy!$B$11</f>
        <v>1262638.1801639</v>
      </c>
      <c r="J35" s="28" t="n">
        <f aca="false">($I$7-I35)/12</f>
        <v>22324.0556705876</v>
      </c>
      <c r="K35" s="28" t="n">
        <f aca="false">IF(AND(A35&gt;=$O$6,I35&lt;$I$7*0.995),($I$7-I35)/12,0)</f>
        <v>22324.0556705876</v>
      </c>
      <c r="L35" s="39" t="str">
        <f aca="false">IF(AND(A35&gt;=$O$6,H35&gt;=0.99*$H$11),A35,"")</f>
        <v/>
      </c>
    </row>
    <row r="36" customFormat="false" ht="15" hidden="false" customHeight="false" outlineLevel="0" collapsed="false">
      <c r="A36" s="39" t="n">
        <v>25</v>
      </c>
      <c r="B36" s="18" t="str">
        <f aca="false">IF(A36&gt;=Inputs!$B$68,"yes","no")</f>
        <v>yes</v>
      </c>
      <c r="C36" s="31" t="n">
        <f aca="false">IF(A35&gt;=Inputs!$B$68,MIN((Inputs!$B$8+(Inputs!$B$9-Inputs!$B$8)*MAX(0,($I$6-SUM(D36:F36)/Inputs!$B$7)/$I$6))*IF(AND(Inputs!$B$68&gt;0,A35&lt;Inputs!$B$68+Inputs!$B$70),Inputs!$B$69,1),Inputs!$B$7-SUM(D36:F36)),0)</f>
        <v>3.02039575047111</v>
      </c>
      <c r="D36" s="31" t="n">
        <f aca="false">C35*(1-Inputs!$B$10)</f>
        <v>2.689445667352</v>
      </c>
      <c r="E36" s="31" t="n">
        <f aca="false">D35*(1-Inputs!$B$11)</f>
        <v>2.55826566762093</v>
      </c>
      <c r="F36" s="31" t="n">
        <f aca="false">E35*(1-Inputs!$B$11)+F35*(1-Inputs!$B$12)</f>
        <v>48.951009597128</v>
      </c>
      <c r="G36" s="31" t="n">
        <f aca="false">SUM(C36:F36)</f>
        <v>57.2191166825721</v>
      </c>
      <c r="H36" s="37" t="n">
        <f aca="false">G36/Inputs!$B$7</f>
        <v>0.817415952608173</v>
      </c>
      <c r="I36" s="28" t="n">
        <f aca="false">Result!$B$29+(G36-Residents!$B$189)*Occupancy!$B$11</f>
        <v>1282575.70082126</v>
      </c>
      <c r="J36" s="28" t="n">
        <f aca="false">($I$7-I36)/12</f>
        <v>20662.595615807</v>
      </c>
      <c r="K36" s="28" t="n">
        <f aca="false">IF(AND(A36&gt;=$O$6,I36&lt;$I$7*0.995),($I$7-I36)/12,0)</f>
        <v>20662.595615807</v>
      </c>
      <c r="L36" s="39" t="str">
        <f aca="false">IF(AND(A36&gt;=$O$6,H36&gt;=0.99*$H$11),A36,"")</f>
        <v/>
      </c>
    </row>
    <row r="37" customFormat="false" ht="15" hidden="false" customHeight="false" outlineLevel="0" collapsed="false">
      <c r="A37" s="39" t="n">
        <v>26</v>
      </c>
      <c r="B37" s="18" t="str">
        <f aca="false">IF(A37&gt;=Inputs!$B$68,"yes","no")</f>
        <v>yes</v>
      </c>
      <c r="C37" s="31" t="n">
        <f aca="false">IF(A36&gt;=Inputs!$B$68,MIN((Inputs!$B$8+(Inputs!$B$9-Inputs!$B$8)*MAX(0,($I$6-SUM(D37:F37)/Inputs!$B$7)/$I$6))*IF(AND(Inputs!$B$68&gt;0,A36&lt;Inputs!$B$68+Inputs!$B$70),Inputs!$B$69,1),Inputs!$B$7-SUM(D37:F37)),0)</f>
        <v>3.00324862712366</v>
      </c>
      <c r="D37" s="31" t="n">
        <f aca="false">C36*(1-Inputs!$B$10)</f>
        <v>2.67305023916693</v>
      </c>
      <c r="E37" s="31" t="n">
        <f aca="false">D36*(1-Inputs!$B$11)</f>
        <v>2.54152615564764</v>
      </c>
      <c r="F37" s="31" t="n">
        <f aca="false">E36*(1-Inputs!$B$11)+F36*(1-Inputs!$B$12)</f>
        <v>49.4105302691447</v>
      </c>
      <c r="G37" s="31" t="n">
        <f aca="false">SUM(C37:F37)</f>
        <v>57.6283552910829</v>
      </c>
      <c r="H37" s="37" t="n">
        <f aca="false">G37/Inputs!$B$7</f>
        <v>0.823262218444042</v>
      </c>
      <c r="I37" s="28" t="n">
        <f aca="false">Result!$B$29+(G37-Residents!$B$189)*Occupancy!$B$11</f>
        <v>1301029.37845958</v>
      </c>
      <c r="J37" s="28" t="n">
        <f aca="false">($I$7-I37)/12</f>
        <v>19124.7891459469</v>
      </c>
      <c r="K37" s="28" t="n">
        <f aca="false">IF(AND(A37&gt;=$O$6,I37&lt;$I$7*0.995),($I$7-I37)/12,0)</f>
        <v>19124.7891459469</v>
      </c>
      <c r="L37" s="39" t="str">
        <f aca="false">IF(AND(A37&gt;=$O$6,H37&gt;=0.99*$H$11),A37,"")</f>
        <v/>
      </c>
    </row>
    <row r="38" customFormat="false" ht="15" hidden="false" customHeight="false" outlineLevel="0" collapsed="false">
      <c r="A38" s="39" t="n">
        <v>27</v>
      </c>
      <c r="B38" s="18" t="str">
        <f aca="false">IF(A38&gt;=Inputs!$B$68,"yes","no")</f>
        <v>yes</v>
      </c>
      <c r="C38" s="31" t="n">
        <f aca="false">IF(A37&gt;=Inputs!$B$68,MIN((Inputs!$B$8+(Inputs!$B$9-Inputs!$B$8)*MAX(0,($I$6-SUM(D38:F38)/Inputs!$B$7)/$I$6))*IF(AND(Inputs!$B$68&gt;0,A37&lt;Inputs!$B$68+Inputs!$B$70),Inputs!$B$69,1),Inputs!$B$7-SUM(D38:F38)),0)</f>
        <v>2.98737767244899</v>
      </c>
      <c r="D38" s="31" t="n">
        <f aca="false">C37*(1-Inputs!$B$10)</f>
        <v>2.65787503500444</v>
      </c>
      <c r="E38" s="31" t="n">
        <f aca="false">D37*(1-Inputs!$B$11)</f>
        <v>2.52603247601275</v>
      </c>
      <c r="F38" s="31" t="n">
        <f aca="false">E37*(1-Inputs!$B$11)+F37*(1-Inputs!$B$12)</f>
        <v>49.8358512754659</v>
      </c>
      <c r="G38" s="31" t="n">
        <f aca="false">SUM(C38:F38)</f>
        <v>58.0071364589321</v>
      </c>
      <c r="H38" s="37" t="n">
        <f aca="false">G38/Inputs!$B$7</f>
        <v>0.828673377984744</v>
      </c>
      <c r="I38" s="28" t="n">
        <f aca="false">Result!$B$29+(G38-Residents!$B$189)*Occupancy!$B$11</f>
        <v>1318109.64757786</v>
      </c>
      <c r="J38" s="28" t="n">
        <f aca="false">($I$7-I38)/12</f>
        <v>17701.4333860902</v>
      </c>
      <c r="K38" s="28" t="n">
        <f aca="false">IF(AND(A38&gt;=$O$6,I38&lt;$I$7*0.995),($I$7-I38)/12,0)</f>
        <v>17701.4333860902</v>
      </c>
      <c r="L38" s="39" t="str">
        <f aca="false">IF(AND(A38&gt;=$O$6,H38&gt;=0.99*$H$11),A38,"")</f>
        <v/>
      </c>
    </row>
    <row r="39" customFormat="false" ht="15" hidden="false" customHeight="false" outlineLevel="0" collapsed="false">
      <c r="A39" s="39" t="n">
        <v>28</v>
      </c>
      <c r="B39" s="18" t="str">
        <f aca="false">IF(A39&gt;=Inputs!$B$68,"yes","no")</f>
        <v>yes</v>
      </c>
      <c r="C39" s="31" t="n">
        <f aca="false">IF(A38&gt;=Inputs!$B$68,MIN((Inputs!$B$8+(Inputs!$B$9-Inputs!$B$8)*MAX(0,($I$6-SUM(D39:F39)/Inputs!$B$7)/$I$6))*IF(AND(Inputs!$B$68&gt;0,A38&lt;Inputs!$B$68+Inputs!$B$70),Inputs!$B$69,1),Inputs!$B$7-SUM(D39:F39)),0)</f>
        <v>2.97268790803886</v>
      </c>
      <c r="D39" s="31" t="n">
        <f aca="false">C38*(1-Inputs!$B$10)</f>
        <v>2.64382924011735</v>
      </c>
      <c r="E39" s="31" t="n">
        <f aca="false">D38*(1-Inputs!$B$11)</f>
        <v>2.51169190807919</v>
      </c>
      <c r="F39" s="31" t="n">
        <f aca="false">E38*(1-Inputs!$B$11)+F38*(1-Inputs!$B$12)</f>
        <v>50.2295179142793</v>
      </c>
      <c r="G39" s="31" t="n">
        <f aca="false">SUM(C39:F39)</f>
        <v>58.3577269705147</v>
      </c>
      <c r="H39" s="37" t="n">
        <f aca="false">G39/Inputs!$B$7</f>
        <v>0.833681813864496</v>
      </c>
      <c r="I39" s="28" t="n">
        <f aca="false">Result!$B$29+(G39-Residents!$B$189)*Occupancy!$B$11</f>
        <v>1333918.72362605</v>
      </c>
      <c r="J39" s="28" t="n">
        <f aca="false">($I$7-I39)/12</f>
        <v>16384.0103820751</v>
      </c>
      <c r="K39" s="28" t="n">
        <f aca="false">IF(AND(A39&gt;=$O$6,I39&lt;$I$7*0.995),($I$7-I39)/12,0)</f>
        <v>16384.0103820751</v>
      </c>
      <c r="L39" s="39" t="str">
        <f aca="false">IF(AND(A39&gt;=$O$6,H39&gt;=0.99*$H$11),A39,"")</f>
        <v/>
      </c>
    </row>
    <row r="40" customFormat="false" ht="15" hidden="false" customHeight="false" outlineLevel="0" collapsed="false">
      <c r="A40" s="39" t="n">
        <v>29</v>
      </c>
      <c r="B40" s="18" t="str">
        <f aca="false">IF(A40&gt;=Inputs!$B$68,"yes","no")</f>
        <v>yes</v>
      </c>
      <c r="C40" s="31" t="n">
        <f aca="false">IF(A39&gt;=Inputs!$B$68,MIN((Inputs!$B$8+(Inputs!$B$9-Inputs!$B$8)*MAX(0,($I$6-SUM(D40:F40)/Inputs!$B$7)/$I$6))*IF(AND(Inputs!$B$68&gt;0,A39&lt;Inputs!$B$68+Inputs!$B$70),Inputs!$B$69,1),Inputs!$B$7-SUM(D40:F40)),0)</f>
        <v>2.95909142421993</v>
      </c>
      <c r="D40" s="31" t="n">
        <f aca="false">C39*(1-Inputs!$B$10)</f>
        <v>2.63082879861439</v>
      </c>
      <c r="E40" s="31" t="n">
        <f aca="false">D39*(1-Inputs!$B$11)</f>
        <v>2.4984186319109</v>
      </c>
      <c r="F40" s="31" t="n">
        <f aca="false">E39*(1-Inputs!$B$11)+F39*(1-Inputs!$B$12)</f>
        <v>50.593886050843</v>
      </c>
      <c r="G40" s="31" t="n">
        <f aca="false">SUM(C40:F40)</f>
        <v>58.6822249055882</v>
      </c>
      <c r="H40" s="37" t="n">
        <f aca="false">G40/Inputs!$B$7</f>
        <v>0.83831749865126</v>
      </c>
      <c r="I40" s="28" t="n">
        <f aca="false">Result!$B$29+(G40-Residents!$B$189)*Occupancy!$B$11</f>
        <v>1348551.21470487</v>
      </c>
      <c r="J40" s="28" t="n">
        <f aca="false">($I$7-I40)/12</f>
        <v>15164.6361255061</v>
      </c>
      <c r="K40" s="28" t="n">
        <f aca="false">IF(AND(A40&gt;=$O$6,I40&lt;$I$7*0.995),($I$7-I40)/12,0)</f>
        <v>15164.6361255061</v>
      </c>
      <c r="L40" s="39" t="str">
        <f aca="false">IF(AND(A40&gt;=$O$6,H40&gt;=0.99*$H$11),A40,"")</f>
        <v/>
      </c>
    </row>
    <row r="41" customFormat="false" ht="15" hidden="false" customHeight="false" outlineLevel="0" collapsed="false">
      <c r="A41" s="39" t="n">
        <v>30</v>
      </c>
      <c r="B41" s="18" t="str">
        <f aca="false">IF(A41&gt;=Inputs!$B$68,"yes","no")</f>
        <v>yes</v>
      </c>
      <c r="C41" s="31" t="n">
        <f aca="false">IF(A40&gt;=Inputs!$B$68,MIN((Inputs!$B$8+(Inputs!$B$9-Inputs!$B$8)*MAX(0,($I$6-SUM(D41:F41)/Inputs!$B$7)/$I$6))*IF(AND(Inputs!$B$68&gt;0,A40&lt;Inputs!$B$68+Inputs!$B$70),Inputs!$B$69,1),Inputs!$B$7-SUM(D41:F41)),0)</f>
        <v>2.94650685396563</v>
      </c>
      <c r="D41" s="31" t="n">
        <f aca="false">C40*(1-Inputs!$B$10)</f>
        <v>2.61879591043464</v>
      </c>
      <c r="E41" s="31" t="n">
        <f aca="false">D40*(1-Inputs!$B$11)</f>
        <v>2.4861332146906</v>
      </c>
      <c r="F41" s="31" t="n">
        <f aca="false">E40*(1-Inputs!$B$11)+F40*(1-Inputs!$B$12)</f>
        <v>50.9311362159651</v>
      </c>
      <c r="G41" s="31" t="n">
        <f aca="false">SUM(C41:F41)</f>
        <v>58.9825721950559</v>
      </c>
      <c r="H41" s="37" t="n">
        <f aca="false">G41/Inputs!$B$7</f>
        <v>0.842608174215085</v>
      </c>
      <c r="I41" s="28" t="n">
        <f aca="false">Result!$B$29+(G41-Residents!$B$189)*Occupancy!$B$11</f>
        <v>1362094.6877402</v>
      </c>
      <c r="J41" s="28" t="n">
        <f aca="false">($I$7-I41)/12</f>
        <v>14036.0133725622</v>
      </c>
      <c r="K41" s="28" t="n">
        <f aca="false">IF(AND(A41&gt;=$O$6,I41&lt;$I$7*0.995),($I$7-I41)/12,0)</f>
        <v>14036.0133725622</v>
      </c>
      <c r="L41" s="39" t="str">
        <f aca="false">IF(AND(A41&gt;=$O$6,H41&gt;=0.99*$H$11),A41,"")</f>
        <v/>
      </c>
    </row>
    <row r="42" customFormat="false" ht="15" hidden="false" customHeight="false" outlineLevel="0" collapsed="false">
      <c r="A42" s="39" t="n">
        <v>31</v>
      </c>
      <c r="B42" s="18" t="str">
        <f aca="false">IF(A42&gt;=Inputs!$B$68,"yes","no")</f>
        <v>yes</v>
      </c>
      <c r="C42" s="31" t="n">
        <f aca="false">IF(A41&gt;=Inputs!$B$68,MIN((Inputs!$B$8+(Inputs!$B$9-Inputs!$B$8)*MAX(0,($I$6-SUM(D42:F42)/Inputs!$B$7)/$I$6))*IF(AND(Inputs!$B$68&gt;0,A41&lt;Inputs!$B$68+Inputs!$B$70),Inputs!$B$69,1),Inputs!$B$7-SUM(D42:F42)),0)</f>
        <v>2.93485888596196</v>
      </c>
      <c r="D42" s="31" t="n">
        <f aca="false">C41*(1-Inputs!$B$10)</f>
        <v>2.60765856575958</v>
      </c>
      <c r="E42" s="31" t="n">
        <f aca="false">D41*(1-Inputs!$B$11)</f>
        <v>2.47476213536073</v>
      </c>
      <c r="F42" s="31" t="n">
        <f aca="false">E41*(1-Inputs!$B$11)+F41*(1-Inputs!$B$12)</f>
        <v>51.2432866552091</v>
      </c>
      <c r="G42" s="31" t="n">
        <f aca="false">SUM(C42:F42)</f>
        <v>59.2605662422913</v>
      </c>
      <c r="H42" s="37" t="n">
        <f aca="false">G42/Inputs!$B$7</f>
        <v>0.846579517747019</v>
      </c>
      <c r="I42" s="28" t="n">
        <f aca="false">Result!$B$29+(G42-Residents!$B$189)*Occupancy!$B$11</f>
        <v>1374630.19251997</v>
      </c>
      <c r="J42" s="28" t="n">
        <f aca="false">($I$7-I42)/12</f>
        <v>12991.3879742479</v>
      </c>
      <c r="K42" s="28" t="n">
        <f aca="false">IF(AND(A42&gt;=$O$6,I42&lt;$I$7*0.995),($I$7-I42)/12,0)</f>
        <v>12991.3879742479</v>
      </c>
      <c r="L42" s="39" t="str">
        <f aca="false">IF(AND(A42&gt;=$O$6,H42&gt;=0.99*$H$11),A42,"")</f>
        <v/>
      </c>
    </row>
    <row r="43" customFormat="false" ht="15" hidden="false" customHeight="false" outlineLevel="0" collapsed="false">
      <c r="A43" s="39" t="n">
        <v>32</v>
      </c>
      <c r="B43" s="18" t="str">
        <f aca="false">IF(A43&gt;=Inputs!$B$68,"yes","no")</f>
        <v>yes</v>
      </c>
      <c r="C43" s="31" t="n">
        <f aca="false">IF(A42&gt;=Inputs!$B$68,MIN((Inputs!$B$8+(Inputs!$B$9-Inputs!$B$8)*MAX(0,($I$6-SUM(D43:F43)/Inputs!$B$7)/$I$6))*IF(AND(Inputs!$B$68&gt;0,A42&lt;Inputs!$B$68+Inputs!$B$70),Inputs!$B$69,1),Inputs!$B$7-SUM(D43:F43)),0)</f>
        <v>2.92407781391317</v>
      </c>
      <c r="D43" s="31" t="n">
        <f aca="false">C42*(1-Inputs!$B$10)</f>
        <v>2.59735011407633</v>
      </c>
      <c r="E43" s="31" t="n">
        <f aca="false">D42*(1-Inputs!$B$11)</f>
        <v>2.46423734464281</v>
      </c>
      <c r="F43" s="31" t="n">
        <f aca="false">E42*(1-Inputs!$B$11)+F42*(1-Inputs!$B$12)</f>
        <v>51.5322054069166</v>
      </c>
      <c r="G43" s="31" t="n">
        <f aca="false">SUM(C43:F43)</f>
        <v>59.5178706795489</v>
      </c>
      <c r="H43" s="37" t="n">
        <f aca="false">G43/Inputs!$B$7</f>
        <v>0.850255295422127</v>
      </c>
      <c r="I43" s="28" t="n">
        <f aca="false">Result!$B$29+(G43-Residents!$B$189)*Occupancy!$B$11</f>
        <v>1386232.74672994</v>
      </c>
      <c r="J43" s="28" t="n">
        <f aca="false">($I$7-I43)/12</f>
        <v>12024.5084567502</v>
      </c>
      <c r="K43" s="28" t="n">
        <f aca="false">IF(AND(A43&gt;=$O$6,I43&lt;$I$7*0.995),($I$7-I43)/12,0)</f>
        <v>12024.5084567502</v>
      </c>
      <c r="L43" s="39" t="str">
        <f aca="false">IF(AND(A43&gt;=$O$6,H43&gt;=0.99*$H$11),A43,"")</f>
        <v/>
      </c>
    </row>
    <row r="44" customFormat="false" ht="15" hidden="false" customHeight="false" outlineLevel="0" collapsed="false">
      <c r="A44" s="39" t="n">
        <v>33</v>
      </c>
      <c r="B44" s="18" t="str">
        <f aca="false">IF(A44&gt;=Inputs!$B$68,"yes","no")</f>
        <v>yes</v>
      </c>
      <c r="C44" s="31" t="n">
        <f aca="false">IF(A43&gt;=Inputs!$B$68,MIN((Inputs!$B$8+(Inputs!$B$9-Inputs!$B$8)*MAX(0,($I$6-SUM(D44:F44)/Inputs!$B$7)/$I$6))*IF(AND(Inputs!$B$68&gt;0,A43&lt;Inputs!$B$68+Inputs!$B$70),Inputs!$B$69,1),Inputs!$B$7-SUM(D44:F44)),0)</f>
        <v>2.91409911939026</v>
      </c>
      <c r="D44" s="31" t="n">
        <f aca="false">C43*(1-Inputs!$B$10)</f>
        <v>2.58780886531315</v>
      </c>
      <c r="E44" s="31" t="n">
        <f aca="false">D43*(1-Inputs!$B$11)</f>
        <v>2.45449585780213</v>
      </c>
      <c r="F44" s="31" t="n">
        <f aca="false">E43*(1-Inputs!$B$11)+F43*(1-Inputs!$B$12)</f>
        <v>51.7996214813274</v>
      </c>
      <c r="G44" s="31" t="n">
        <f aca="false">SUM(C44:F44)</f>
        <v>59.7560253238329</v>
      </c>
      <c r="H44" s="37" t="n">
        <f aca="false">G44/Inputs!$B$7</f>
        <v>0.853657504626185</v>
      </c>
      <c r="I44" s="28" t="n">
        <f aca="false">Result!$B$29+(G44-Residents!$B$189)*Occupancy!$B$11</f>
        <v>1396971.78489078</v>
      </c>
      <c r="J44" s="28" t="n">
        <f aca="false">($I$7-I44)/12</f>
        <v>11129.5886100136</v>
      </c>
      <c r="K44" s="28" t="n">
        <f aca="false">IF(AND(A44&gt;=$O$6,I44&lt;$I$7*0.995),($I$7-I44)/12,0)</f>
        <v>11129.5886100136</v>
      </c>
      <c r="L44" s="39" t="str">
        <f aca="false">IF(AND(A44&gt;=$O$6,H44&gt;=0.99*$H$11),A44,"")</f>
        <v/>
      </c>
    </row>
    <row r="45" customFormat="false" ht="15" hidden="false" customHeight="false" outlineLevel="0" collapsed="false">
      <c r="A45" s="39" t="n">
        <v>34</v>
      </c>
      <c r="B45" s="18" t="str">
        <f aca="false">IF(A45&gt;=Inputs!$B$68,"yes","no")</f>
        <v>yes</v>
      </c>
      <c r="C45" s="31" t="n">
        <f aca="false">IF(A44&gt;=Inputs!$B$68,MIN((Inputs!$B$8+(Inputs!$B$9-Inputs!$B$8)*MAX(0,($I$6-SUM(D45:F45)/Inputs!$B$7)/$I$6))*IF(AND(Inputs!$B$68&gt;0,A44&lt;Inputs!$B$68+Inputs!$B$70),Inputs!$B$69,1),Inputs!$B$7-SUM(D45:F45)),0)</f>
        <v>2.90486308572583</v>
      </c>
      <c r="D45" s="31" t="n">
        <f aca="false">C44*(1-Inputs!$B$10)</f>
        <v>2.57897772066038</v>
      </c>
      <c r="E45" s="31" t="n">
        <f aca="false">D44*(1-Inputs!$B$11)</f>
        <v>2.44547937772093</v>
      </c>
      <c r="F45" s="31" t="n">
        <f aca="false">E44*(1-Inputs!$B$11)+F44*(1-Inputs!$B$12)</f>
        <v>52.0471352076973</v>
      </c>
      <c r="G45" s="31" t="n">
        <f aca="false">SUM(C45:F45)</f>
        <v>59.9764553918044</v>
      </c>
      <c r="H45" s="37" t="n">
        <f aca="false">G45/Inputs!$B$7</f>
        <v>0.856806505597206</v>
      </c>
      <c r="I45" s="28" t="n">
        <f aca="false">Result!$B$29+(G45-Residents!$B$189)*Occupancy!$B$11</f>
        <v>1406911.57388318</v>
      </c>
      <c r="J45" s="28" t="n">
        <f aca="false">($I$7-I45)/12</f>
        <v>10301.2728606473</v>
      </c>
      <c r="K45" s="28" t="n">
        <f aca="false">IF(AND(A45&gt;=$O$6,I45&lt;$I$7*0.995),($I$7-I45)/12,0)</f>
        <v>10301.2728606473</v>
      </c>
      <c r="L45" s="39" t="str">
        <f aca="false">IF(AND(A45&gt;=$O$6,H45&gt;=0.99*$H$11),A45,"")</f>
        <v/>
      </c>
    </row>
    <row r="46" customFormat="false" ht="15" hidden="false" customHeight="false" outlineLevel="0" collapsed="false">
      <c r="A46" s="39" t="n">
        <v>35</v>
      </c>
      <c r="B46" s="18" t="str">
        <f aca="false">IF(A46&gt;=Inputs!$B$68,"yes","no")</f>
        <v>yes</v>
      </c>
      <c r="C46" s="31" t="n">
        <f aca="false">IF(A45&gt;=Inputs!$B$68,MIN((Inputs!$B$8+(Inputs!$B$9-Inputs!$B$8)*MAX(0,($I$6-SUM(D46:F46)/Inputs!$B$7)/$I$6))*IF(AND(Inputs!$B$68&gt;0,A45&lt;Inputs!$B$68+Inputs!$B$70),Inputs!$B$69,1),Inputs!$B$7-SUM(D46:F46)),0)</f>
        <v>2.89631444064456</v>
      </c>
      <c r="D46" s="31" t="n">
        <f aca="false">C45*(1-Inputs!$B$10)</f>
        <v>2.57080383086736</v>
      </c>
      <c r="E46" s="31" t="n">
        <f aca="false">D45*(1-Inputs!$B$11)</f>
        <v>2.43713394602406</v>
      </c>
      <c r="F46" s="31" t="n">
        <f aca="false">E45*(1-Inputs!$B$11)+F45*(1-Inputs!$B$12)</f>
        <v>52.2762278113357</v>
      </c>
      <c r="G46" s="31" t="n">
        <f aca="false">SUM(C46:F46)</f>
        <v>60.1804800288717</v>
      </c>
      <c r="H46" s="37" t="n">
        <f aca="false">G46/Inputs!$B$7</f>
        <v>0.859721143269595</v>
      </c>
      <c r="I46" s="28" t="n">
        <f aca="false">Result!$B$29+(G46-Residents!$B$189)*Occupancy!$B$11</f>
        <v>1416111.59754765</v>
      </c>
      <c r="J46" s="28" t="n">
        <f aca="false">($I$7-I46)/12</f>
        <v>9534.60422194159</v>
      </c>
      <c r="K46" s="28" t="n">
        <f aca="false">IF(AND(A46&gt;=$O$6,I46&lt;$I$7*0.995),($I$7-I46)/12,0)</f>
        <v>9534.60422194159</v>
      </c>
      <c r="L46" s="39" t="str">
        <f aca="false">IF(AND(A46&gt;=$O$6,H46&gt;=0.99*$H$11),A46,"")</f>
        <v/>
      </c>
    </row>
    <row r="47" customFormat="false" ht="15" hidden="false" customHeight="false" outlineLevel="0" collapsed="false">
      <c r="A47" s="39" t="n">
        <v>36</v>
      </c>
      <c r="B47" s="18" t="str">
        <f aca="false">IF(A47&gt;=Inputs!$B$68,"yes","no")</f>
        <v>yes</v>
      </c>
      <c r="C47" s="31" t="n">
        <f aca="false">IF(A46&gt;=Inputs!$B$68,MIN((Inputs!$B$8+(Inputs!$B$9-Inputs!$B$8)*MAX(0,($I$6-SUM(D47:F47)/Inputs!$B$7)/$I$6))*IF(AND(Inputs!$B$68&gt;0,A46&lt;Inputs!$B$68+Inputs!$B$70),Inputs!$B$69,1),Inputs!$B$7-SUM(D47:F47)),0)</f>
        <v>2.88840202549098</v>
      </c>
      <c r="D47" s="31" t="n">
        <f aca="false">C46*(1-Inputs!$B$10)</f>
        <v>2.56323827997043</v>
      </c>
      <c r="E47" s="31" t="n">
        <f aca="false">D46*(1-Inputs!$B$11)</f>
        <v>2.42940962016965</v>
      </c>
      <c r="F47" s="31" t="n">
        <f aca="false">E46*(1-Inputs!$B$11)+F46*(1-Inputs!$B$12)</f>
        <v>52.488270277875</v>
      </c>
      <c r="G47" s="31" t="n">
        <f aca="false">SUM(C47:F47)</f>
        <v>60.3693202035061</v>
      </c>
      <c r="H47" s="37" t="n">
        <f aca="false">G47/Inputs!$B$7</f>
        <v>0.862418860050087</v>
      </c>
      <c r="I47" s="28" t="n">
        <f aca="false">Result!$B$29+(G47-Residents!$B$189)*Occupancy!$B$11</f>
        <v>1424626.91266063</v>
      </c>
      <c r="J47" s="28" t="n">
        <f aca="false">($I$7-I47)/12</f>
        <v>8824.99462919318</v>
      </c>
      <c r="K47" s="28" t="n">
        <f aca="false">IF(AND(A47&gt;=$O$6,I47&lt;$I$7*0.995),($I$7-I47)/12,0)</f>
        <v>8824.99462919318</v>
      </c>
      <c r="L47" s="39" t="str">
        <f aca="false">IF(AND(A47&gt;=$O$6,H47&gt;=0.99*$H$11),A47,"")</f>
        <v/>
      </c>
    </row>
    <row r="48" customFormat="false" ht="15" hidden="false" customHeight="false" outlineLevel="0" collapsed="false">
      <c r="A48" s="39" t="n">
        <v>37</v>
      </c>
      <c r="B48" s="18" t="str">
        <f aca="false">IF(A48&gt;=Inputs!$B$68,"yes","no")</f>
        <v>yes</v>
      </c>
      <c r="C48" s="31" t="n">
        <f aca="false">IF(A47&gt;=Inputs!$B$68,MIN((Inputs!$B$8+(Inputs!$B$9-Inputs!$B$8)*MAX(0,($I$6-SUM(D48:F48)/Inputs!$B$7)/$I$6))*IF(AND(Inputs!$B$68&gt;0,A47&lt;Inputs!$B$68+Inputs!$B$70),Inputs!$B$69,1),Inputs!$B$7-SUM(D48:F48)),0)</f>
        <v>2.88107848907469</v>
      </c>
      <c r="D48" s="31" t="n">
        <f aca="false">C47*(1-Inputs!$B$10)</f>
        <v>2.55623579255952</v>
      </c>
      <c r="E48" s="31" t="n">
        <f aca="false">D47*(1-Inputs!$B$11)</f>
        <v>2.42226017457206</v>
      </c>
      <c r="F48" s="31" t="n">
        <f aca="false">E47*(1-Inputs!$B$11)+F47*(1-Inputs!$B$12)</f>
        <v>52.6845315578203</v>
      </c>
      <c r="G48" s="31" t="n">
        <f aca="false">SUM(C48:F48)</f>
        <v>60.5441060140266</v>
      </c>
      <c r="H48" s="37" t="n">
        <f aca="false">G48/Inputs!$B$7</f>
        <v>0.86491580020038</v>
      </c>
      <c r="I48" s="28" t="n">
        <f aca="false">Result!$B$29+(G48-Residents!$B$189)*Occupancy!$B$11</f>
        <v>1432508.47841718</v>
      </c>
      <c r="J48" s="28" t="n">
        <f aca="false">($I$7-I48)/12</f>
        <v>8168.19748281377</v>
      </c>
      <c r="K48" s="28" t="n">
        <f aca="false">IF(AND(A48&gt;=$O$6,I48&lt;$I$7*0.995),($I$7-I48)/12,0)</f>
        <v>8168.19748281377</v>
      </c>
      <c r="L48" s="39" t="str">
        <f aca="false">IF(AND(A48&gt;=$O$6,H48&gt;=0.99*$H$11),A48,"")</f>
        <v/>
      </c>
    </row>
    <row r="49" customFormat="false" ht="15" hidden="false" customHeight="false" outlineLevel="0" collapsed="false">
      <c r="A49" s="39" t="n">
        <v>38</v>
      </c>
      <c r="B49" s="18" t="str">
        <f aca="false">IF(A49&gt;=Inputs!$B$68,"yes","no")</f>
        <v>yes</v>
      </c>
      <c r="C49" s="31" t="n">
        <f aca="false">IF(A48&gt;=Inputs!$B$68,MIN((Inputs!$B$8+(Inputs!$B$9-Inputs!$B$8)*MAX(0,($I$6-SUM(D49:F49)/Inputs!$B$7)/$I$6))*IF(AND(Inputs!$B$68&gt;0,A48&lt;Inputs!$B$68+Inputs!$B$70),Inputs!$B$69,1),Inputs!$B$7-SUM(D49:F49)),0)</f>
        <v>2.87430000430113</v>
      </c>
      <c r="D49" s="31" t="n">
        <f aca="false">C48*(1-Inputs!$B$10)</f>
        <v>2.5497544628311</v>
      </c>
      <c r="E49" s="31" t="n">
        <f aca="false">D48*(1-Inputs!$B$11)</f>
        <v>2.41564282396874</v>
      </c>
      <c r="F49" s="31" t="n">
        <f aca="false">E48*(1-Inputs!$B$11)+F48*(1-Inputs!$B$12)</f>
        <v>52.8661861604781</v>
      </c>
      <c r="G49" s="31" t="n">
        <f aca="false">SUM(C49:F49)</f>
        <v>60.7058834515791</v>
      </c>
      <c r="H49" s="37" t="n">
        <f aca="false">G49/Inputs!$B$7</f>
        <v>0.86722690645113</v>
      </c>
      <c r="I49" s="28" t="n">
        <f aca="false">Result!$B$29+(G49-Residents!$B$189)*Occupancy!$B$11</f>
        <v>1439803.46139206</v>
      </c>
      <c r="J49" s="28" t="n">
        <f aca="false">($I$7-I49)/12</f>
        <v>7560.28223490769</v>
      </c>
      <c r="K49" s="28" t="n">
        <f aca="false">IF(AND(A49&gt;=$O$6,I49&lt;$I$7*0.995),($I$7-I49)/12,0)</f>
        <v>7560.28223490769</v>
      </c>
      <c r="L49" s="39" t="str">
        <f aca="false">IF(AND(A49&gt;=$O$6,H49&gt;=0.99*$H$11),A49,"")</f>
        <v/>
      </c>
    </row>
    <row r="50" customFormat="false" ht="15" hidden="false" customHeight="false" outlineLevel="0" collapsed="false">
      <c r="A50" s="39" t="n">
        <v>39</v>
      </c>
      <c r="B50" s="18" t="str">
        <f aca="false">IF(A50&gt;=Inputs!$B$68,"yes","no")</f>
        <v>yes</v>
      </c>
      <c r="C50" s="31" t="n">
        <f aca="false">IF(A49&gt;=Inputs!$B$68,MIN((Inputs!$B$8+(Inputs!$B$9-Inputs!$B$8)*MAX(0,($I$6-SUM(D50:F50)/Inputs!$B$7)/$I$6))*IF(AND(Inputs!$B$68&gt;0,A49&lt;Inputs!$B$68+Inputs!$B$70),Inputs!$B$69,1),Inputs!$B$7-SUM(D50:F50)),0)</f>
        <v>2.86802600589193</v>
      </c>
      <c r="D50" s="31" t="n">
        <f aca="false">C49*(1-Inputs!$B$10)</f>
        <v>2.5437555038065</v>
      </c>
      <c r="E50" s="31" t="n">
        <f aca="false">D49*(1-Inputs!$B$11)</f>
        <v>2.40951796737539</v>
      </c>
      <c r="F50" s="31" t="n">
        <f aca="false">E49*(1-Inputs!$B$11)+F49*(1-Inputs!$B$12)</f>
        <v>53.0343211827094</v>
      </c>
      <c r="G50" s="31" t="n">
        <f aca="false">SUM(C50:F50)</f>
        <v>60.8556206597833</v>
      </c>
      <c r="H50" s="37" t="n">
        <f aca="false">G50/Inputs!$B$7</f>
        <v>0.869366009425475</v>
      </c>
      <c r="I50" s="28" t="n">
        <f aca="false">Result!$B$29+(G50-Residents!$B$189)*Occupancy!$B$11</f>
        <v>1446555.51780413</v>
      </c>
      <c r="J50" s="28" t="n">
        <f aca="false">($I$7-I50)/12</f>
        <v>6997.61086723521</v>
      </c>
      <c r="K50" s="28" t="n">
        <f aca="false">IF(AND(A50&gt;=$O$6,I50&lt;$I$7*0.995),($I$7-I50)/12,0)</f>
        <v>6997.61086723521</v>
      </c>
      <c r="L50" s="39" t="str">
        <f aca="false">IF(AND(A50&gt;=$O$6,H50&gt;=0.99*$H$11),A50,"")</f>
        <v/>
      </c>
    </row>
    <row r="51" customFormat="false" ht="15" hidden="false" customHeight="false" outlineLevel="0" collapsed="false">
      <c r="A51" s="39" t="n">
        <v>40</v>
      </c>
      <c r="B51" s="18" t="str">
        <f aca="false">IF(A51&gt;=Inputs!$B$68,"yes","no")</f>
        <v>yes</v>
      </c>
      <c r="C51" s="31" t="n">
        <f aca="false">IF(A50&gt;=Inputs!$B$68,MIN((Inputs!$B$8+(Inputs!$B$9-Inputs!$B$8)*MAX(0,($I$6-SUM(D51:F51)/Inputs!$B$7)/$I$6))*IF(AND(Inputs!$B$68&gt;0,A50&lt;Inputs!$B$68+Inputs!$B$70),Inputs!$B$69,1),Inputs!$B$7-SUM(D51:F51)),0)</f>
        <v>2.86221894762543</v>
      </c>
      <c r="D51" s="31" t="n">
        <f aca="false">C50*(1-Inputs!$B$10)</f>
        <v>2.53820301521435</v>
      </c>
      <c r="E51" s="31" t="n">
        <f aca="false">D50*(1-Inputs!$B$11)</f>
        <v>2.40384895109714</v>
      </c>
      <c r="F51" s="31" t="n">
        <f aca="false">E50*(1-Inputs!$B$11)+F50*(1-Inputs!$B$12)</f>
        <v>53.1899428145708</v>
      </c>
      <c r="G51" s="31" t="n">
        <f aca="false">SUM(C51:F51)</f>
        <v>60.9942137285077</v>
      </c>
      <c r="H51" s="37" t="n">
        <f aca="false">G51/Inputs!$B$7</f>
        <v>0.871345910407253</v>
      </c>
      <c r="I51" s="28" t="n">
        <f aca="false">Result!$B$29+(G51-Residents!$B$189)*Occupancy!$B$11</f>
        <v>1452805.05477341</v>
      </c>
      <c r="J51" s="28" t="n">
        <f aca="false">($I$7-I51)/12</f>
        <v>6476.81611979481</v>
      </c>
      <c r="K51" s="28" t="n">
        <f aca="false">IF(AND(A51&gt;=$O$6,I51&lt;$I$7*0.995),($I$7-I51)/12,0)</f>
        <v>6476.81611979481</v>
      </c>
      <c r="L51" s="39" t="str">
        <f aca="false">IF(AND(A51&gt;=$O$6,H51&gt;=0.99*$H$11),A51,"")</f>
        <v/>
      </c>
    </row>
    <row r="52" customFormat="false" ht="15" hidden="false" customHeight="false" outlineLevel="0" collapsed="false">
      <c r="A52" s="39" t="n">
        <v>41</v>
      </c>
      <c r="B52" s="18" t="str">
        <f aca="false">IF(A52&gt;=Inputs!$B$68,"yes","no")</f>
        <v>yes</v>
      </c>
      <c r="C52" s="31" t="n">
        <f aca="false">IF(A51&gt;=Inputs!$B$68,MIN((Inputs!$B$8+(Inputs!$B$9-Inputs!$B$8)*MAX(0,($I$6-SUM(D52:F52)/Inputs!$B$7)/$I$6))*IF(AND(Inputs!$B$68&gt;0,A51&lt;Inputs!$B$68+Inputs!$B$70),Inputs!$B$69,1),Inputs!$B$7-SUM(D52:F52)),0)</f>
        <v>2.85684407764444</v>
      </c>
      <c r="D52" s="31" t="n">
        <f aca="false">C51*(1-Inputs!$B$10)</f>
        <v>2.53306376864851</v>
      </c>
      <c r="E52" s="31" t="n">
        <f aca="false">D51*(1-Inputs!$B$11)</f>
        <v>2.39860184937757</v>
      </c>
      <c r="F52" s="31" t="n">
        <f aca="false">E51*(1-Inputs!$B$11)+F51*(1-Inputs!$B$12)</f>
        <v>53.3339823607748</v>
      </c>
      <c r="G52" s="31" t="n">
        <f aca="false">SUM(C52:F52)</f>
        <v>61.1224920564453</v>
      </c>
      <c r="H52" s="37" t="n">
        <f aca="false">G52/Inputs!$B$7</f>
        <v>0.873178457949218</v>
      </c>
      <c r="I52" s="28" t="n">
        <f aca="false">Result!$B$29+(G52-Residents!$B$189)*Occupancy!$B$11</f>
        <v>1458589.47213412</v>
      </c>
      <c r="J52" s="28" t="n">
        <f aca="false">($I$7-I52)/12</f>
        <v>5994.78133973572</v>
      </c>
      <c r="K52" s="28" t="n">
        <f aca="false">IF(AND(A52&gt;=$O$6,I52&lt;$I$7*0.995),($I$7-I52)/12,0)</f>
        <v>5994.78133973572</v>
      </c>
      <c r="L52" s="39" t="str">
        <f aca="false">IF(AND(A52&gt;=$O$6,H52&gt;=0.99*$H$11),A52,"")</f>
        <v/>
      </c>
    </row>
    <row r="53" customFormat="false" ht="15" hidden="false" customHeight="false" outlineLevel="0" collapsed="false">
      <c r="A53" s="39" t="n">
        <v>42</v>
      </c>
      <c r="B53" s="18" t="str">
        <f aca="false">IF(A53&gt;=Inputs!$B$68,"yes","no")</f>
        <v>yes</v>
      </c>
      <c r="C53" s="31" t="n">
        <f aca="false">IF(A52&gt;=Inputs!$B$68,MIN((Inputs!$B$8+(Inputs!$B$9-Inputs!$B$8)*MAX(0,($I$6-SUM(D53:F53)/Inputs!$B$7)/$I$6))*IF(AND(Inputs!$B$68&gt;0,A52&lt;Inputs!$B$68+Inputs!$B$70),Inputs!$B$69,1),Inputs!$B$7-SUM(D53:F53)),0)</f>
        <v>2.85186923048657</v>
      </c>
      <c r="D53" s="31" t="n">
        <f aca="false">C52*(1-Inputs!$B$10)</f>
        <v>2.52830700871533</v>
      </c>
      <c r="E53" s="31" t="n">
        <f aca="false">D52*(1-Inputs!$B$11)</f>
        <v>2.39374526137284</v>
      </c>
      <c r="F53" s="31" t="n">
        <f aca="false">E52*(1-Inputs!$B$11)+F52*(1-Inputs!$B$12)</f>
        <v>53.4673018140056</v>
      </c>
      <c r="G53" s="31" t="n">
        <f aca="false">SUM(C53:F53)</f>
        <v>61.2412233145803</v>
      </c>
      <c r="H53" s="37" t="n">
        <f aca="false">G53/Inputs!$B$7</f>
        <v>0.874874618779719</v>
      </c>
      <c r="I53" s="28" t="n">
        <f aca="false">Result!$B$29+(G53-Residents!$B$189)*Occupancy!$B$11</f>
        <v>1463943.38625085</v>
      </c>
      <c r="J53" s="28" t="n">
        <f aca="false">($I$7-I53)/12</f>
        <v>5548.62183000844</v>
      </c>
      <c r="K53" s="28" t="n">
        <f aca="false">IF(AND(A53&gt;=$O$6,I53&lt;$I$7*0.995),($I$7-I53)/12,0)</f>
        <v>5548.62183000844</v>
      </c>
      <c r="L53" s="39" t="str">
        <f aca="false">IF(AND(A53&gt;=$O$6,H53&gt;=0.99*$H$11),A53,"")</f>
        <v/>
      </c>
    </row>
    <row r="54" customFormat="false" ht="15" hidden="false" customHeight="false" outlineLevel="0" collapsed="false">
      <c r="A54" s="39" t="n">
        <v>43</v>
      </c>
      <c r="B54" s="18" t="str">
        <f aca="false">IF(A54&gt;=Inputs!$B$68,"yes","no")</f>
        <v>yes</v>
      </c>
      <c r="C54" s="31" t="n">
        <f aca="false">IF(A53&gt;=Inputs!$B$68,MIN((Inputs!$B$8+(Inputs!$B$9-Inputs!$B$8)*MAX(0,($I$6-SUM(D54:F54)/Inputs!$B$7)/$I$6))*IF(AND(Inputs!$B$68&gt;0,A53&lt;Inputs!$B$68+Inputs!$B$70),Inputs!$B$69,1),Inputs!$B$7-SUM(D54:F54)),0)</f>
        <v>2.84726463459278</v>
      </c>
      <c r="D54" s="31" t="n">
        <f aca="false">C53*(1-Inputs!$B$10)</f>
        <v>2.52390426898062</v>
      </c>
      <c r="E54" s="31" t="n">
        <f aca="false">D53*(1-Inputs!$B$11)</f>
        <v>2.38925012323598</v>
      </c>
      <c r="F54" s="31" t="n">
        <f aca="false">E53*(1-Inputs!$B$11)+F53*(1-Inputs!$B$12)</f>
        <v>53.5906990134427</v>
      </c>
      <c r="G54" s="31" t="n">
        <f aca="false">SUM(C54:F54)</f>
        <v>61.3511180402521</v>
      </c>
      <c r="H54" s="37" t="n">
        <f aca="false">G54/Inputs!$B$7</f>
        <v>0.876444543432172</v>
      </c>
      <c r="I54" s="28" t="n">
        <f aca="false">Result!$B$29+(G54-Residents!$B$189)*Occupancy!$B$11</f>
        <v>1468898.83717733</v>
      </c>
      <c r="J54" s="28" t="n">
        <f aca="false">($I$7-I54)/12</f>
        <v>5135.66758613471</v>
      </c>
      <c r="K54" s="28" t="n">
        <f aca="false">IF(AND(A54&gt;=$O$6,I54&lt;$I$7*0.995),($I$7-I54)/12,0)</f>
        <v>5135.66758613471</v>
      </c>
      <c r="L54" s="39" t="str">
        <f aca="false">IF(AND(A54&gt;=$O$6,H54&gt;=0.99*$H$11),A54,"")</f>
        <v/>
      </c>
    </row>
    <row r="55" customFormat="false" ht="15" hidden="false" customHeight="false" outlineLevel="0" collapsed="false">
      <c r="A55" s="39" t="n">
        <v>44</v>
      </c>
      <c r="B55" s="18" t="str">
        <f aca="false">IF(A55&gt;=Inputs!$B$68,"yes","no")</f>
        <v>yes</v>
      </c>
      <c r="C55" s="31" t="n">
        <f aca="false">IF(A54&gt;=Inputs!$B$68,MIN((Inputs!$B$8+(Inputs!$B$9-Inputs!$B$8)*MAX(0,($I$6-SUM(D55:F55)/Inputs!$B$7)/$I$6))*IF(AND(Inputs!$B$68&gt;0,A54&lt;Inputs!$B$68+Inputs!$B$70),Inputs!$B$69,1),Inputs!$B$7-SUM(D55:F55)),0)</f>
        <v>2.84300273414192</v>
      </c>
      <c r="D55" s="31" t="n">
        <f aca="false">C54*(1-Inputs!$B$10)</f>
        <v>2.51982920161461</v>
      </c>
      <c r="E55" s="31" t="n">
        <f aca="false">D54*(1-Inputs!$B$11)</f>
        <v>2.38508953418668</v>
      </c>
      <c r="F55" s="31" t="n">
        <f aca="false">E54*(1-Inputs!$B$11)+F54*(1-Inputs!$B$12)</f>
        <v>53.704912419363</v>
      </c>
      <c r="G55" s="31" t="n">
        <f aca="false">SUM(C55:F55)</f>
        <v>61.4528338893062</v>
      </c>
      <c r="H55" s="37" t="n">
        <f aca="false">G55/Inputs!$B$7</f>
        <v>0.877897626990088</v>
      </c>
      <c r="I55" s="28" t="n">
        <f aca="false">Result!$B$29+(G55-Residents!$B$189)*Occupancy!$B$11</f>
        <v>1473485.48039749</v>
      </c>
      <c r="J55" s="28" t="n">
        <f aca="false">($I$7-I55)/12</f>
        <v>4753.44731778822</v>
      </c>
      <c r="K55" s="28" t="n">
        <f aca="false">IF(AND(A55&gt;=$O$6,I55&lt;$I$7*0.995),($I$7-I55)/12,0)</f>
        <v>4753.44731778822</v>
      </c>
      <c r="L55" s="39" t="str">
        <f aca="false">IF(AND(A55&gt;=$O$6,H55&gt;=0.99*$H$11),A55,"")</f>
        <v/>
      </c>
    </row>
    <row r="56" customFormat="false" ht="15" hidden="false" customHeight="false" outlineLevel="0" collapsed="false">
      <c r="A56" s="39" t="n">
        <v>45</v>
      </c>
      <c r="B56" s="18" t="str">
        <f aca="false">IF(A56&gt;=Inputs!$B$68,"yes","no")</f>
        <v>yes</v>
      </c>
      <c r="C56" s="31" t="n">
        <f aca="false">IF(A55&gt;=Inputs!$B$68,MIN((Inputs!$B$8+(Inputs!$B$9-Inputs!$B$8)*MAX(0,($I$6-SUM(D56:F56)/Inputs!$B$7)/$I$6))*IF(AND(Inputs!$B$68&gt;0,A55&lt;Inputs!$B$68+Inputs!$B$70),Inputs!$B$69,1),Inputs!$B$7-SUM(D56:F56)),0)</f>
        <v>2.83905802414521</v>
      </c>
      <c r="D56" s="31" t="n">
        <f aca="false">C55*(1-Inputs!$B$10)</f>
        <v>2.5160574197156</v>
      </c>
      <c r="E56" s="31" t="n">
        <f aca="false">D55*(1-Inputs!$B$11)</f>
        <v>2.38123859552581</v>
      </c>
      <c r="F56" s="31" t="n">
        <f aca="false">E55*(1-Inputs!$B$11)+F55*(1-Inputs!$B$12)</f>
        <v>53.8106255323949</v>
      </c>
      <c r="G56" s="31" t="n">
        <f aca="false">SUM(C56:F56)</f>
        <v>61.5469795717815</v>
      </c>
      <c r="H56" s="37" t="n">
        <f aca="false">G56/Inputs!$B$7</f>
        <v>0.879242565311164</v>
      </c>
      <c r="I56" s="28" t="n">
        <f aca="false">Result!$B$29+(G56-Residents!$B$189)*Occupancy!$B$11</f>
        <v>1477730.76429619</v>
      </c>
      <c r="J56" s="28" t="n">
        <f aca="false">($I$7-I56)/12</f>
        <v>4399.67365956297</v>
      </c>
      <c r="K56" s="28" t="n">
        <f aca="false">IF(AND(A56&gt;=$O$6,I56&lt;$I$7*0.995),($I$7-I56)/12,0)</f>
        <v>4399.67365956297</v>
      </c>
      <c r="L56" s="39" t="str">
        <f aca="false">IF(AND(A56&gt;=$O$6,H56&gt;=0.99*$H$11),A56,"")</f>
        <v/>
      </c>
    </row>
    <row r="57" customFormat="false" ht="15" hidden="false" customHeight="false" outlineLevel="0" collapsed="false">
      <c r="A57" s="39" t="n">
        <v>46</v>
      </c>
      <c r="B57" s="18" t="str">
        <f aca="false">IF(A57&gt;=Inputs!$B$68,"yes","no")</f>
        <v>yes</v>
      </c>
      <c r="C57" s="31" t="n">
        <f aca="false">IF(A56&gt;=Inputs!$B$68,MIN((Inputs!$B$8+(Inputs!$B$9-Inputs!$B$8)*MAX(0,($I$6-SUM(D57:F57)/Inputs!$B$7)/$I$6))*IF(AND(Inputs!$B$68&gt;0,A56&lt;Inputs!$B$68+Inputs!$B$70),Inputs!$B$69,1),Inputs!$B$7-SUM(D57:F57)),0)</f>
        <v>2.83540689781376</v>
      </c>
      <c r="D57" s="31" t="n">
        <f aca="false">C56*(1-Inputs!$B$10)</f>
        <v>2.51256635136851</v>
      </c>
      <c r="E57" s="31" t="n">
        <f aca="false">D56*(1-Inputs!$B$11)</f>
        <v>2.37767426163124</v>
      </c>
      <c r="F57" s="31" t="n">
        <f aca="false">E56*(1-Inputs!$B$11)+F56*(1-Inputs!$B$12)</f>
        <v>53.908470983871</v>
      </c>
      <c r="G57" s="31" t="n">
        <f aca="false">SUM(C57:F57)</f>
        <v>61.6341184946845</v>
      </c>
      <c r="H57" s="37" t="n">
        <f aca="false">G57/Inputs!$B$7</f>
        <v>0.880487407066921</v>
      </c>
      <c r="I57" s="28" t="n">
        <f aca="false">Result!$B$29+(G57-Residents!$B$189)*Occupancy!$B$11</f>
        <v>1481660.09442185</v>
      </c>
      <c r="J57" s="28" t="n">
        <f aca="false">($I$7-I57)/12</f>
        <v>4072.22948242518</v>
      </c>
      <c r="K57" s="28" t="n">
        <f aca="false">IF(AND(A57&gt;=$O$6,I57&lt;$I$7*0.995),($I$7-I57)/12,0)</f>
        <v>4072.22948242518</v>
      </c>
      <c r="L57" s="39" t="str">
        <f aca="false">IF(AND(A57&gt;=$O$6,H57&gt;=0.99*$H$11),A57,"")</f>
        <v/>
      </c>
    </row>
    <row r="58" customFormat="false" ht="15" hidden="false" customHeight="false" outlineLevel="0" collapsed="false">
      <c r="A58" s="39" t="n">
        <v>47</v>
      </c>
      <c r="B58" s="18" t="str">
        <f aca="false">IF(A58&gt;=Inputs!$B$68,"yes","no")</f>
        <v>yes</v>
      </c>
      <c r="C58" s="31" t="n">
        <f aca="false">IF(A57&gt;=Inputs!$B$68,MIN((Inputs!$B$8+(Inputs!$B$9-Inputs!$B$8)*MAX(0,($I$6-SUM(D58:F58)/Inputs!$B$7)/$I$6))*IF(AND(Inputs!$B$68&gt;0,A57&lt;Inputs!$B$68+Inputs!$B$70),Inputs!$B$69,1),Inputs!$B$7-SUM(D58:F58)),0)</f>
        <v>2.8320275052857</v>
      </c>
      <c r="D58" s="31" t="n">
        <f aca="false">C57*(1-Inputs!$B$10)</f>
        <v>2.50933510456517</v>
      </c>
      <c r="E58" s="31" t="n">
        <f aca="false">D57*(1-Inputs!$B$11)</f>
        <v>2.37437520204324</v>
      </c>
      <c r="F58" s="31" t="n">
        <f aca="false">E57*(1-Inputs!$B$11)+F57*(1-Inputs!$B$12)</f>
        <v>53.9990343217576</v>
      </c>
      <c r="G58" s="31" t="n">
        <f aca="false">SUM(C58:F58)</f>
        <v>61.7147721336518</v>
      </c>
      <c r="H58" s="37" t="n">
        <f aca="false">G58/Inputs!$B$7</f>
        <v>0.881639601909311</v>
      </c>
      <c r="I58" s="28" t="n">
        <f aca="false">Result!$B$29+(G58-Residents!$B$189)*Occupancy!$B$11</f>
        <v>1485296.98552378</v>
      </c>
      <c r="J58" s="28" t="n">
        <f aca="false">($I$7-I58)/12</f>
        <v>3769.15522393088</v>
      </c>
      <c r="K58" s="28" t="n">
        <f aca="false">IF(AND(A58&gt;=$O$6,I58&lt;$I$7*0.995),($I$7-I58)/12,0)</f>
        <v>3769.15522393088</v>
      </c>
      <c r="L58" s="39" t="str">
        <f aca="false">IF(AND(A58&gt;=$O$6,H58&gt;=0.99*$H$11),A58,"")</f>
        <v/>
      </c>
    </row>
    <row r="59" customFormat="false" ht="15" hidden="false" customHeight="false" outlineLevel="0" collapsed="false">
      <c r="A59" s="39" t="n">
        <v>48</v>
      </c>
      <c r="B59" s="18" t="str">
        <f aca="false">IF(A59&gt;=Inputs!$B$68,"yes","no")</f>
        <v>yes</v>
      </c>
      <c r="C59" s="31" t="n">
        <f aca="false">IF(A58&gt;=Inputs!$B$68,MIN((Inputs!$B$8+(Inputs!$B$9-Inputs!$B$8)*MAX(0,($I$6-SUM(D59:F59)/Inputs!$B$7)/$I$6))*IF(AND(Inputs!$B$68&gt;0,A58&lt;Inputs!$B$68+Inputs!$B$70),Inputs!$B$69,1),Inputs!$B$7-SUM(D59:F59)),0)</f>
        <v>2.82889962286753</v>
      </c>
      <c r="D59" s="31" t="n">
        <f aca="false">C58*(1-Inputs!$B$10)</f>
        <v>2.50634434217785</v>
      </c>
      <c r="E59" s="31" t="n">
        <f aca="false">D58*(1-Inputs!$B$11)</f>
        <v>2.37132167381409</v>
      </c>
      <c r="F59" s="31" t="n">
        <f aca="false">E58*(1-Inputs!$B$11)+F58*(1-Inputs!$B$12)</f>
        <v>54.0828575148182</v>
      </c>
      <c r="G59" s="31" t="n">
        <f aca="false">SUM(C59:F59)</f>
        <v>61.7894231536777</v>
      </c>
      <c r="H59" s="37" t="n">
        <f aca="false">G59/Inputs!$B$7</f>
        <v>0.882706045052538</v>
      </c>
      <c r="I59" s="28" t="n">
        <f aca="false">Result!$B$29+(G59-Residents!$B$189)*Occupancy!$B$11</f>
        <v>1488663.2022743</v>
      </c>
      <c r="J59" s="28" t="n">
        <f aca="false">($I$7-I59)/12</f>
        <v>3488.63716138727</v>
      </c>
      <c r="K59" s="28" t="n">
        <f aca="false">IF(AND(A59&gt;=$O$6,I59&lt;$I$7*0.995),($I$7-I59)/12,0)</f>
        <v>3488.63716138727</v>
      </c>
      <c r="L59" s="39" t="str">
        <f aca="false">IF(AND(A59&gt;=$O$6,H59&gt;=0.99*$H$11),A59,"")</f>
        <v/>
      </c>
    </row>
    <row r="60" customFormat="false" ht="15" hidden="false" customHeight="false" outlineLevel="0" collapsed="false">
      <c r="A60" s="39" t="n">
        <v>49</v>
      </c>
      <c r="B60" s="18" t="str">
        <f aca="false">IF(A60&gt;=Inputs!$B$68,"yes","no")</f>
        <v>yes</v>
      </c>
      <c r="C60" s="31" t="n">
        <f aca="false">IF(A59&gt;=Inputs!$B$68,MIN((Inputs!$B$8+(Inputs!$B$9-Inputs!$B$8)*MAX(0,($I$6-SUM(D60:F60)/Inputs!$B$7)/$I$6))*IF(AND(Inputs!$B$68&gt;0,A59&lt;Inputs!$B$68+Inputs!$B$70),Inputs!$B$69,1),Inputs!$B$7-SUM(D60:F60)),0)</f>
        <v>2.82600453200707</v>
      </c>
      <c r="D60" s="31" t="n">
        <f aca="false">C59*(1-Inputs!$B$10)</f>
        <v>2.50357616623777</v>
      </c>
      <c r="E60" s="31" t="n">
        <f aca="false">D59*(1-Inputs!$B$11)</f>
        <v>2.36849540335806</v>
      </c>
      <c r="F60" s="31" t="n">
        <f aca="false">E59*(1-Inputs!$B$11)+F59*(1-Inputs!$B$12)</f>
        <v>54.1604421959798</v>
      </c>
      <c r="G60" s="31" t="n">
        <f aca="false">SUM(C60:F60)</f>
        <v>61.8585182975827</v>
      </c>
      <c r="H60" s="37" t="n">
        <f aca="false">G60/Inputs!$B$7</f>
        <v>0.883693118536895</v>
      </c>
      <c r="I60" s="28" t="n">
        <f aca="false">Result!$B$29+(G60-Residents!$B$189)*Occupancy!$B$11</f>
        <v>1491778.88951758</v>
      </c>
      <c r="J60" s="28" t="n">
        <f aca="false">($I$7-I60)/12</f>
        <v>3228.99655778025</v>
      </c>
      <c r="K60" s="28" t="n">
        <f aca="false">IF(AND(A60&gt;=$O$6,I60&lt;$I$7*0.995),($I$7-I60)/12,0)</f>
        <v>3228.99655778025</v>
      </c>
      <c r="L60" s="39" t="str">
        <f aca="false">IF(AND(A60&gt;=$O$6,H60&gt;=0.99*$H$11),A60,"")</f>
        <v/>
      </c>
    </row>
    <row r="61" customFormat="false" ht="15" hidden="false" customHeight="false" outlineLevel="0" collapsed="false">
      <c r="A61" s="39" t="n">
        <v>50</v>
      </c>
      <c r="B61" s="18" t="str">
        <f aca="false">IF(A61&gt;=Inputs!$B$68,"yes","no")</f>
        <v>yes</v>
      </c>
      <c r="C61" s="31" t="n">
        <f aca="false">IF(A60&gt;=Inputs!$B$68,MIN((Inputs!$B$8+(Inputs!$B$9-Inputs!$B$8)*MAX(0,($I$6-SUM(D61:F61)/Inputs!$B$7)/$I$6))*IF(AND(Inputs!$B$68&gt;0,A60&lt;Inputs!$B$68+Inputs!$B$70),Inputs!$B$69,1),Inputs!$B$7-SUM(D61:F61)),0)</f>
        <v>2.82332490727384</v>
      </c>
      <c r="D61" s="31" t="n">
        <f aca="false">C60*(1-Inputs!$B$10)</f>
        <v>2.50101401082625</v>
      </c>
      <c r="E61" s="31" t="n">
        <f aca="false">D60*(1-Inputs!$B$11)</f>
        <v>2.36587947709469</v>
      </c>
      <c r="F61" s="31" t="n">
        <f aca="false">E60*(1-Inputs!$B$11)+F60*(1-Inputs!$B$12)</f>
        <v>54.232252664314</v>
      </c>
      <c r="G61" s="31" t="n">
        <f aca="false">SUM(C61:F61)</f>
        <v>61.9224710595087</v>
      </c>
      <c r="H61" s="37" t="n">
        <f aca="false">G61/Inputs!$B$7</f>
        <v>0.884606729421553</v>
      </c>
      <c r="I61" s="28" t="n">
        <f aca="false">Result!$B$29+(G61-Residents!$B$189)*Occupancy!$B$11</f>
        <v>1494662.6928248</v>
      </c>
      <c r="J61" s="28" t="n">
        <f aca="false">($I$7-I61)/12</f>
        <v>2988.6796155123</v>
      </c>
      <c r="K61" s="28" t="n">
        <f aca="false">IF(AND(A61&gt;=$O$6,I61&lt;$I$7*0.995),($I$7-I61)/12,0)</f>
        <v>2988.6796155123</v>
      </c>
      <c r="L61" s="39" t="str">
        <f aca="false">IF(AND(A61&gt;=$O$6,H61&gt;=0.99*$H$11),A61,"")</f>
        <v/>
      </c>
    </row>
    <row r="62" customFormat="false" ht="15" hidden="false" customHeight="false" outlineLevel="0" collapsed="false">
      <c r="A62" s="39" t="n">
        <v>51</v>
      </c>
      <c r="B62" s="18" t="str">
        <f aca="false">IF(A62&gt;=Inputs!$B$68,"yes","no")</f>
        <v>yes</v>
      </c>
      <c r="C62" s="31" t="n">
        <f aca="false">IF(A61&gt;=Inputs!$B$68,MIN((Inputs!$B$8+(Inputs!$B$9-Inputs!$B$8)*MAX(0,($I$6-SUM(D62:F62)/Inputs!$B$7)/$I$6))*IF(AND(Inputs!$B$68&gt;0,A61&lt;Inputs!$B$68+Inputs!$B$70),Inputs!$B$69,1),Inputs!$B$7-SUM(D62:F62)),0)</f>
        <v>2.82084471267651</v>
      </c>
      <c r="D62" s="31" t="n">
        <f aca="false">C61*(1-Inputs!$B$10)</f>
        <v>2.49864254293735</v>
      </c>
      <c r="E62" s="31" t="n">
        <f aca="false">D61*(1-Inputs!$B$11)</f>
        <v>2.36345824023081</v>
      </c>
      <c r="F62" s="31" t="n">
        <f aca="false">E61*(1-Inputs!$B$11)+F61*(1-Inputs!$B$12)</f>
        <v>54.2987186635959</v>
      </c>
      <c r="G62" s="31" t="n">
        <f aca="false">SUM(C62:F62)</f>
        <v>61.9816641594405</v>
      </c>
      <c r="H62" s="37" t="n">
        <f aca="false">G62/Inputs!$B$7</f>
        <v>0.885452345134865</v>
      </c>
      <c r="I62" s="28" t="n">
        <f aca="false">Result!$B$29+(G62-Residents!$B$189)*Occupancy!$B$11</f>
        <v>1497331.87007699</v>
      </c>
      <c r="J62" s="28" t="n">
        <f aca="false">($I$7-I62)/12</f>
        <v>2766.24817782992</v>
      </c>
      <c r="K62" s="28" t="n">
        <f aca="false">IF(AND(A62&gt;=$O$6,I62&lt;$I$7*0.995),($I$7-I62)/12,0)</f>
        <v>2766.24817782992</v>
      </c>
      <c r="L62" s="39" t="str">
        <f aca="false">IF(AND(A62&gt;=$O$6,H62&gt;=0.99*$H$11),A62,"")</f>
        <v/>
      </c>
    </row>
    <row r="63" customFormat="false" ht="15" hidden="false" customHeight="false" outlineLevel="0" collapsed="false">
      <c r="A63" s="39" t="n">
        <v>52</v>
      </c>
      <c r="B63" s="18" t="str">
        <f aca="false">IF(A63&gt;=Inputs!$B$68,"yes","no")</f>
        <v>yes</v>
      </c>
      <c r="C63" s="31" t="n">
        <f aca="false">IF(A62&gt;=Inputs!$B$68,MIN((Inputs!$B$8+(Inputs!$B$9-Inputs!$B$8)*MAX(0,($I$6-SUM(D63:F63)/Inputs!$B$7)/$I$6))*IF(AND(Inputs!$B$68&gt;0,A62&lt;Inputs!$B$68+Inputs!$B$70),Inputs!$B$69,1),Inputs!$B$7-SUM(D63:F63)),0)</f>
        <v>2.81854910569678</v>
      </c>
      <c r="D63" s="31" t="n">
        <f aca="false">C62*(1-Inputs!$B$10)</f>
        <v>2.49644757071871</v>
      </c>
      <c r="E63" s="31" t="n">
        <f aca="false">D62*(1-Inputs!$B$11)</f>
        <v>2.3612172030758</v>
      </c>
      <c r="F63" s="31" t="n">
        <f aca="false">E62*(1-Inputs!$B$11)+F62*(1-Inputs!$B$12)</f>
        <v>54.3602379540702</v>
      </c>
      <c r="G63" s="31" t="n">
        <f aca="false">SUM(C63:F63)</f>
        <v>62.0364518335614</v>
      </c>
      <c r="H63" s="37" t="n">
        <f aca="false">G63/Inputs!$B$7</f>
        <v>0.886235026193735</v>
      </c>
      <c r="I63" s="28" t="n">
        <f aca="false">Result!$B$29+(G63-Residents!$B$189)*Occupancy!$B$11</f>
        <v>1499802.39474342</v>
      </c>
      <c r="J63" s="28" t="n">
        <f aca="false">($I$7-I63)/12</f>
        <v>2560.3711222943</v>
      </c>
      <c r="K63" s="28" t="n">
        <f aca="false">IF(AND(A63&gt;=$O$6,I63&lt;$I$7*0.995),($I$7-I63)/12,0)</f>
        <v>2560.3711222943</v>
      </c>
      <c r="L63" s="39" t="str">
        <f aca="false">IF(AND(A63&gt;=$O$6,H63&gt;=0.99*$H$11),A63,"")</f>
        <v/>
      </c>
    </row>
    <row r="64" customFormat="false" ht="15" hidden="false" customHeight="false" outlineLevel="0" collapsed="false">
      <c r="A64" s="39" t="n">
        <v>53</v>
      </c>
      <c r="B64" s="18" t="str">
        <f aca="false">IF(A64&gt;=Inputs!$B$68,"yes","no")</f>
        <v>yes</v>
      </c>
      <c r="C64" s="31" t="n">
        <f aca="false">IF(A63&gt;=Inputs!$B$68,MIN((Inputs!$B$8+(Inputs!$B$9-Inputs!$B$8)*MAX(0,($I$6-SUM(D64:F64)/Inputs!$B$7)/$I$6))*IF(AND(Inputs!$B$68&gt;0,A63&lt;Inputs!$B$68+Inputs!$B$70),Inputs!$B$69,1),Inputs!$B$7-SUM(D64:F64)),0)</f>
        <v>2.81642434846562</v>
      </c>
      <c r="D64" s="31" t="n">
        <f aca="false">C63*(1-Inputs!$B$10)</f>
        <v>2.49441595854165</v>
      </c>
      <c r="E64" s="31" t="n">
        <f aca="false">D63*(1-Inputs!$B$11)</f>
        <v>2.35914295432918</v>
      </c>
      <c r="F64" s="31" t="n">
        <f aca="false">E63*(1-Inputs!$B$11)+F63*(1-Inputs!$B$12)</f>
        <v>54.417178692814</v>
      </c>
      <c r="G64" s="31" t="n">
        <f aca="false">SUM(C64:F64)</f>
        <v>62.0871619541504</v>
      </c>
      <c r="H64" s="37" t="n">
        <f aca="false">G64/Inputs!$B$7</f>
        <v>0.886959456487863</v>
      </c>
      <c r="I64" s="28" t="n">
        <f aca="false">Result!$B$29+(G64-Residents!$B$189)*Occupancy!$B$11</f>
        <v>1502089.05147347</v>
      </c>
      <c r="J64" s="28" t="n">
        <f aca="false">($I$7-I64)/12</f>
        <v>2369.81639478977</v>
      </c>
      <c r="K64" s="28" t="n">
        <f aca="false">IF(AND(A64&gt;=$O$6,I64&lt;$I$7*0.995),($I$7-I64)/12,0)</f>
        <v>2369.81639478977</v>
      </c>
      <c r="L64" s="39" t="str">
        <f aca="false">IF(AND(A64&gt;=$O$6,H64&gt;=0.99*$H$11),A64,"")</f>
        <v/>
      </c>
    </row>
    <row r="65" customFormat="false" ht="15" hidden="false" customHeight="false" outlineLevel="0" collapsed="false">
      <c r="A65" s="39" t="n">
        <v>54</v>
      </c>
      <c r="B65" s="18" t="str">
        <f aca="false">IF(A65&gt;=Inputs!$B$68,"yes","no")</f>
        <v>yes</v>
      </c>
      <c r="C65" s="31" t="n">
        <f aca="false">IF(A64&gt;=Inputs!$B$68,MIN((Inputs!$B$8+(Inputs!$B$9-Inputs!$B$8)*MAX(0,($I$6-SUM(D65:F65)/Inputs!$B$7)/$I$6))*IF(AND(Inputs!$B$68&gt;0,A64&lt;Inputs!$B$68+Inputs!$B$70),Inputs!$B$69,1),Inputs!$B$7-SUM(D65:F65)),0)</f>
        <v>2.8144577255501</v>
      </c>
      <c r="D65" s="31" t="n">
        <f aca="false">C64*(1-Inputs!$B$10)</f>
        <v>2.49253554839208</v>
      </c>
      <c r="E65" s="31" t="n">
        <f aca="false">D64*(1-Inputs!$B$11)</f>
        <v>2.35722308082186</v>
      </c>
      <c r="F65" s="31" t="n">
        <f aca="false">E64*(1-Inputs!$B$11)+F64*(1-Inputs!$B$12)</f>
        <v>54.4698816369425</v>
      </c>
      <c r="G65" s="31" t="n">
        <f aca="false">SUM(C65:F65)</f>
        <v>62.1340979917065</v>
      </c>
      <c r="H65" s="37" t="n">
        <f aca="false">G65/Inputs!$B$7</f>
        <v>0.887629971310093</v>
      </c>
      <c r="I65" s="28" t="n">
        <f aca="false">Result!$B$29+(G65-Residents!$B$189)*Occupancy!$B$11</f>
        <v>1504205.52457417</v>
      </c>
      <c r="J65" s="28" t="n">
        <f aca="false">($I$7-I65)/12</f>
        <v>2193.44363639826</v>
      </c>
      <c r="K65" s="28" t="n">
        <f aca="false">IF(AND(A65&gt;=$O$6,I65&lt;$I$7*0.995),($I$7-I65)/12,0)</f>
        <v>2193.44363639826</v>
      </c>
      <c r="L65" s="39" t="n">
        <f aca="false">IF(AND(A65&gt;=$O$6,H65&gt;=0.99*$H$11),A65,"")</f>
        <v>54</v>
      </c>
    </row>
    <row r="66" customFormat="false" ht="15" hidden="false" customHeight="false" outlineLevel="0" collapsed="false">
      <c r="A66" s="39" t="n">
        <v>55</v>
      </c>
      <c r="B66" s="18" t="str">
        <f aca="false">IF(A66&gt;=Inputs!$B$68,"yes","no")</f>
        <v>yes</v>
      </c>
      <c r="C66" s="31" t="n">
        <f aca="false">IF(A65&gt;=Inputs!$B$68,MIN((Inputs!$B$8+(Inputs!$B$9-Inputs!$B$8)*MAX(0,($I$6-SUM(D66:F66)/Inputs!$B$7)/$I$6))*IF(AND(Inputs!$B$68&gt;0,A65&lt;Inputs!$B$68+Inputs!$B$70),Inputs!$B$69,1),Inputs!$B$7-SUM(D66:F66)),0)</f>
        <v>2.81263746785894</v>
      </c>
      <c r="D66" s="31" t="n">
        <f aca="false">C65*(1-Inputs!$B$10)</f>
        <v>2.49079508711184</v>
      </c>
      <c r="E66" s="31" t="n">
        <f aca="false">D65*(1-Inputs!$B$11)</f>
        <v>2.35544609323051</v>
      </c>
      <c r="F66" s="31" t="n">
        <f aca="false">E65*(1-Inputs!$B$11)+F65*(1-Inputs!$B$12)</f>
        <v>54.5186621828414</v>
      </c>
      <c r="G66" s="31" t="n">
        <f aca="false">SUM(C66:F66)</f>
        <v>62.1775408310427</v>
      </c>
      <c r="H66" s="37" t="n">
        <f aca="false">G66/Inputs!$B$7</f>
        <v>0.88825058330061</v>
      </c>
      <c r="I66" s="28" t="n">
        <f aca="false">Result!$B$29+(G66-Residents!$B$189)*Occupancy!$B$11</f>
        <v>1506164.47990275</v>
      </c>
      <c r="J66" s="28" t="n">
        <f aca="false">($I$7-I66)/12</f>
        <v>2030.19735901642</v>
      </c>
      <c r="K66" s="28" t="n">
        <f aca="false">IF(AND(A66&gt;=$O$6,I66&lt;$I$7*0.995),($I$7-I66)/12,0)</f>
        <v>2030.19735901642</v>
      </c>
      <c r="L66" s="39" t="n">
        <f aca="false">IF(AND(A66&gt;=$O$6,H66&gt;=0.99*$H$11),A66,"")</f>
        <v>55</v>
      </c>
    </row>
    <row r="67" customFormat="false" ht="15" hidden="false" customHeight="false" outlineLevel="0" collapsed="false">
      <c r="A67" s="39" t="n">
        <v>56</v>
      </c>
      <c r="B67" s="18" t="str">
        <f aca="false">IF(A67&gt;=Inputs!$B$68,"yes","no")</f>
        <v>yes</v>
      </c>
      <c r="C67" s="31" t="n">
        <f aca="false">IF(A66&gt;=Inputs!$B$68,MIN((Inputs!$B$8+(Inputs!$B$9-Inputs!$B$8)*MAX(0,($I$6-SUM(D67:F67)/Inputs!$B$7)/$I$6))*IF(AND(Inputs!$B$68&gt;0,A66&lt;Inputs!$B$68+Inputs!$B$70),Inputs!$B$69,1),Inputs!$B$7-SUM(D67:F67)),0)</f>
        <v>2.81095268221138</v>
      </c>
      <c r="D67" s="31" t="n">
        <f aca="false">C66*(1-Inputs!$B$10)</f>
        <v>2.48918415905516</v>
      </c>
      <c r="E67" s="31" t="n">
        <f aca="false">D66*(1-Inputs!$B$11)</f>
        <v>2.35380135732069</v>
      </c>
      <c r="F67" s="31" t="n">
        <f aca="false">E66*(1-Inputs!$B$11)+F66*(1-Inputs!$B$12)</f>
        <v>54.5638122536306</v>
      </c>
      <c r="G67" s="31" t="n">
        <f aca="false">SUM(C67:F67)</f>
        <v>62.2177504522178</v>
      </c>
      <c r="H67" s="37" t="n">
        <f aca="false">G67/Inputs!$B$7</f>
        <v>0.888825006460255</v>
      </c>
      <c r="I67" s="28" t="n">
        <f aca="false">Result!$B$29+(G67-Residents!$B$189)*Occupancy!$B$11</f>
        <v>1507977.64066445</v>
      </c>
      <c r="J67" s="28" t="n">
        <f aca="false">($I$7-I67)/12</f>
        <v>1879.10062887477</v>
      </c>
      <c r="K67" s="28" t="n">
        <f aca="false">IF(AND(A67&gt;=$O$6,I67&lt;$I$7*0.995),($I$7-I67)/12,0)</f>
        <v>1879.10062887477</v>
      </c>
      <c r="L67" s="39" t="n">
        <f aca="false">IF(AND(A67&gt;=$O$6,H67&gt;=0.99*$H$11),A67,"")</f>
        <v>56</v>
      </c>
    </row>
    <row r="68" customFormat="false" ht="15" hidden="false" customHeight="false" outlineLevel="0" collapsed="false">
      <c r="A68" s="39" t="n">
        <v>57</v>
      </c>
      <c r="B68" s="18" t="str">
        <f aca="false">IF(A68&gt;=Inputs!$B$68,"yes","no")</f>
        <v>yes</v>
      </c>
      <c r="C68" s="31" t="n">
        <f aca="false">IF(A67&gt;=Inputs!$B$68,MIN((Inputs!$B$8+(Inputs!$B$9-Inputs!$B$8)*MAX(0,($I$6-SUM(D68:F68)/Inputs!$B$7)/$I$6))*IF(AND(Inputs!$B$68&gt;0,A67&lt;Inputs!$B$68+Inputs!$B$70),Inputs!$B$69,1),Inputs!$B$7-SUM(D68:F68)),0)</f>
        <v>2.80939328614785</v>
      </c>
      <c r="D68" s="31" t="n">
        <f aca="false">C67*(1-Inputs!$B$10)</f>
        <v>2.48769312375707</v>
      </c>
      <c r="E68" s="31" t="n">
        <f aca="false">D67*(1-Inputs!$B$11)</f>
        <v>2.35227903030713</v>
      </c>
      <c r="F68" s="31" t="n">
        <f aca="false">E67*(1-Inputs!$B$11)+F67*(1-Inputs!$B$12)</f>
        <v>54.6056020461534</v>
      </c>
      <c r="G68" s="31" t="n">
        <f aca="false">SUM(C68:F68)</f>
        <v>62.2549674863655</v>
      </c>
      <c r="H68" s="37" t="n">
        <f aca="false">G68/Inputs!$B$7</f>
        <v>0.88935667837665</v>
      </c>
      <c r="I68" s="28" t="n">
        <f aca="false">Result!$B$29+(G68-Residents!$B$189)*Occupancy!$B$11</f>
        <v>1509655.85756904</v>
      </c>
      <c r="J68" s="28" t="n">
        <f aca="false">($I$7-I68)/12</f>
        <v>1739.24922015869</v>
      </c>
      <c r="K68" s="28" t="n">
        <f aca="false">IF(AND(A68&gt;=$O$6,I68&lt;$I$7*0.995),($I$7-I68)/12,0)</f>
        <v>1739.24922015869</v>
      </c>
      <c r="L68" s="39" t="n">
        <f aca="false">IF(AND(A68&gt;=$O$6,H68&gt;=0.99*$H$11),A68,"")</f>
        <v>57</v>
      </c>
    </row>
    <row r="69" customFormat="false" ht="15" hidden="false" customHeight="false" outlineLevel="0" collapsed="false">
      <c r="A69" s="39" t="n">
        <v>58</v>
      </c>
      <c r="B69" s="18" t="str">
        <f aca="false">IF(A69&gt;=Inputs!$B$68,"yes","no")</f>
        <v>yes</v>
      </c>
      <c r="C69" s="31" t="n">
        <f aca="false">IF(A68&gt;=Inputs!$B$68,MIN((Inputs!$B$8+(Inputs!$B$9-Inputs!$B$8)*MAX(0,($I$6-SUM(D69:F69)/Inputs!$B$7)/$I$6))*IF(AND(Inputs!$B$68&gt;0,A68&lt;Inputs!$B$68+Inputs!$B$70),Inputs!$B$69,1),Inputs!$B$7-SUM(D69:F69)),0)</f>
        <v>2.80794994759231</v>
      </c>
      <c r="D69" s="31" t="n">
        <f aca="false">C68*(1-Inputs!$B$10)</f>
        <v>2.48631305824085</v>
      </c>
      <c r="E69" s="31" t="n">
        <f aca="false">D68*(1-Inputs!$B$11)</f>
        <v>2.35087000195044</v>
      </c>
      <c r="F69" s="31" t="n">
        <f aca="false">E68*(1-Inputs!$B$11)+F68*(1-Inputs!$B$12)</f>
        <v>54.6442816479475</v>
      </c>
      <c r="G69" s="31" t="n">
        <f aca="false">SUM(C69:F69)</f>
        <v>62.2894146557311</v>
      </c>
      <c r="H69" s="37" t="n">
        <f aca="false">G69/Inputs!$B$7</f>
        <v>0.889848780796159</v>
      </c>
      <c r="I69" s="28" t="n">
        <f aca="false">Result!$B$29+(G69-Residents!$B$189)*Occupancy!$B$11</f>
        <v>1511209.17376602</v>
      </c>
      <c r="J69" s="28" t="n">
        <f aca="false">($I$7-I69)/12</f>
        <v>1609.80620374437</v>
      </c>
      <c r="K69" s="28" t="n">
        <f aca="false">IF(AND(A69&gt;=$O$6,I69&lt;$I$7*0.995),($I$7-I69)/12,0)</f>
        <v>1609.80620374437</v>
      </c>
      <c r="L69" s="39" t="n">
        <f aca="false">IF(AND(A69&gt;=$O$6,H69&gt;=0.99*$H$11),A69,"")</f>
        <v>58</v>
      </c>
    </row>
    <row r="70" customFormat="false" ht="15" hidden="false" customHeight="false" outlineLevel="0" collapsed="false">
      <c r="A70" s="39" t="n">
        <v>59</v>
      </c>
      <c r="B70" s="18" t="str">
        <f aca="false">IF(A70&gt;=Inputs!$B$68,"yes","no")</f>
        <v>yes</v>
      </c>
      <c r="C70" s="31" t="n">
        <f aca="false">IF(A69&gt;=Inputs!$B$68,MIN((Inputs!$B$8+(Inputs!$B$9-Inputs!$B$8)*MAX(0,($I$6-SUM(D70:F70)/Inputs!$B$7)/$I$6))*IF(AND(Inputs!$B$68&gt;0,A69&lt;Inputs!$B$68+Inputs!$B$70),Inputs!$B$69,1),Inputs!$B$7-SUM(D70:F70)),0)</f>
        <v>2.8066140290052</v>
      </c>
      <c r="D70" s="31" t="n">
        <f aca="false">C69*(1-Inputs!$B$10)</f>
        <v>2.48503570361919</v>
      </c>
      <c r="E70" s="31" t="n">
        <f aca="false">D69*(1-Inputs!$B$11)</f>
        <v>2.34956584003761</v>
      </c>
      <c r="F70" s="31" t="n">
        <f aca="false">E69*(1-Inputs!$B$11)+F69*(1-Inputs!$B$12)</f>
        <v>54.6800825338728</v>
      </c>
      <c r="G70" s="31" t="n">
        <f aca="false">SUM(C70:F70)</f>
        <v>62.3212981065348</v>
      </c>
      <c r="H70" s="37" t="n">
        <f aca="false">G70/Inputs!$B$7</f>
        <v>0.890304258664783</v>
      </c>
      <c r="I70" s="28" t="n">
        <f aca="false">Result!$B$29+(G70-Residents!$B$189)*Occupancy!$B$11</f>
        <v>1512646.88494695</v>
      </c>
      <c r="J70" s="28" t="n">
        <f aca="false">($I$7-I70)/12</f>
        <v>1489.9969386661</v>
      </c>
      <c r="K70" s="28" t="n">
        <f aca="false">IF(AND(A70&gt;=$O$6,I70&lt;$I$7*0.995),($I$7-I70)/12,0)</f>
        <v>1489.9969386661</v>
      </c>
      <c r="L70" s="39" t="n">
        <f aca="false">IF(AND(A70&gt;=$O$6,H70&gt;=0.99*$H$11),A70,"")</f>
        <v>59</v>
      </c>
    </row>
    <row r="71" customFormat="false" ht="15" hidden="false" customHeight="false" outlineLevel="0" collapsed="false">
      <c r="A71" s="39" t="n">
        <v>60</v>
      </c>
      <c r="B71" s="18" t="str">
        <f aca="false">IF(A71&gt;=Inputs!$B$68,"yes","no")</f>
        <v>yes</v>
      </c>
      <c r="C71" s="31" t="n">
        <f aca="false">IF(A70&gt;=Inputs!$B$68,MIN((Inputs!$B$8+(Inputs!$B$9-Inputs!$B$8)*MAX(0,($I$6-SUM(D71:F71)/Inputs!$B$7)/$I$6))*IF(AND(Inputs!$B$68&gt;0,A70&lt;Inputs!$B$68+Inputs!$B$70),Inputs!$B$69,1),Inputs!$B$7-SUM(D71:F71)),0)</f>
        <v>2.80537753569285</v>
      </c>
      <c r="D71" s="31" t="n">
        <f aca="false">C70*(1-Inputs!$B$10)</f>
        <v>2.4838534156696</v>
      </c>
      <c r="E71" s="31" t="n">
        <f aca="false">D70*(1-Inputs!$B$11)</f>
        <v>2.34835873992013</v>
      </c>
      <c r="F71" s="31" t="n">
        <f aca="false">E70*(1-Inputs!$B$11)+F70*(1-Inputs!$B$12)</f>
        <v>54.7132189513534</v>
      </c>
      <c r="G71" s="31" t="n">
        <f aca="false">SUM(C71:F71)</f>
        <v>62.350808642636</v>
      </c>
      <c r="H71" s="37" t="n">
        <f aca="false">G71/Inputs!$B$7</f>
        <v>0.890725837751943</v>
      </c>
      <c r="I71" s="28" t="n">
        <f aca="false">Result!$B$29+(G71-Residents!$B$189)*Occupancy!$B$11</f>
        <v>1513977.59497485</v>
      </c>
      <c r="J71" s="28" t="n">
        <f aca="false">($I$7-I71)/12</f>
        <v>1379.10443634177</v>
      </c>
      <c r="K71" s="28" t="n">
        <f aca="false">IF(AND(A71&gt;=$O$6,I71&lt;$I$7*0.995),($I$7-I71)/12,0)</f>
        <v>1379.10443634177</v>
      </c>
      <c r="L71" s="39" t="n">
        <f aca="false">IF(AND(A71&gt;=$O$6,H71&gt;=0.99*$H$11),A71,"")</f>
        <v>60</v>
      </c>
    </row>
    <row r="72" customFormat="false" ht="15" hidden="false" customHeight="false" outlineLevel="0" collapsed="false">
      <c r="A72" s="39" t="n">
        <v>61</v>
      </c>
      <c r="B72" s="18" t="str">
        <f aca="false">IF(A72&gt;=Inputs!$B$68,"yes","no")</f>
        <v>yes</v>
      </c>
      <c r="C72" s="31" t="n">
        <f aca="false">IF(A71&gt;=Inputs!$B$68,MIN((Inputs!$B$8+(Inputs!$B$9-Inputs!$B$8)*MAX(0,($I$6-SUM(D72:F72)/Inputs!$B$7)/$I$6))*IF(AND(Inputs!$B$68&gt;0,A71&lt;Inputs!$B$68+Inputs!$B$70),Inputs!$B$69,1),Inputs!$B$7-SUM(D72:F72)),0)</f>
        <v>2.80423306796388</v>
      </c>
      <c r="D72" s="31" t="n">
        <f aca="false">C71*(1-Inputs!$B$10)</f>
        <v>2.48275911908817</v>
      </c>
      <c r="E72" s="31" t="n">
        <f aca="false">D71*(1-Inputs!$B$11)</f>
        <v>2.34724147780777</v>
      </c>
      <c r="F72" s="31" t="n">
        <f aca="false">E71*(1-Inputs!$B$11)+F71*(1-Inputs!$B$12)</f>
        <v>54.7438892025238</v>
      </c>
      <c r="G72" s="31" t="n">
        <f aca="false">SUM(C72:F72)</f>
        <v>62.3781228673836</v>
      </c>
      <c r="H72" s="37" t="n">
        <f aca="false">G72/Inputs!$B$7</f>
        <v>0.891116040962623</v>
      </c>
      <c r="I72" s="28" t="n">
        <f aca="false">Result!$B$29+(G72-Residents!$B$189)*Occupancy!$B$11</f>
        <v>1515209.26737318</v>
      </c>
      <c r="J72" s="28" t="n">
        <f aca="false">($I$7-I72)/12</f>
        <v>1276.46506981435</v>
      </c>
      <c r="K72" s="28" t="n">
        <f aca="false">IF(AND(A72&gt;=$O$6,I72&lt;$I$7*0.995),($I$7-I72)/12,0)</f>
        <v>1276.46506981435</v>
      </c>
      <c r="L72" s="39" t="n">
        <f aca="false">IF(AND(A72&gt;=$O$6,H72&gt;=0.99*$H$11),A72,"")</f>
        <v>61</v>
      </c>
    </row>
    <row r="73" customFormat="false" ht="15" hidden="false" customHeight="false" outlineLevel="0" collapsed="false">
      <c r="A73" s="39" t="n">
        <v>62</v>
      </c>
      <c r="B73" s="18" t="str">
        <f aca="false">IF(A73&gt;=Inputs!$B$68,"yes","no")</f>
        <v>yes</v>
      </c>
      <c r="C73" s="31" t="n">
        <f aca="false">IF(A72&gt;=Inputs!$B$68,MIN((Inputs!$B$8+(Inputs!$B$9-Inputs!$B$8)*MAX(0,($I$6-SUM(D73:F73)/Inputs!$B$7)/$I$6))*IF(AND(Inputs!$B$68&gt;0,A72&lt;Inputs!$B$68+Inputs!$B$70),Inputs!$B$69,1),Inputs!$B$7-SUM(D73:F73)),0)</f>
        <v>2.80317377684636</v>
      </c>
      <c r="D73" s="31" t="n">
        <f aca="false">C72*(1-Inputs!$B$10)</f>
        <v>2.48174626514804</v>
      </c>
      <c r="E73" s="31" t="n">
        <f aca="false">D72*(1-Inputs!$B$11)</f>
        <v>2.34620736753832</v>
      </c>
      <c r="F73" s="31" t="n">
        <f aca="false">E72*(1-Inputs!$B$11)+F72*(1-Inputs!$B$12)</f>
        <v>54.7722768309512</v>
      </c>
      <c r="G73" s="31" t="n">
        <f aca="false">SUM(C73:F73)</f>
        <v>62.4034042404839</v>
      </c>
      <c r="H73" s="37" t="n">
        <f aca="false">G73/Inputs!$B$7</f>
        <v>0.891477203435484</v>
      </c>
      <c r="I73" s="28" t="n">
        <f aca="false">Result!$B$29+(G73-Residents!$B$189)*Occupancy!$B$11</f>
        <v>1516349.27298297</v>
      </c>
      <c r="J73" s="28" t="n">
        <f aca="false">($I$7-I73)/12</f>
        <v>1181.46460233151</v>
      </c>
      <c r="K73" s="28" t="n">
        <f aca="false">IF(AND(A73&gt;=$O$6,I73&lt;$I$7*0.995),($I$7-I73)/12,0)</f>
        <v>1181.46460233151</v>
      </c>
      <c r="L73" s="39" t="n">
        <f aca="false">IF(AND(A73&gt;=$O$6,H73&gt;=0.99*$H$11),A73,"")</f>
        <v>62</v>
      </c>
    </row>
    <row r="74" customFormat="false" ht="15" hidden="false" customHeight="false" outlineLevel="0" collapsed="false">
      <c r="A74" s="39" t="n">
        <v>63</v>
      </c>
      <c r="B74" s="18" t="str">
        <f aca="false">IF(A74&gt;=Inputs!$B$68,"yes","no")</f>
        <v>yes</v>
      </c>
      <c r="C74" s="31" t="n">
        <f aca="false">IF(A73&gt;=Inputs!$B$68,MIN((Inputs!$B$8+(Inputs!$B$9-Inputs!$B$8)*MAX(0,($I$6-SUM(D74:F74)/Inputs!$B$7)/$I$6))*IF(AND(Inputs!$B$68&gt;0,A73&lt;Inputs!$B$68+Inputs!$B$70),Inputs!$B$69,1),Inputs!$B$7-SUM(D74:F74)),0)</f>
        <v>2.80219332310069</v>
      </c>
      <c r="D74" s="31" t="n">
        <f aca="false">C73*(1-Inputs!$B$10)</f>
        <v>2.48080879250903</v>
      </c>
      <c r="E74" s="31" t="n">
        <f aca="false">D73*(1-Inputs!$B$11)</f>
        <v>2.3452502205649</v>
      </c>
      <c r="F74" s="31" t="n">
        <f aca="false">E73*(1-Inputs!$B$11)+F73*(1-Inputs!$B$12)</f>
        <v>54.7985517200368</v>
      </c>
      <c r="G74" s="31" t="n">
        <f aca="false">SUM(C74:F74)</f>
        <v>62.4268040562115</v>
      </c>
      <c r="H74" s="37" t="n">
        <f aca="false">G74/Inputs!$B$7</f>
        <v>0.891811486517307</v>
      </c>
      <c r="I74" s="28" t="n">
        <f aca="false">Result!$B$29+(G74-Residents!$B$189)*Occupancy!$B$11</f>
        <v>1517404.43407298</v>
      </c>
      <c r="J74" s="28" t="n">
        <f aca="false">($I$7-I74)/12</f>
        <v>1093.53451149693</v>
      </c>
      <c r="K74" s="28" t="n">
        <f aca="false">IF(AND(A74&gt;=$O$6,I74&lt;$I$7*0.995),($I$7-I74)/12,0)</f>
        <v>1093.53451149693</v>
      </c>
      <c r="L74" s="39" t="n">
        <f aca="false">IF(AND(A74&gt;=$O$6,H74&gt;=0.99*$H$11),A74,"")</f>
        <v>63</v>
      </c>
    </row>
    <row r="75" customFormat="false" ht="15" hidden="false" customHeight="false" outlineLevel="0" collapsed="false">
      <c r="A75" s="39" t="n">
        <v>64</v>
      </c>
      <c r="B75" s="18" t="str">
        <f aca="false">IF(A75&gt;=Inputs!$B$68,"yes","no")</f>
        <v>yes</v>
      </c>
      <c r="C75" s="31" t="n">
        <f aca="false">IF(A74&gt;=Inputs!$B$68,MIN((Inputs!$B$8+(Inputs!$B$9-Inputs!$B$8)*MAX(0,($I$6-SUM(D75:F75)/Inputs!$B$7)/$I$6))*IF(AND(Inputs!$B$68&gt;0,A74&lt;Inputs!$B$68+Inputs!$B$70),Inputs!$B$69,1),Inputs!$B$7-SUM(D75:F75)),0)</f>
        <v>2.80128583928297</v>
      </c>
      <c r="D75" s="31" t="n">
        <f aca="false">C74*(1-Inputs!$B$10)</f>
        <v>2.47994109094411</v>
      </c>
      <c r="E75" s="31" t="n">
        <f aca="false">D74*(1-Inputs!$B$11)</f>
        <v>2.34436430892103</v>
      </c>
      <c r="F75" s="31" t="n">
        <f aca="false">E74*(1-Inputs!$B$11)+F74*(1-Inputs!$B$12)</f>
        <v>54.8228711096692</v>
      </c>
      <c r="G75" s="31" t="n">
        <f aca="false">SUM(C75:F75)</f>
        <v>62.4484623488173</v>
      </c>
      <c r="H75" s="37" t="n">
        <f aca="false">G75/Inputs!$B$7</f>
        <v>0.89212089069739</v>
      </c>
      <c r="I75" s="28" t="n">
        <f aca="false">Result!$B$29+(G75-Residents!$B$189)*Occupancy!$B$11</f>
        <v>1518381.065167</v>
      </c>
      <c r="J75" s="28" t="n">
        <f aca="false">($I$7-I75)/12</f>
        <v>1012.14858699532</v>
      </c>
      <c r="K75" s="28" t="n">
        <f aca="false">IF(AND(A75&gt;=$O$6,I75&lt;$I$7*0.995),($I$7-I75)/12,0)</f>
        <v>1012.14858699532</v>
      </c>
      <c r="L75" s="39" t="n">
        <f aca="false">IF(AND(A75&gt;=$O$6,H75&gt;=0.99*$H$11),A75,"")</f>
        <v>64</v>
      </c>
    </row>
    <row r="76" customFormat="false" ht="15" hidden="false" customHeight="false" outlineLevel="0" collapsed="false">
      <c r="A76" s="39" t="n">
        <v>65</v>
      </c>
      <c r="B76" s="18" t="str">
        <f aca="false">IF(A76&gt;=Inputs!$B$68,"yes","no")</f>
        <v>yes</v>
      </c>
      <c r="C76" s="31" t="n">
        <f aca="false">IF(A75&gt;=Inputs!$B$68,MIN((Inputs!$B$8+(Inputs!$B$9-Inputs!$B$8)*MAX(0,($I$6-SUM(D76:F76)/Inputs!$B$7)/$I$6))*IF(AND(Inputs!$B$68&gt;0,A75&lt;Inputs!$B$68+Inputs!$B$70),Inputs!$B$69,1),Inputs!$B$7-SUM(D76:F76)),0)</f>
        <v>2.80044589463179</v>
      </c>
      <c r="D76" s="31" t="n">
        <f aca="false">C75*(1-Inputs!$B$10)</f>
        <v>2.47913796776543</v>
      </c>
      <c r="E76" s="31" t="n">
        <f aca="false">D75*(1-Inputs!$B$11)</f>
        <v>2.34354433094218</v>
      </c>
      <c r="F76" s="31" t="n">
        <f aca="false">E75*(1-Inputs!$B$11)+F75*(1-Inputs!$B$12)</f>
        <v>54.8453805372128</v>
      </c>
      <c r="G76" s="31" t="n">
        <f aca="false">SUM(C76:F76)</f>
        <v>62.4685087305522</v>
      </c>
      <c r="H76" s="37" t="n">
        <f aca="false">G76/Inputs!$B$7</f>
        <v>0.892407267579317</v>
      </c>
      <c r="I76" s="28" t="n">
        <f aca="false">Result!$B$29+(G76-Residents!$B$189)*Occupancy!$B$11</f>
        <v>1519285.01083258</v>
      </c>
      <c r="J76" s="28" t="n">
        <f aca="false">($I$7-I76)/12</f>
        <v>936.819781530532</v>
      </c>
      <c r="K76" s="28" t="n">
        <f aca="false">IF(AND(A76&gt;=$O$6,I76&lt;$I$7*0.995),($I$7-I76)/12,0)</f>
        <v>936.819781530532</v>
      </c>
      <c r="L76" s="39" t="n">
        <f aca="false">IF(AND(A76&gt;=$O$6,H76&gt;=0.99*$H$11),A76,"")</f>
        <v>65</v>
      </c>
    </row>
    <row r="77" customFormat="false" ht="15" hidden="false" customHeight="false" outlineLevel="0" collapsed="false">
      <c r="A77" s="39" t="n">
        <v>66</v>
      </c>
      <c r="B77" s="18" t="str">
        <f aca="false">IF(A77&gt;=Inputs!$B$68,"yes","no")</f>
        <v>yes</v>
      </c>
      <c r="C77" s="31" t="n">
        <f aca="false">IF(A76&gt;=Inputs!$B$68,MIN((Inputs!$B$8+(Inputs!$B$9-Inputs!$B$8)*MAX(0,($I$6-SUM(D77:F77)/Inputs!$B$7)/$I$6))*IF(AND(Inputs!$B$68&gt;0,A76&lt;Inputs!$B$68+Inputs!$B$70),Inputs!$B$69,1),Inputs!$B$7-SUM(D77:F77)),0)</f>
        <v>2.79966846256822</v>
      </c>
      <c r="D77" s="31" t="n">
        <f aca="false">C76*(1-Inputs!$B$10)</f>
        <v>2.47839461674913</v>
      </c>
      <c r="E77" s="31" t="n">
        <f aca="false">D76*(1-Inputs!$B$11)</f>
        <v>2.34278537953833</v>
      </c>
      <c r="F77" s="31" t="n">
        <f aca="false">E76*(1-Inputs!$B$11)+F76*(1-Inputs!$B$12)</f>
        <v>54.8662147084646</v>
      </c>
      <c r="G77" s="31" t="n">
        <f aca="false">SUM(C77:F77)</f>
        <v>62.4870631673203</v>
      </c>
      <c r="H77" s="37" t="n">
        <f aca="false">G77/Inputs!$B$7</f>
        <v>0.892672330961719</v>
      </c>
      <c r="I77" s="28" t="n">
        <f aca="false">Result!$B$29+(G77-Residents!$B$189)*Occupancy!$B$11</f>
        <v>1520121.68065737</v>
      </c>
      <c r="J77" s="28" t="n">
        <f aca="false">($I$7-I77)/12</f>
        <v>867.097296131426</v>
      </c>
      <c r="K77" s="28" t="n">
        <f aca="false">IF(AND(A77&gt;=$O$6,I77&lt;$I$7*0.995),($I$7-I77)/12,0)</f>
        <v>867.097296131426</v>
      </c>
      <c r="L77" s="39" t="n">
        <f aca="false">IF(AND(A77&gt;=$O$6,H77&gt;=0.99*$H$11),A77,"")</f>
        <v>66</v>
      </c>
    </row>
    <row r="78" customFormat="false" ht="15" hidden="false" customHeight="false" outlineLevel="0" collapsed="false">
      <c r="A78" s="39" t="n">
        <v>67</v>
      </c>
      <c r="B78" s="18" t="str">
        <f aca="false">IF(A78&gt;=Inputs!$B$68,"yes","no")</f>
        <v>yes</v>
      </c>
      <c r="C78" s="31" t="n">
        <f aca="false">IF(A77&gt;=Inputs!$B$68,MIN((Inputs!$B$8+(Inputs!$B$9-Inputs!$B$8)*MAX(0,($I$6-SUM(D78:F78)/Inputs!$B$7)/$I$6))*IF(AND(Inputs!$B$68&gt;0,A77&lt;Inputs!$B$68+Inputs!$B$70),Inputs!$B$69,1),Inputs!$B$7-SUM(D78:F78)),0)</f>
        <v>2.79894889061475</v>
      </c>
      <c r="D78" s="31" t="n">
        <f aca="false">C77*(1-Inputs!$B$10)</f>
        <v>2.47770658937287</v>
      </c>
      <c r="E78" s="31" t="n">
        <f aca="false">D77*(1-Inputs!$B$11)</f>
        <v>2.34208291282793</v>
      </c>
      <c r="F78" s="31" t="n">
        <f aca="false">E77*(1-Inputs!$B$11)+F77*(1-Inputs!$B$12)</f>
        <v>54.8854983037898</v>
      </c>
      <c r="G78" s="31" t="n">
        <f aca="false">SUM(C78:F78)</f>
        <v>62.5042366966053</v>
      </c>
      <c r="H78" s="37" t="n">
        <f aca="false">G78/Inputs!$B$7</f>
        <v>0.892917667094362</v>
      </c>
      <c r="I78" s="28" t="n">
        <f aca="false">Result!$B$29+(G78-Residents!$B$189)*Occupancy!$B$11</f>
        <v>1520896.08162235</v>
      </c>
      <c r="J78" s="28" t="n">
        <f aca="false">($I$7-I78)/12</f>
        <v>802.56388238313</v>
      </c>
      <c r="K78" s="28" t="n">
        <f aca="false">IF(AND(A78&gt;=$O$6,I78&lt;$I$7*0.995),($I$7-I78)/12,0)</f>
        <v>802.56388238313</v>
      </c>
      <c r="L78" s="39" t="n">
        <f aca="false">IF(AND(A78&gt;=$O$6,H78&gt;=0.99*$H$11),A78,"")</f>
        <v>67</v>
      </c>
    </row>
    <row r="79" customFormat="false" ht="15" hidden="false" customHeight="false" outlineLevel="0" collapsed="false">
      <c r="A79" s="39" t="n">
        <v>68</v>
      </c>
      <c r="B79" s="18" t="str">
        <f aca="false">IF(A79&gt;=Inputs!$B$68,"yes","no")</f>
        <v>yes</v>
      </c>
      <c r="C79" s="31" t="n">
        <f aca="false">IF(A78&gt;=Inputs!$B$68,MIN((Inputs!$B$8+(Inputs!$B$9-Inputs!$B$8)*MAX(0,($I$6-SUM(D79:F79)/Inputs!$B$7)/$I$6))*IF(AND(Inputs!$B$68&gt;0,A78&lt;Inputs!$B$68+Inputs!$B$70),Inputs!$B$69,1),Inputs!$B$7-SUM(D79:F79)),0)</f>
        <v>2.79828287255287</v>
      </c>
      <c r="D79" s="31" t="n">
        <f aca="false">C78*(1-Inputs!$B$10)</f>
        <v>2.47706976819405</v>
      </c>
      <c r="E79" s="31" t="n">
        <f aca="false">D78*(1-Inputs!$B$11)</f>
        <v>2.34143272695737</v>
      </c>
      <c r="F79" s="31" t="n">
        <f aca="false">E78*(1-Inputs!$B$11)+F78*(1-Inputs!$B$12)</f>
        <v>54.9033467242606</v>
      </c>
      <c r="G79" s="31" t="n">
        <f aca="false">SUM(C79:F79)</f>
        <v>62.5201320919649</v>
      </c>
      <c r="H79" s="37" t="n">
        <f aca="false">G79/Inputs!$B$7</f>
        <v>0.893144744170927</v>
      </c>
      <c r="I79" s="28" t="n">
        <f aca="false">Result!$B$29+(G79-Residents!$B$189)*Occupancy!$B$11</f>
        <v>1521612.84806569</v>
      </c>
      <c r="J79" s="28" t="n">
        <f aca="false">($I$7-I79)/12</f>
        <v>742.833345438373</v>
      </c>
      <c r="K79" s="28" t="n">
        <f aca="false">IF(AND(A79&gt;=$O$6,I79&lt;$I$7*0.995),($I$7-I79)/12,0)</f>
        <v>742.833345438373</v>
      </c>
      <c r="L79" s="39" t="n">
        <f aca="false">IF(AND(A79&gt;=$O$6,H79&gt;=0.99*$H$11),A79,"")</f>
        <v>68</v>
      </c>
    </row>
    <row r="80" customFormat="false" ht="15" hidden="false" customHeight="false" outlineLevel="0" collapsed="false">
      <c r="A80" s="39" t="n">
        <v>69</v>
      </c>
      <c r="B80" s="18" t="str">
        <f aca="false">IF(A80&gt;=Inputs!$B$68,"yes","no")</f>
        <v>yes</v>
      </c>
      <c r="C80" s="31" t="n">
        <f aca="false">IF(A79&gt;=Inputs!$B$68,MIN((Inputs!$B$8+(Inputs!$B$9-Inputs!$B$8)*MAX(0,($I$6-SUM(D80:F80)/Inputs!$B$7)/$I$6))*IF(AND(Inputs!$B$68&gt;0,A79&lt;Inputs!$B$68+Inputs!$B$70),Inputs!$B$69,1),Inputs!$B$7-SUM(D80:F80)),0)</f>
        <v>2.79766642265288</v>
      </c>
      <c r="D80" s="31" t="n">
        <f aca="false">C79*(1-Inputs!$B$10)</f>
        <v>2.47648034220929</v>
      </c>
      <c r="E80" s="31" t="n">
        <f aca="false">D79*(1-Inputs!$B$11)</f>
        <v>2.34083093094338</v>
      </c>
      <c r="F80" s="31" t="n">
        <f aca="false">E79*(1-Inputs!$B$11)+F79*(1-Inputs!$B$12)</f>
        <v>54.9198667822649</v>
      </c>
      <c r="G80" s="31" t="n">
        <f aca="false">SUM(C80:F80)</f>
        <v>62.5348444780704</v>
      </c>
      <c r="H80" s="37" t="n">
        <f aca="false">G80/Inputs!$B$7</f>
        <v>0.893354921115292</v>
      </c>
      <c r="I80" s="28" t="n">
        <f aca="false">Result!$B$29+(G80-Residents!$B$189)*Occupancy!$B$11</f>
        <v>1522276.26941655</v>
      </c>
      <c r="J80" s="28" t="n">
        <f aca="false">($I$7-I80)/12</f>
        <v>687.548232866703</v>
      </c>
      <c r="K80" s="28" t="n">
        <f aca="false">IF(AND(A80&gt;=$O$6,I80&lt;$I$7*0.995),($I$7-I80)/12,0)</f>
        <v>687.548232866703</v>
      </c>
      <c r="L80" s="39" t="n">
        <f aca="false">IF(AND(A80&gt;=$O$6,H80&gt;=0.99*$H$11),A80,"")</f>
        <v>69</v>
      </c>
    </row>
    <row r="81" customFormat="false" ht="15" hidden="false" customHeight="false" outlineLevel="0" collapsed="false">
      <c r="A81" s="39" t="n">
        <v>70</v>
      </c>
      <c r="B81" s="18" t="str">
        <f aca="false">IF(A81&gt;=Inputs!$B$68,"yes","no")</f>
        <v>yes</v>
      </c>
      <c r="C81" s="31" t="n">
        <f aca="false">IF(A80&gt;=Inputs!$B$68,MIN((Inputs!$B$8+(Inputs!$B$9-Inputs!$B$8)*MAX(0,($I$6-SUM(D81:F81)/Inputs!$B$7)/$I$6))*IF(AND(Inputs!$B$68&gt;0,A80&lt;Inputs!$B$68+Inputs!$B$70),Inputs!$B$69,1),Inputs!$B$7-SUM(D81:F81)),0)</f>
        <v>2.79709585182163</v>
      </c>
      <c r="D81" s="31" t="n">
        <f aca="false">C80*(1-Inputs!$B$10)</f>
        <v>2.4759347840478</v>
      </c>
      <c r="E81" s="31" t="n">
        <f aca="false">D80*(1-Inputs!$B$11)</f>
        <v>2.34027392338778</v>
      </c>
      <c r="F81" s="31" t="n">
        <f aca="false">E80*(1-Inputs!$B$11)+F80*(1-Inputs!$B$12)</f>
        <v>54.9351573407158</v>
      </c>
      <c r="G81" s="31" t="n">
        <f aca="false">SUM(C81:F81)</f>
        <v>62.548461899973</v>
      </c>
      <c r="H81" s="37" t="n">
        <f aca="false">G81/Inputs!$B$7</f>
        <v>0.8935494557139</v>
      </c>
      <c r="I81" s="28" t="n">
        <f aca="false">Result!$B$29+(G81-Residents!$B$189)*Occupancy!$B$11</f>
        <v>1522890.31586483</v>
      </c>
      <c r="J81" s="28" t="n">
        <f aca="false">($I$7-I81)/12</f>
        <v>636.377695510086</v>
      </c>
      <c r="K81" s="28" t="n">
        <f aca="false">IF(AND(A81&gt;=$O$6,I81&lt;$I$7*0.995),($I$7-I81)/12,0)</f>
        <v>0</v>
      </c>
      <c r="L81" s="39" t="n">
        <f aca="false">IF(AND(A81&gt;=$O$6,H81&gt;=0.99*$H$11),A81,"")</f>
        <v>70</v>
      </c>
    </row>
    <row r="82" customFormat="false" ht="15" hidden="false" customHeight="false" outlineLevel="0" collapsed="false">
      <c r="A82" s="39" t="n">
        <v>71</v>
      </c>
      <c r="B82" s="18" t="str">
        <f aca="false">IF(A82&gt;=Inputs!$B$68,"yes","no")</f>
        <v>yes</v>
      </c>
      <c r="C82" s="31" t="n">
        <f aca="false">IF(A81&gt;=Inputs!$B$68,MIN((Inputs!$B$8+(Inputs!$B$9-Inputs!$B$8)*MAX(0,($I$6-SUM(D82:F82)/Inputs!$B$7)/$I$6))*IF(AND(Inputs!$B$68&gt;0,A81&lt;Inputs!$B$68+Inputs!$B$70),Inputs!$B$69,1),Inputs!$B$7-SUM(D82:F82)),0)</f>
        <v>2.79656774552544</v>
      </c>
      <c r="D82" s="31" t="n">
        <f aca="false">C81*(1-Inputs!$B$10)</f>
        <v>2.47542982886215</v>
      </c>
      <c r="E82" s="31" t="n">
        <f aca="false">D81*(1-Inputs!$B$11)</f>
        <v>2.33975837092517</v>
      </c>
      <c r="F82" s="31" t="n">
        <f aca="false">E81*(1-Inputs!$B$11)+F81*(1-Inputs!$B$12)</f>
        <v>54.9493099046886</v>
      </c>
      <c r="G82" s="31" t="n">
        <f aca="false">SUM(C82:F82)</f>
        <v>62.5610658500013</v>
      </c>
      <c r="H82" s="37" t="n">
        <f aca="false">G82/Inputs!$B$7</f>
        <v>0.893729512142876</v>
      </c>
      <c r="I82" s="28" t="n">
        <f aca="false">Result!$B$29+(G82-Residents!$B$189)*Occupancy!$B$11</f>
        <v>1523458.66212042</v>
      </c>
      <c r="J82" s="28" t="n">
        <f aca="false">($I$7-I82)/12</f>
        <v>589.015507543654</v>
      </c>
      <c r="K82" s="28" t="n">
        <f aca="false">IF(AND(A82&gt;=$O$6,I82&lt;$I$7*0.995),($I$7-I82)/12,0)</f>
        <v>0</v>
      </c>
      <c r="L82" s="39" t="n">
        <f aca="false">IF(AND(A82&gt;=$O$6,H82&gt;=0.99*$H$11),A82,"")</f>
        <v>71</v>
      </c>
    </row>
    <row r="83" customFormat="false" ht="15" hidden="false" customHeight="false" outlineLevel="0" collapsed="false">
      <c r="A83" s="39" t="n">
        <v>72</v>
      </c>
      <c r="B83" s="18" t="str">
        <f aca="false">IF(A83&gt;=Inputs!$B$68,"yes","no")</f>
        <v>yes</v>
      </c>
      <c r="C83" s="31" t="n">
        <f aca="false">IF(A82&gt;=Inputs!$B$68,MIN((Inputs!$B$8+(Inputs!$B$9-Inputs!$B$8)*MAX(0,($I$6-SUM(D83:F83)/Inputs!$B$7)/$I$6))*IF(AND(Inputs!$B$68&gt;0,A82&lt;Inputs!$B$68+Inputs!$B$70),Inputs!$B$69,1),Inputs!$B$7-SUM(D83:F83)),0)</f>
        <v>2.79607894335609</v>
      </c>
      <c r="D83" s="31" t="n">
        <f aca="false">C82*(1-Inputs!$B$10)</f>
        <v>2.47496245479001</v>
      </c>
      <c r="E83" s="31" t="n">
        <f aca="false">D82*(1-Inputs!$B$11)</f>
        <v>2.33928118827473</v>
      </c>
      <c r="F83" s="31" t="n">
        <f aca="false">E82*(1-Inputs!$B$11)+F82*(1-Inputs!$B$12)</f>
        <v>54.9624091690253</v>
      </c>
      <c r="G83" s="31" t="n">
        <f aca="false">SUM(C83:F83)</f>
        <v>62.5727317554462</v>
      </c>
      <c r="H83" s="37" t="n">
        <f aca="false">G83/Inputs!$B$7</f>
        <v>0.893896167934945</v>
      </c>
      <c r="I83" s="28" t="n">
        <f aca="false">Result!$B$29+(G83-Residents!$B$189)*Occupancy!$B$11</f>
        <v>1523984.70940423</v>
      </c>
      <c r="J83" s="28" t="n">
        <f aca="false">($I$7-I83)/12</f>
        <v>545.178233892735</v>
      </c>
      <c r="K83" s="28" t="n">
        <f aca="false">IF(AND(A83&gt;=$O$6,I83&lt;$I$7*0.995),($I$7-I83)/12,0)</f>
        <v>0</v>
      </c>
      <c r="L83" s="39" t="n">
        <f aca="false">IF(AND(A83&gt;=$O$6,H83&gt;=0.99*$H$11),A83,"")</f>
        <v>72</v>
      </c>
    </row>
    <row r="84" customFormat="false" ht="15" hidden="false" customHeight="false" outlineLevel="0" collapsed="false">
      <c r="A84" s="39" t="n">
        <v>73</v>
      </c>
      <c r="B84" s="18" t="str">
        <f aca="false">IF(A84&gt;=Inputs!$B$68,"yes","no")</f>
        <v>yes</v>
      </c>
      <c r="C84" s="31" t="n">
        <f aca="false">IF(A83&gt;=Inputs!$B$68,MIN((Inputs!$B$8+(Inputs!$B$9-Inputs!$B$8)*MAX(0,($I$6-SUM(D84:F84)/Inputs!$B$7)/$I$6))*IF(AND(Inputs!$B$68&gt;0,A83&lt;Inputs!$B$68+Inputs!$B$70),Inputs!$B$69,1),Inputs!$B$7-SUM(D84:F84)),0)</f>
        <v>2.79562652011766</v>
      </c>
      <c r="D84" s="31" t="n">
        <f aca="false">C83*(1-Inputs!$B$10)</f>
        <v>2.47452986487014</v>
      </c>
      <c r="E84" s="31" t="n">
        <f aca="false">D83*(1-Inputs!$B$11)</f>
        <v>2.33883951977656</v>
      </c>
      <c r="F84" s="31" t="n">
        <f aca="false">E83*(1-Inputs!$B$11)+F83*(1-Inputs!$B$12)</f>
        <v>54.9745335251839</v>
      </c>
      <c r="G84" s="31" t="n">
        <f aca="false">SUM(C84:F84)</f>
        <v>62.5835294299483</v>
      </c>
      <c r="H84" s="37" t="n">
        <f aca="false">G84/Inputs!$B$7</f>
        <v>0.894050420427833</v>
      </c>
      <c r="I84" s="28" t="n">
        <f aca="false">Result!$B$29+(G84-Residents!$B$189)*Occupancy!$B$11</f>
        <v>1524471.60580248</v>
      </c>
      <c r="J84" s="28" t="n">
        <f aca="false">($I$7-I84)/12</f>
        <v>504.603534039149</v>
      </c>
      <c r="K84" s="28" t="n">
        <f aca="false">IF(AND(A84&gt;=$O$6,I84&lt;$I$7*0.995),($I$7-I84)/12,0)</f>
        <v>0</v>
      </c>
      <c r="L84" s="39" t="n">
        <f aca="false">IF(AND(A84&gt;=$O$6,H84&gt;=0.99*$H$11),A84,"")</f>
        <v>73</v>
      </c>
    </row>
    <row r="85" customFormat="false" ht="15" hidden="false" customHeight="false" outlineLevel="0" collapsed="false">
      <c r="A85" s="39" t="n">
        <v>74</v>
      </c>
      <c r="B85" s="18" t="str">
        <f aca="false">IF(A85&gt;=Inputs!$B$68,"yes","no")</f>
        <v>yes</v>
      </c>
      <c r="C85" s="31" t="n">
        <f aca="false">IF(A84&gt;=Inputs!$B$68,MIN((Inputs!$B$8+(Inputs!$B$9-Inputs!$B$8)*MAX(0,($I$6-SUM(D85:F85)/Inputs!$B$7)/$I$6))*IF(AND(Inputs!$B$68&gt;0,A84&lt;Inputs!$B$68+Inputs!$B$70),Inputs!$B$69,1),Inputs!$B$7-SUM(D85:F85)),0)</f>
        <v>2.7952077683209</v>
      </c>
      <c r="D85" s="31" t="n">
        <f aca="false">C84*(1-Inputs!$B$10)</f>
        <v>2.47412947030413</v>
      </c>
      <c r="E85" s="31" t="n">
        <f aca="false">D84*(1-Inputs!$B$11)</f>
        <v>2.33843072230228</v>
      </c>
      <c r="F85" s="31" t="n">
        <f aca="false">E84*(1-Inputs!$B$11)+F84*(1-Inputs!$B$12)</f>
        <v>54.9857555303654</v>
      </c>
      <c r="G85" s="31" t="n">
        <f aca="false">SUM(C85:F85)</f>
        <v>62.5935234912927</v>
      </c>
      <c r="H85" s="37" t="n">
        <f aca="false">G85/Inputs!$B$7</f>
        <v>0.894193192732753</v>
      </c>
      <c r="I85" s="28" t="n">
        <f aca="false">Result!$B$29+(G85-Residents!$B$189)*Occupancy!$B$11</f>
        <v>1524922.26510615</v>
      </c>
      <c r="J85" s="28" t="n">
        <f aca="false">($I$7-I85)/12</f>
        <v>467.048592066354</v>
      </c>
      <c r="K85" s="28" t="n">
        <f aca="false">IF(AND(A85&gt;=$O$6,I85&lt;$I$7*0.995),($I$7-I85)/12,0)</f>
        <v>0</v>
      </c>
      <c r="L85" s="39" t="n">
        <f aca="false">IF(AND(A85&gt;=$O$6,H85&gt;=0.99*$H$11),A85,"")</f>
        <v>74</v>
      </c>
    </row>
    <row r="86" customFormat="false" ht="15" hidden="false" customHeight="false" outlineLevel="0" collapsed="false">
      <c r="A86" s="39" t="n">
        <v>75</v>
      </c>
      <c r="B86" s="18" t="str">
        <f aca="false">IF(A86&gt;=Inputs!$B$68,"yes","no")</f>
        <v>yes</v>
      </c>
      <c r="C86" s="31" t="n">
        <f aca="false">IF(A85&gt;=Inputs!$B$68,MIN((Inputs!$B$8+(Inputs!$B$9-Inputs!$B$8)*MAX(0,($I$6-SUM(D86:F86)/Inputs!$B$7)/$I$6))*IF(AND(Inputs!$B$68&gt;0,A85&lt;Inputs!$B$68+Inputs!$B$70),Inputs!$B$69,1),Inputs!$B$7-SUM(D86:F86)),0)</f>
        <v>2.79482018198053</v>
      </c>
      <c r="D86" s="31" t="n">
        <f aca="false">C85*(1-Inputs!$B$10)</f>
        <v>2.473758874964</v>
      </c>
      <c r="E86" s="31" t="n">
        <f aca="false">D85*(1-Inputs!$B$11)</f>
        <v>2.3380523494374</v>
      </c>
      <c r="F86" s="31" t="n">
        <f aca="false">E85*(1-Inputs!$B$11)+F85*(1-Inputs!$B$12)</f>
        <v>54.9961423417265</v>
      </c>
      <c r="G86" s="31" t="n">
        <f aca="false">SUM(C86:F86)</f>
        <v>62.6027737481084</v>
      </c>
      <c r="H86" s="37" t="n">
        <f aca="false">G86/Inputs!$B$7</f>
        <v>0.894325339258691</v>
      </c>
      <c r="I86" s="28" t="n">
        <f aca="false">Result!$B$29+(G86-Residents!$B$189)*Occupancy!$B$11</f>
        <v>1525339.38424838</v>
      </c>
      <c r="J86" s="28" t="n">
        <f aca="false">($I$7-I86)/12</f>
        <v>432.288663547525</v>
      </c>
      <c r="K86" s="28" t="n">
        <f aca="false">IF(AND(A86&gt;=$O$6,I86&lt;$I$7*0.995),($I$7-I86)/12,0)</f>
        <v>0</v>
      </c>
      <c r="L86" s="39" t="n">
        <f aca="false">IF(AND(A86&gt;=$O$6,H86&gt;=0.99*$H$11),A86,"")</f>
        <v>75</v>
      </c>
    </row>
    <row r="87" customFormat="false" ht="15" hidden="false" customHeight="false" outlineLevel="0" collapsed="false">
      <c r="A87" s="39" t="n">
        <v>76</v>
      </c>
      <c r="B87" s="18" t="str">
        <f aca="false">IF(A87&gt;=Inputs!$B$68,"yes","no")</f>
        <v>yes</v>
      </c>
      <c r="C87" s="31" t="n">
        <f aca="false">IF(A86&gt;=Inputs!$B$68,MIN((Inputs!$B$8+(Inputs!$B$9-Inputs!$B$8)*MAX(0,($I$6-SUM(D87:F87)/Inputs!$B$7)/$I$6))*IF(AND(Inputs!$B$68&gt;0,A86&lt;Inputs!$B$68+Inputs!$B$70),Inputs!$B$69,1),Inputs!$B$7-SUM(D87:F87)),0)</f>
        <v>2.79446144161831</v>
      </c>
      <c r="D87" s="31" t="n">
        <f aca="false">C86*(1-Inputs!$B$10)</f>
        <v>2.47341586105277</v>
      </c>
      <c r="E87" s="31" t="n">
        <f aca="false">D86*(1-Inputs!$B$11)</f>
        <v>2.33770213684098</v>
      </c>
      <c r="F87" s="31" t="n">
        <f aca="false">E86*(1-Inputs!$B$11)+F86*(1-Inputs!$B$12)</f>
        <v>55.0057561182757</v>
      </c>
      <c r="G87" s="31" t="n">
        <f aca="false">SUM(C87:F87)</f>
        <v>62.6113355577878</v>
      </c>
      <c r="H87" s="37" t="n">
        <f aca="false">G87/Inputs!$B$7</f>
        <v>0.89444765082554</v>
      </c>
      <c r="I87" s="28" t="n">
        <f aca="false">Result!$B$29+(G87-Residents!$B$189)*Occupancy!$B$11</f>
        <v>1525725.45944397</v>
      </c>
      <c r="J87" s="28" t="n">
        <f aca="false">($I$7-I87)/12</f>
        <v>400.115730581553</v>
      </c>
      <c r="K87" s="28" t="n">
        <f aca="false">IF(AND(A87&gt;=$O$6,I87&lt;$I$7*0.995),($I$7-I87)/12,0)</f>
        <v>0</v>
      </c>
      <c r="L87" s="39" t="n">
        <f aca="false">IF(AND(A87&gt;=$O$6,H87&gt;=0.99*$H$11),A87,"")</f>
        <v>76</v>
      </c>
    </row>
    <row r="88" customFormat="false" ht="15" hidden="false" customHeight="false" outlineLevel="0" collapsed="false">
      <c r="A88" s="39" t="n">
        <v>77</v>
      </c>
      <c r="B88" s="18" t="str">
        <f aca="false">IF(A88&gt;=Inputs!$B$68,"yes","no")</f>
        <v>yes</v>
      </c>
      <c r="C88" s="31" t="n">
        <f aca="false">IF(A87&gt;=Inputs!$B$68,MIN((Inputs!$B$8+(Inputs!$B$9-Inputs!$B$8)*MAX(0,($I$6-SUM(D88:F88)/Inputs!$B$7)/$I$6))*IF(AND(Inputs!$B$68&gt;0,A87&lt;Inputs!$B$68+Inputs!$B$70),Inputs!$B$69,1),Inputs!$B$7-SUM(D88:F88)),0)</f>
        <v>2.79412940038239</v>
      </c>
      <c r="D88" s="31" t="n">
        <f aca="false">C87*(1-Inputs!$B$10)</f>
        <v>2.4730983758322</v>
      </c>
      <c r="E88" s="31" t="n">
        <f aca="false">D87*(1-Inputs!$B$11)</f>
        <v>2.33737798869486</v>
      </c>
      <c r="F88" s="31" t="n">
        <f aca="false">E87*(1-Inputs!$B$11)+F87*(1-Inputs!$B$12)</f>
        <v>55.0146543928594</v>
      </c>
      <c r="G88" s="31" t="n">
        <f aca="false">SUM(C88:F88)</f>
        <v>62.6192601577689</v>
      </c>
      <c r="H88" s="37" t="n">
        <f aca="false">G88/Inputs!$B$7</f>
        <v>0.894560859396699</v>
      </c>
      <c r="I88" s="28" t="n">
        <f aca="false">Result!$B$29+(G88-Residents!$B$189)*Occupancy!$B$11</f>
        <v>1526082.80112782</v>
      </c>
      <c r="J88" s="28" t="n">
        <f aca="false">($I$7-I88)/12</f>
        <v>370.337256926946</v>
      </c>
      <c r="K88" s="28" t="n">
        <f aca="false">IF(AND(A88&gt;=$O$6,I88&lt;$I$7*0.995),($I$7-I88)/12,0)</f>
        <v>0</v>
      </c>
      <c r="L88" s="39" t="n">
        <f aca="false">IF(AND(A88&gt;=$O$6,H88&gt;=0.99*$H$11),A88,"")</f>
        <v>77</v>
      </c>
    </row>
    <row r="89" customFormat="false" ht="15" hidden="false" customHeight="false" outlineLevel="0" collapsed="false">
      <c r="A89" s="39" t="n">
        <v>78</v>
      </c>
      <c r="B89" s="18" t="str">
        <f aca="false">IF(A89&gt;=Inputs!$B$68,"yes","no")</f>
        <v>yes</v>
      </c>
      <c r="C89" s="31" t="n">
        <f aca="false">IF(A88&gt;=Inputs!$B$68,MIN((Inputs!$B$8+(Inputs!$B$9-Inputs!$B$8)*MAX(0,($I$6-SUM(D89:F89)/Inputs!$B$7)/$I$6))*IF(AND(Inputs!$B$68&gt;0,A88&lt;Inputs!$B$68+Inputs!$B$70),Inputs!$B$69,1),Inputs!$B$7-SUM(D89:F89)),0)</f>
        <v>2.79382207119961</v>
      </c>
      <c r="D89" s="31" t="n">
        <f aca="false">C88*(1-Inputs!$B$10)</f>
        <v>2.47280451933842</v>
      </c>
      <c r="E89" s="31" t="n">
        <f aca="false">D88*(1-Inputs!$B$11)</f>
        <v>2.33707796516143</v>
      </c>
      <c r="F89" s="31" t="n">
        <f aca="false">E88*(1-Inputs!$B$11)+F88*(1-Inputs!$B$12)</f>
        <v>55.0228904164617</v>
      </c>
      <c r="G89" s="31" t="n">
        <f aca="false">SUM(C89:F89)</f>
        <v>62.6265949721612</v>
      </c>
      <c r="H89" s="37" t="n">
        <f aca="false">G89/Inputs!$B$7</f>
        <v>0.894665642459445</v>
      </c>
      <c r="I89" s="28" t="n">
        <f aca="false">Result!$B$29+(G89-Residents!$B$189)*Occupancy!$B$11</f>
        <v>1526413.54778153</v>
      </c>
      <c r="J89" s="28" t="n">
        <f aca="false">($I$7-I89)/12</f>
        <v>342.775035784871</v>
      </c>
      <c r="K89" s="28" t="n">
        <f aca="false">IF(AND(A89&gt;=$O$6,I89&lt;$I$7*0.995),($I$7-I89)/12,0)</f>
        <v>0</v>
      </c>
      <c r="L89" s="39" t="n">
        <f aca="false">IF(AND(A89&gt;=$O$6,H89&gt;=0.99*$H$11),A89,"")</f>
        <v>78</v>
      </c>
    </row>
    <row r="90" customFormat="false" ht="15" hidden="false" customHeight="false" outlineLevel="0" collapsed="false">
      <c r="A90" s="39" t="n">
        <v>79</v>
      </c>
      <c r="B90" s="18" t="str">
        <f aca="false">IF(A90&gt;=Inputs!$B$68,"yes","no")</f>
        <v>yes</v>
      </c>
      <c r="C90" s="31" t="n">
        <f aca="false">IF(A89&gt;=Inputs!$B$68,MIN((Inputs!$B$8+(Inputs!$B$9-Inputs!$B$8)*MAX(0,($I$6-SUM(D90:F90)/Inputs!$B$7)/$I$6))*IF(AND(Inputs!$B$68&gt;0,A89&lt;Inputs!$B$68+Inputs!$B$70),Inputs!$B$69,1),Inputs!$B$7-SUM(D90:F90)),0)</f>
        <v>2.79353761488404</v>
      </c>
      <c r="D90" s="31" t="n">
        <f aca="false">C89*(1-Inputs!$B$10)</f>
        <v>2.47253253301166</v>
      </c>
      <c r="E90" s="31" t="n">
        <f aca="false">D89*(1-Inputs!$B$11)</f>
        <v>2.3368002707748</v>
      </c>
      <c r="F90" s="31" t="n">
        <f aca="false">E89*(1-Inputs!$B$11)+F89*(1-Inputs!$B$12)</f>
        <v>55.0305134768808</v>
      </c>
      <c r="G90" s="31" t="n">
        <f aca="false">SUM(C90:F90)</f>
        <v>62.6333838955513</v>
      </c>
      <c r="H90" s="37" t="n">
        <f aca="false">G90/Inputs!$B$7</f>
        <v>0.894762627079304</v>
      </c>
      <c r="I90" s="28" t="n">
        <f aca="false">Result!$B$29+(G90-Residents!$B$189)*Occupancy!$B$11</f>
        <v>1526719.67873092</v>
      </c>
      <c r="J90" s="28" t="n">
        <f aca="false">($I$7-I90)/12</f>
        <v>317.264123335267</v>
      </c>
      <c r="K90" s="28" t="n">
        <f aca="false">IF(AND(A90&gt;=$O$6,I90&lt;$I$7*0.995),($I$7-I90)/12,0)</f>
        <v>0</v>
      </c>
      <c r="L90" s="39" t="n">
        <f aca="false">IF(AND(A90&gt;=$O$6,H90&gt;=0.99*$H$11),A90,"")</f>
        <v>79</v>
      </c>
    </row>
    <row r="91" customFormat="false" ht="15" hidden="false" customHeight="false" outlineLevel="0" collapsed="false">
      <c r="A91" s="39" t="n">
        <v>80</v>
      </c>
      <c r="B91" s="18" t="str">
        <f aca="false">IF(A91&gt;=Inputs!$B$68,"yes","no")</f>
        <v>yes</v>
      </c>
      <c r="C91" s="31" t="n">
        <f aca="false">IF(A90&gt;=Inputs!$B$68,MIN((Inputs!$B$8+(Inputs!$B$9-Inputs!$B$8)*MAX(0,($I$6-SUM(D91:F91)/Inputs!$B$7)/$I$6))*IF(AND(Inputs!$B$68&gt;0,A90&lt;Inputs!$B$68+Inputs!$B$70),Inputs!$B$69,1),Inputs!$B$7-SUM(D91:F91)),0)</f>
        <v>2.79327432913051</v>
      </c>
      <c r="D91" s="31" t="n">
        <f aca="false">C90*(1-Inputs!$B$10)</f>
        <v>2.47228078917238</v>
      </c>
      <c r="E91" s="31" t="n">
        <f aca="false">D90*(1-Inputs!$B$11)</f>
        <v>2.33654324369602</v>
      </c>
      <c r="F91" s="31" t="n">
        <f aca="false">E90*(1-Inputs!$B$11)+F90*(1-Inputs!$B$12)</f>
        <v>55.0375691936877</v>
      </c>
      <c r="G91" s="31" t="n">
        <f aca="false">SUM(C91:F91)</f>
        <v>62.6396675556867</v>
      </c>
      <c r="H91" s="37" t="n">
        <f aca="false">G91/Inputs!$B$7</f>
        <v>0.894852393652666</v>
      </c>
      <c r="I91" s="28" t="n">
        <f aca="false">Result!$B$29+(G91-Residents!$B$189)*Occupancy!$B$11</f>
        <v>1527003.02599122</v>
      </c>
      <c r="J91" s="28" t="n">
        <f aca="false">($I$7-I91)/12</f>
        <v>293.651851644351</v>
      </c>
      <c r="K91" s="28" t="n">
        <f aca="false">IF(AND(A91&gt;=$O$6,I91&lt;$I$7*0.995),($I$7-I91)/12,0)</f>
        <v>0</v>
      </c>
      <c r="L91" s="39" t="n">
        <f aca="false">IF(AND(A91&gt;=$O$6,H91&gt;=0.99*$H$11),A91,"")</f>
        <v>80</v>
      </c>
    </row>
    <row r="92" customFormat="false" ht="15" hidden="false" customHeight="false" outlineLevel="0" collapsed="false">
      <c r="A92" s="39" t="n">
        <v>81</v>
      </c>
      <c r="B92" s="18" t="str">
        <f aca="false">IF(A92&gt;=Inputs!$B$68,"yes","no")</f>
        <v>yes</v>
      </c>
      <c r="C92" s="31" t="n">
        <f aca="false">IF(A91&gt;=Inputs!$B$68,MIN((Inputs!$B$8+(Inputs!$B$9-Inputs!$B$8)*MAX(0,($I$6-SUM(D92:F92)/Inputs!$B$7)/$I$6))*IF(AND(Inputs!$B$68&gt;0,A91&lt;Inputs!$B$68+Inputs!$B$70),Inputs!$B$69,1),Inputs!$B$7-SUM(D92:F92)),0)</f>
        <v>2.79303063832734</v>
      </c>
      <c r="D92" s="31" t="n">
        <f aca="false">C91*(1-Inputs!$B$10)</f>
        <v>2.4720477812805</v>
      </c>
      <c r="E92" s="31" t="n">
        <f aca="false">D91*(1-Inputs!$B$11)</f>
        <v>2.33630534576789</v>
      </c>
      <c r="F92" s="31" t="n">
        <f aca="false">E91*(1-Inputs!$B$11)+F91*(1-Inputs!$B$12)</f>
        <v>55.044099791233</v>
      </c>
      <c r="G92" s="31" t="n">
        <f aca="false">SUM(C92:F92)</f>
        <v>62.6454835566087</v>
      </c>
      <c r="H92" s="37" t="n">
        <f aca="false">G92/Inputs!$B$7</f>
        <v>0.894935479380124</v>
      </c>
      <c r="I92" s="28" t="n">
        <f aca="false">Result!$B$29+(G92-Residents!$B$189)*Occupancy!$B$11</f>
        <v>1527265.28523051</v>
      </c>
      <c r="J92" s="28" t="n">
        <f aca="false">($I$7-I92)/12</f>
        <v>271.796915036141</v>
      </c>
      <c r="K92" s="28" t="n">
        <f aca="false">IF(AND(A92&gt;=$O$6,I92&lt;$I$7*0.995),($I$7-I92)/12,0)</f>
        <v>0</v>
      </c>
      <c r="L92" s="39" t="n">
        <f aca="false">IF(AND(A92&gt;=$O$6,H92&gt;=0.99*$H$11),A92,"")</f>
        <v>81</v>
      </c>
    </row>
    <row r="93" customFormat="false" ht="15" hidden="false" customHeight="false" outlineLevel="0" collapsed="false">
      <c r="A93" s="39" t="n">
        <v>82</v>
      </c>
      <c r="B93" s="18" t="str">
        <f aca="false">IF(A93&gt;=Inputs!$B$68,"yes","no")</f>
        <v>yes</v>
      </c>
      <c r="C93" s="31" t="n">
        <f aca="false">IF(A92&gt;=Inputs!$B$68,MIN((Inputs!$B$8+(Inputs!$B$9-Inputs!$B$8)*MAX(0,($I$6-SUM(D93:F93)/Inputs!$B$7)/$I$6))*IF(AND(Inputs!$B$68&gt;0,A92&lt;Inputs!$B$68+Inputs!$B$70),Inputs!$B$69,1),Inputs!$B$7-SUM(D93:F93)),0)</f>
        <v>2.79280508412716</v>
      </c>
      <c r="D93" s="31" t="n">
        <f aca="false">C92*(1-Inputs!$B$10)</f>
        <v>2.47183211491969</v>
      </c>
      <c r="E93" s="31" t="n">
        <f aca="false">D92*(1-Inputs!$B$11)</f>
        <v>2.33608515331008</v>
      </c>
      <c r="F93" s="31" t="n">
        <f aca="false">E92*(1-Inputs!$B$11)+F92*(1-Inputs!$B$12)</f>
        <v>55.0501443513343</v>
      </c>
      <c r="G93" s="31" t="n">
        <f aca="false">SUM(C93:F93)</f>
        <v>62.6508667036912</v>
      </c>
      <c r="H93" s="37" t="n">
        <f aca="false">G93/Inputs!$B$7</f>
        <v>0.895012381481303</v>
      </c>
      <c r="I93" s="28" t="n">
        <f aca="false">Result!$B$29+(G93-Residents!$B$189)*Occupancy!$B$11</f>
        <v>1527508.02591743</v>
      </c>
      <c r="J93" s="28" t="n">
        <f aca="false">($I$7-I93)/12</f>
        <v>251.568524460134</v>
      </c>
      <c r="K93" s="28" t="n">
        <f aca="false">IF(AND(A93&gt;=$O$6,I93&lt;$I$7*0.995),($I$7-I93)/12,0)</f>
        <v>0</v>
      </c>
      <c r="L93" s="39" t="n">
        <f aca="false">IF(AND(A93&gt;=$O$6,H93&gt;=0.99*$H$11),A93,"")</f>
        <v>82</v>
      </c>
    </row>
    <row r="94" customFormat="false" ht="15" hidden="false" customHeight="false" outlineLevel="0" collapsed="false">
      <c r="A94" s="39" t="n">
        <v>83</v>
      </c>
      <c r="B94" s="18" t="str">
        <f aca="false">IF(A94&gt;=Inputs!$B$68,"yes","no")</f>
        <v>yes</v>
      </c>
      <c r="C94" s="31" t="n">
        <f aca="false">IF(A93&gt;=Inputs!$B$68,MIN((Inputs!$B$8+(Inputs!$B$9-Inputs!$B$8)*MAX(0,($I$6-SUM(D94:F94)/Inputs!$B$7)/$I$6))*IF(AND(Inputs!$B$68&gt;0,A93&lt;Inputs!$B$68+Inputs!$B$70),Inputs!$B$69,1),Inputs!$B$7-SUM(D94:F94)),0)</f>
        <v>2.79259631671965</v>
      </c>
      <c r="D94" s="31" t="n">
        <f aca="false">C93*(1-Inputs!$B$10)</f>
        <v>2.47163249945254</v>
      </c>
      <c r="E94" s="31" t="n">
        <f aca="false">D93*(1-Inputs!$B$11)</f>
        <v>2.33588134859911</v>
      </c>
      <c r="F94" s="31" t="n">
        <f aca="false">E93*(1-Inputs!$B$11)+F93*(1-Inputs!$B$12)</f>
        <v>55.055739047159</v>
      </c>
      <c r="G94" s="31" t="n">
        <f aca="false">SUM(C94:F94)</f>
        <v>62.6558492119302</v>
      </c>
      <c r="H94" s="37" t="n">
        <f aca="false">G94/Inputs!$B$7</f>
        <v>0.895083560170432</v>
      </c>
      <c r="I94" s="28" t="n">
        <f aca="false">Result!$B$29+(G94-Residents!$B$189)*Occupancy!$B$11</f>
        <v>1527732.7007134</v>
      </c>
      <c r="J94" s="28" t="n">
        <f aca="false">($I$7-I94)/12</f>
        <v>232.845624795416</v>
      </c>
      <c r="K94" s="28" t="n">
        <f aca="false">IF(AND(A94&gt;=$O$6,I94&lt;$I$7*0.995),($I$7-I94)/12,0)</f>
        <v>0</v>
      </c>
      <c r="L94" s="39" t="n">
        <f aca="false">IF(AND(A94&gt;=$O$6,H94&gt;=0.99*$H$11),A94,"")</f>
        <v>83</v>
      </c>
    </row>
    <row r="95" customFormat="false" ht="15" hidden="false" customHeight="false" outlineLevel="0" collapsed="false">
      <c r="A95" s="39" t="n">
        <v>84</v>
      </c>
      <c r="B95" s="18" t="str">
        <f aca="false">IF(A95&gt;=Inputs!$B$68,"yes","no")</f>
        <v>yes</v>
      </c>
      <c r="C95" s="31" t="n">
        <f aca="false">IF(A94&gt;=Inputs!$B$68,MIN((Inputs!$B$8+(Inputs!$B$9-Inputs!$B$8)*MAX(0,($I$6-SUM(D95:F95)/Inputs!$B$7)/$I$6))*IF(AND(Inputs!$B$68&gt;0,A94&lt;Inputs!$B$68+Inputs!$B$70),Inputs!$B$69,1),Inputs!$B$7-SUM(D95:F95)),0)</f>
        <v>2.7924030867536</v>
      </c>
      <c r="D95" s="31" t="n">
        <f aca="false">C94*(1-Inputs!$B$10)</f>
        <v>2.47144774029689</v>
      </c>
      <c r="E95" s="31" t="n">
        <f aca="false">D94*(1-Inputs!$B$11)</f>
        <v>2.33569271198265</v>
      </c>
      <c r="F95" s="31" t="n">
        <f aca="false">E94*(1-Inputs!$B$11)+F94*(1-Inputs!$B$12)</f>
        <v>55.0609173596988</v>
      </c>
      <c r="G95" s="31" t="n">
        <f aca="false">SUM(C95:F95)</f>
        <v>62.6604608987319</v>
      </c>
      <c r="H95" s="37" t="n">
        <f aca="false">G95/Inputs!$B$7</f>
        <v>0.895149441410456</v>
      </c>
      <c r="I95" s="28" t="n">
        <f aca="false">Result!$B$29+(G95-Residents!$B$189)*Occupancy!$B$11</f>
        <v>1527940.65416607</v>
      </c>
      <c r="J95" s="28" t="n">
        <f aca="false">($I$7-I95)/12</f>
        <v>215.516170406093</v>
      </c>
      <c r="K95" s="28" t="n">
        <f aca="false">IF(AND(A95&gt;=$O$6,I95&lt;$I$7*0.995),($I$7-I95)/12,0)</f>
        <v>0</v>
      </c>
      <c r="L95" s="39" t="n">
        <f aca="false">IF(AND(A95&gt;=$O$6,H95&gt;=0.99*$H$11),A95,"")</f>
        <v>84</v>
      </c>
    </row>
    <row r="96" customFormat="false" ht="15" hidden="false" customHeight="false" outlineLevel="0" collapsed="false">
      <c r="A96" s="39" t="n">
        <v>85</v>
      </c>
      <c r="B96" s="18" t="str">
        <f aca="false">IF(A96&gt;=Inputs!$B$68,"yes","no")</f>
        <v>yes</v>
      </c>
      <c r="C96" s="31" t="n">
        <f aca="false">IF(A95&gt;=Inputs!$B$68,MIN((Inputs!$B$8+(Inputs!$B$9-Inputs!$B$8)*MAX(0,($I$6-SUM(D96:F96)/Inputs!$B$7)/$I$6))*IF(AND(Inputs!$B$68&gt;0,A95&lt;Inputs!$B$68+Inputs!$B$70),Inputs!$B$69,1),Inputs!$B$7-SUM(D96:F96)),0)</f>
        <v>2.79222423786036</v>
      </c>
      <c r="D96" s="31" t="n">
        <f aca="false">C95*(1-Inputs!$B$10)</f>
        <v>2.47127673177694</v>
      </c>
      <c r="E96" s="31" t="n">
        <f aca="false">D95*(1-Inputs!$B$11)</f>
        <v>2.33551811458056</v>
      </c>
      <c r="F96" s="31" t="n">
        <f aca="false">E95*(1-Inputs!$B$11)+F95*(1-Inputs!$B$12)</f>
        <v>55.0657102781344</v>
      </c>
      <c r="G96" s="31" t="n">
        <f aca="false">SUM(C96:F96)</f>
        <v>62.6647293623523</v>
      </c>
      <c r="H96" s="37" t="n">
        <f aca="false">G96/Inputs!$B$7</f>
        <v>0.895210419462175</v>
      </c>
      <c r="I96" s="28" t="n">
        <f aca="false">Result!$B$29+(G96-Residents!$B$189)*Occupancy!$B$11</f>
        <v>1528133.13075558</v>
      </c>
      <c r="J96" s="28" t="n">
        <f aca="false">($I$7-I96)/12</f>
        <v>199.47645461375</v>
      </c>
      <c r="K96" s="28" t="n">
        <f aca="false">IF(AND(A96&gt;=$O$6,I96&lt;$I$7*0.995),($I$7-I96)/12,0)</f>
        <v>0</v>
      </c>
      <c r="L96" s="39" t="n">
        <f aca="false">IF(AND(A96&gt;=$O$6,H96&gt;=0.99*$H$11),A96,"")</f>
        <v>85</v>
      </c>
    </row>
    <row r="97" customFormat="false" ht="15" hidden="false" customHeight="false" outlineLevel="0" collapsed="false">
      <c r="A97" s="39" t="n">
        <v>86</v>
      </c>
      <c r="B97" s="18" t="str">
        <f aca="false">IF(A97&gt;=Inputs!$B$68,"yes","no")</f>
        <v>yes</v>
      </c>
      <c r="C97" s="31" t="n">
        <f aca="false">IF(A96&gt;=Inputs!$B$68,MIN((Inputs!$B$8+(Inputs!$B$9-Inputs!$B$8)*MAX(0,($I$6-SUM(D97:F97)/Inputs!$B$7)/$I$6))*IF(AND(Inputs!$B$68&gt;0,A96&lt;Inputs!$B$68+Inputs!$B$70),Inputs!$B$69,1),Inputs!$B$7-SUM(D97:F97)),0)</f>
        <v>2.79205869973361</v>
      </c>
      <c r="D97" s="31" t="n">
        <f aca="false">C96*(1-Inputs!$B$10)</f>
        <v>2.47111845050642</v>
      </c>
      <c r="E97" s="31" t="n">
        <f aca="false">D96*(1-Inputs!$B$11)</f>
        <v>2.33535651152921</v>
      </c>
      <c r="F97" s="31" t="n">
        <f aca="false">E96*(1-Inputs!$B$11)+F96*(1-Inputs!$B$12)</f>
        <v>55.0701464852877</v>
      </c>
      <c r="G97" s="31" t="n">
        <f aca="false">SUM(C97:F97)</f>
        <v>62.6686801470569</v>
      </c>
      <c r="H97" s="37" t="n">
        <f aca="false">G97/Inputs!$B$7</f>
        <v>0.89526685924367</v>
      </c>
      <c r="I97" s="28" t="n">
        <f aca="false">Result!$B$29+(G97-Residents!$B$189)*Occupancy!$B$11</f>
        <v>1528311.28234207</v>
      </c>
      <c r="J97" s="28" t="n">
        <f aca="false">($I$7-I97)/12</f>
        <v>184.630489073248</v>
      </c>
      <c r="K97" s="28" t="n">
        <f aca="false">IF(AND(A97&gt;=$O$6,I97&lt;$I$7*0.995),($I$7-I97)/12,0)</f>
        <v>0</v>
      </c>
      <c r="L97" s="39" t="n">
        <f aca="false">IF(AND(A97&gt;=$O$6,H97&gt;=0.99*$H$11),A97,"")</f>
        <v>86</v>
      </c>
    </row>
    <row r="98" customFormat="false" ht="15" hidden="false" customHeight="false" outlineLevel="0" collapsed="false">
      <c r="A98" s="39" t="n">
        <v>87</v>
      </c>
      <c r="B98" s="18" t="str">
        <f aca="false">IF(A98&gt;=Inputs!$B$68,"yes","no")</f>
        <v>yes</v>
      </c>
      <c r="C98" s="31" t="n">
        <f aca="false">IF(A97&gt;=Inputs!$B$68,MIN((Inputs!$B$8+(Inputs!$B$9-Inputs!$B$8)*MAX(0,($I$6-SUM(D98:F98)/Inputs!$B$7)/$I$6))*IF(AND(Inputs!$B$68&gt;0,A97&lt;Inputs!$B$68+Inputs!$B$70),Inputs!$B$69,1),Inputs!$B$7-SUM(D98:F98)),0)</f>
        <v>2.79190548172418</v>
      </c>
      <c r="D98" s="31" t="n">
        <f aca="false">C97*(1-Inputs!$B$10)</f>
        <v>2.47097194926424</v>
      </c>
      <c r="E98" s="31" t="n">
        <f aca="false">D97*(1-Inputs!$B$11)</f>
        <v>2.33520693572857</v>
      </c>
      <c r="F98" s="31" t="n">
        <f aca="false">E97*(1-Inputs!$B$11)+F97*(1-Inputs!$B$12)</f>
        <v>55.0742525292713</v>
      </c>
      <c r="G98" s="31" t="n">
        <f aca="false">SUM(C98:F98)</f>
        <v>62.6723368959882</v>
      </c>
      <c r="H98" s="37" t="n">
        <f aca="false">G98/Inputs!$B$7</f>
        <v>0.895319098514118</v>
      </c>
      <c r="I98" s="28" t="n">
        <f aca="false">Result!$B$29+(G98-Residents!$B$189)*Occupancy!$B$11</f>
        <v>1528476.17505889</v>
      </c>
      <c r="J98" s="28" t="n">
        <f aca="false">($I$7-I98)/12</f>
        <v>170.889429338548</v>
      </c>
      <c r="K98" s="28" t="n">
        <f aca="false">IF(AND(A98&gt;=$O$6,I98&lt;$I$7*0.995),($I$7-I98)/12,0)</f>
        <v>0</v>
      </c>
      <c r="L98" s="39" t="n">
        <f aca="false">IF(AND(A98&gt;=$O$6,H98&gt;=0.99*$H$11),A98,"")</f>
        <v>87</v>
      </c>
    </row>
    <row r="99" customFormat="false" ht="15" hidden="false" customHeight="false" outlineLevel="0" collapsed="false">
      <c r="A99" s="39" t="n">
        <v>88</v>
      </c>
      <c r="B99" s="18" t="str">
        <f aca="false">IF(A99&gt;=Inputs!$B$68,"yes","no")</f>
        <v>yes</v>
      </c>
      <c r="C99" s="31" t="n">
        <f aca="false">IF(A98&gt;=Inputs!$B$68,MIN((Inputs!$B$8+(Inputs!$B$9-Inputs!$B$8)*MAX(0,($I$6-SUM(D99:F99)/Inputs!$B$7)/$I$6))*IF(AND(Inputs!$B$68&gt;0,A98&lt;Inputs!$B$68+Inputs!$B$70),Inputs!$B$69,1),Inputs!$B$7-SUM(D99:F99)),0)</f>
        <v>2.79176366691165</v>
      </c>
      <c r="D99" s="31" t="n">
        <f aca="false">C98*(1-Inputs!$B$10)</f>
        <v>2.4708363513259</v>
      </c>
      <c r="E99" s="31" t="n">
        <f aca="false">D98*(1-Inputs!$B$11)</f>
        <v>2.33506849205471</v>
      </c>
      <c r="F99" s="31" t="n">
        <f aca="false">E98*(1-Inputs!$B$11)+F98*(1-Inputs!$B$12)</f>
        <v>55.0780529823639</v>
      </c>
      <c r="G99" s="31" t="n">
        <f aca="false">SUM(C99:F99)</f>
        <v>62.6757214926562</v>
      </c>
      <c r="H99" s="37" t="n">
        <f aca="false">G99/Inputs!$B$7</f>
        <v>0.895367449895088</v>
      </c>
      <c r="I99" s="28" t="n">
        <f aca="false">Result!$B$29+(G99-Residents!$B$189)*Occupancy!$B$11</f>
        <v>1528628.79569278</v>
      </c>
      <c r="J99" s="28" t="n">
        <f aca="false">($I$7-I99)/12</f>
        <v>158.171043180589</v>
      </c>
      <c r="K99" s="28" t="n">
        <f aca="false">IF(AND(A99&gt;=$O$6,I99&lt;$I$7*0.995),($I$7-I99)/12,0)</f>
        <v>0</v>
      </c>
      <c r="L99" s="39" t="n">
        <f aca="false">IF(AND(A99&gt;=$O$6,H99&gt;=0.99*$H$11),A99,"")</f>
        <v>88</v>
      </c>
    </row>
    <row r="100" customFormat="false" ht="15" hidden="false" customHeight="false" outlineLevel="0" collapsed="false">
      <c r="A100" s="39" t="n">
        <v>89</v>
      </c>
      <c r="B100" s="18" t="str">
        <f aca="false">IF(A100&gt;=Inputs!$B$68,"yes","no")</f>
        <v>yes</v>
      </c>
      <c r="C100" s="31" t="n">
        <f aca="false">IF(A99&gt;=Inputs!$B$68,MIN((Inputs!$B$8+(Inputs!$B$9-Inputs!$B$8)*MAX(0,($I$6-SUM(D100:F100)/Inputs!$B$7)/$I$6))*IF(AND(Inputs!$B$68&gt;0,A99&lt;Inputs!$B$68+Inputs!$B$70),Inputs!$B$69,1),Inputs!$B$7-SUM(D100:F100)),0)</f>
        <v>2.79163240661707</v>
      </c>
      <c r="D100" s="31" t="n">
        <f aca="false">C99*(1-Inputs!$B$10)</f>
        <v>2.47071084521681</v>
      </c>
      <c r="E100" s="31" t="n">
        <f aca="false">D99*(1-Inputs!$B$11)</f>
        <v>2.33494035200297</v>
      </c>
      <c r="F100" s="31" t="n">
        <f aca="false">E99*(1-Inputs!$B$11)+F99*(1-Inputs!$B$12)</f>
        <v>55.081570588061</v>
      </c>
      <c r="G100" s="31" t="n">
        <f aca="false">SUM(C100:F100)</f>
        <v>62.6788541918979</v>
      </c>
      <c r="H100" s="37" t="n">
        <f aca="false">G100/Inputs!$B$7</f>
        <v>0.895412202741398</v>
      </c>
      <c r="I100" s="28" t="n">
        <f aca="false">Result!$B$29+(G100-Residents!$B$189)*Occupancy!$B$11</f>
        <v>1528770.05758925</v>
      </c>
      <c r="J100" s="28" t="n">
        <f aca="false">($I$7-I100)/12</f>
        <v>146.399218475194</v>
      </c>
      <c r="K100" s="28" t="n">
        <f aca="false">IF(AND(A100&gt;=$O$6,I100&lt;$I$7*0.995),($I$7-I100)/12,0)</f>
        <v>0</v>
      </c>
      <c r="L100" s="39" t="n">
        <f aca="false">IF(AND(A100&gt;=$O$6,H100&gt;=0.99*$H$11),A100,"")</f>
        <v>89</v>
      </c>
    </row>
    <row r="101" customFormat="false" ht="15" hidden="false" customHeight="false" outlineLevel="0" collapsed="false">
      <c r="A101" s="39" t="n">
        <v>90</v>
      </c>
      <c r="B101" s="18" t="str">
        <f aca="false">IF(A101&gt;=Inputs!$B$68,"yes","no")</f>
        <v>yes</v>
      </c>
      <c r="C101" s="31" t="n">
        <f aca="false">IF(A100&gt;=Inputs!$B$68,MIN((Inputs!$B$8+(Inputs!$B$9-Inputs!$B$8)*MAX(0,($I$6-SUM(D101:F101)/Inputs!$B$7)/$I$6))*IF(AND(Inputs!$B$68&gt;0,A100&lt;Inputs!$B$68+Inputs!$B$70),Inputs!$B$69,1),Inputs!$B$7-SUM(D101:F101)),0)</f>
        <v>2.79151091532411</v>
      </c>
      <c r="D101" s="31" t="n">
        <f aca="false">C100*(1-Inputs!$B$10)</f>
        <v>2.4705946798561</v>
      </c>
      <c r="E101" s="31" t="n">
        <f aca="false">D100*(1-Inputs!$B$11)</f>
        <v>2.33482174872989</v>
      </c>
      <c r="F101" s="31" t="n">
        <f aca="false">E100*(1-Inputs!$B$11)+F100*(1-Inputs!$B$12)</f>
        <v>55.0848263971814</v>
      </c>
      <c r="G101" s="31" t="n">
        <f aca="false">SUM(C101:F101)</f>
        <v>62.6817537410915</v>
      </c>
      <c r="H101" s="37" t="n">
        <f aca="false">G101/Inputs!$B$7</f>
        <v>0.895453624872736</v>
      </c>
      <c r="I101" s="28" t="n">
        <f aca="false">Result!$B$29+(G101-Residents!$B$189)*Occupancy!$B$11</f>
        <v>1528900.80611835</v>
      </c>
      <c r="J101" s="28" t="n">
        <f aca="false">($I$7-I101)/12</f>
        <v>135.503507716523</v>
      </c>
      <c r="K101" s="28" t="n">
        <f aca="false">IF(AND(A101&gt;=$O$6,I101&lt;$I$7*0.995),($I$7-I101)/12,0)</f>
        <v>0</v>
      </c>
      <c r="L101" s="39" t="n">
        <f aca="false">IF(AND(A101&gt;=$O$6,H101&gt;=0.99*$H$11),A101,"")</f>
        <v>90</v>
      </c>
    </row>
    <row r="102" customFormat="false" ht="15" hidden="false" customHeight="false" outlineLevel="0" collapsed="false">
      <c r="A102" s="39" t="n">
        <v>91</v>
      </c>
      <c r="B102" s="18" t="str">
        <f aca="false">IF(A102&gt;=Inputs!$B$68,"yes","no")</f>
        <v>yes</v>
      </c>
      <c r="C102" s="31" t="n">
        <f aca="false">IF(A101&gt;=Inputs!$B$68,MIN((Inputs!$B$8+(Inputs!$B$9-Inputs!$B$8)*MAX(0,($I$6-SUM(D102:F102)/Inputs!$B$7)/$I$6))*IF(AND(Inputs!$B$68&gt;0,A101&lt;Inputs!$B$68+Inputs!$B$70),Inputs!$B$69,1),Inputs!$B$7-SUM(D102:F102)),0)</f>
        <v>2.79139846597825</v>
      </c>
      <c r="D102" s="31" t="n">
        <f aca="false">C101*(1-Inputs!$B$10)</f>
        <v>2.47048716006184</v>
      </c>
      <c r="E102" s="31" t="n">
        <f aca="false">D101*(1-Inputs!$B$11)</f>
        <v>2.33471197246402</v>
      </c>
      <c r="F102" s="31" t="n">
        <f aca="false">E101*(1-Inputs!$B$11)+F101*(1-Inputs!$B$12)</f>
        <v>55.0878398938439</v>
      </c>
      <c r="G102" s="31" t="n">
        <f aca="false">SUM(C102:F102)</f>
        <v>62.684437492348</v>
      </c>
      <c r="H102" s="37" t="n">
        <f aca="false">G102/Inputs!$B$7</f>
        <v>0.8954919641764</v>
      </c>
      <c r="I102" s="28" t="n">
        <f aca="false">Result!$B$29+(G102-Residents!$B$189)*Occupancy!$B$11</f>
        <v>1529021.82373379</v>
      </c>
      <c r="J102" s="28" t="n">
        <f aca="false">($I$7-I102)/12</f>
        <v>125.418706429695</v>
      </c>
      <c r="K102" s="28" t="n">
        <f aca="false">IF(AND(A102&gt;=$O$6,I102&lt;$I$7*0.995),($I$7-I102)/12,0)</f>
        <v>0</v>
      </c>
      <c r="L102" s="39" t="n">
        <f aca="false">IF(AND(A102&gt;=$O$6,H102&gt;=0.99*$H$11),A102,"")</f>
        <v>91</v>
      </c>
    </row>
    <row r="103" customFormat="false" ht="15" hidden="false" customHeight="false" outlineLevel="0" collapsed="false">
      <c r="A103" s="39" t="n">
        <v>92</v>
      </c>
      <c r="B103" s="18" t="str">
        <f aca="false">IF(A103&gt;=Inputs!$B$68,"yes","no")</f>
        <v>yes</v>
      </c>
      <c r="C103" s="31" t="n">
        <f aca="false">IF(A102&gt;=Inputs!$B$68,MIN((Inputs!$B$8+(Inputs!$B$9-Inputs!$B$8)*MAX(0,($I$6-SUM(D103:F103)/Inputs!$B$7)/$I$6))*IF(AND(Inputs!$B$68&gt;0,A102&lt;Inputs!$B$68+Inputs!$B$70),Inputs!$B$69,1),Inputs!$B$7-SUM(D103:F103)),0)</f>
        <v>2.79129438563572</v>
      </c>
      <c r="D103" s="31" t="n">
        <f aca="false">C102*(1-Inputs!$B$10)</f>
        <v>2.47038764239075</v>
      </c>
      <c r="E103" s="31" t="n">
        <f aca="false">D102*(1-Inputs!$B$11)</f>
        <v>2.33461036625844</v>
      </c>
      <c r="F103" s="31" t="n">
        <f aca="false">E102*(1-Inputs!$B$11)+F102*(1-Inputs!$B$12)</f>
        <v>55.0906291120686</v>
      </c>
      <c r="G103" s="31" t="n">
        <f aca="false">SUM(C103:F103)</f>
        <v>62.6869215063535</v>
      </c>
      <c r="H103" s="37" t="n">
        <f aca="false">G103/Inputs!$B$7</f>
        <v>0.895527450090765</v>
      </c>
      <c r="I103" s="28" t="n">
        <f aca="false">Result!$B$29+(G103-Residents!$B$189)*Occupancy!$B$11</f>
        <v>1529133.83465542</v>
      </c>
      <c r="J103" s="28" t="n">
        <f aca="false">($I$7-I103)/12</f>
        <v>116.084462960251</v>
      </c>
      <c r="K103" s="28" t="n">
        <f aca="false">IF(AND(A103&gt;=$O$6,I103&lt;$I$7*0.995),($I$7-I103)/12,0)</f>
        <v>0</v>
      </c>
      <c r="L103" s="39" t="n">
        <f aca="false">IF(AND(A103&gt;=$O$6,H103&gt;=0.99*$H$11),A103,"")</f>
        <v>92</v>
      </c>
    </row>
    <row r="104" customFormat="false" ht="15" hidden="false" customHeight="false" outlineLevel="0" collapsed="false">
      <c r="A104" s="39" t="n">
        <v>93</v>
      </c>
      <c r="B104" s="18" t="str">
        <f aca="false">IF(A104&gt;=Inputs!$B$68,"yes","no")</f>
        <v>yes</v>
      </c>
      <c r="C104" s="31" t="n">
        <f aca="false">IF(A103&gt;=Inputs!$B$68,MIN((Inputs!$B$8+(Inputs!$B$9-Inputs!$B$8)*MAX(0,($I$6-SUM(D104:F104)/Inputs!$B$7)/$I$6))*IF(AND(Inputs!$B$68&gt;0,A103&lt;Inputs!$B$68+Inputs!$B$70),Inputs!$B$69,1),Inputs!$B$7-SUM(D104:F104)),0)</f>
        <v>2.79119805143637</v>
      </c>
      <c r="D104" s="31" t="n">
        <f aca="false">C103*(1-Inputs!$B$10)</f>
        <v>2.47029553128761</v>
      </c>
      <c r="E104" s="31" t="n">
        <f aca="false">D103*(1-Inputs!$B$11)</f>
        <v>2.33451632205926</v>
      </c>
      <c r="F104" s="31" t="n">
        <f aca="false">E103*(1-Inputs!$B$11)+F103*(1-Inputs!$B$12)</f>
        <v>55.0932107437001</v>
      </c>
      <c r="G104" s="31" t="n">
        <f aca="false">SUM(C104:F104)</f>
        <v>62.6892206484834</v>
      </c>
      <c r="H104" s="37" t="n">
        <f aca="false">G104/Inputs!$B$7</f>
        <v>0.895560294978334</v>
      </c>
      <c r="I104" s="28" t="n">
        <f aca="false">Result!$B$29+(G104-Residents!$B$189)*Occupancy!$B$11</f>
        <v>1529237.50920329</v>
      </c>
      <c r="J104" s="28" t="n">
        <f aca="false">($I$7-I104)/12</f>
        <v>107.444917304422</v>
      </c>
      <c r="K104" s="28" t="n">
        <f aca="false">IF(AND(A104&gt;=$O$6,I104&lt;$I$7*0.995),($I$7-I104)/12,0)</f>
        <v>0</v>
      </c>
      <c r="L104" s="39" t="n">
        <f aca="false">IF(AND(A104&gt;=$O$6,H104&gt;=0.99*$H$11),A104,"")</f>
        <v>93</v>
      </c>
    </row>
    <row r="105" customFormat="false" ht="15" hidden="false" customHeight="false" outlineLevel="0" collapsed="false">
      <c r="A105" s="39" t="n">
        <v>94</v>
      </c>
      <c r="B105" s="18" t="str">
        <f aca="false">IF(A105&gt;=Inputs!$B$68,"yes","no")</f>
        <v>yes</v>
      </c>
      <c r="C105" s="31" t="n">
        <f aca="false">IF(A104&gt;=Inputs!$B$68,MIN((Inputs!$B$8+(Inputs!$B$9-Inputs!$B$8)*MAX(0,($I$6-SUM(D105:F105)/Inputs!$B$7)/$I$6))*IF(AND(Inputs!$B$68&gt;0,A104&lt;Inputs!$B$68+Inputs!$B$70),Inputs!$B$69,1),Inputs!$B$7-SUM(D105:F105)),0)</f>
        <v>2.7911088868762</v>
      </c>
      <c r="D105" s="31" t="n">
        <f aca="false">C104*(1-Inputs!$B$10)</f>
        <v>2.47021027552119</v>
      </c>
      <c r="E105" s="31" t="n">
        <f aca="false">D104*(1-Inputs!$B$11)</f>
        <v>2.33442927706679</v>
      </c>
      <c r="F105" s="31" t="n">
        <f aca="false">E104*(1-Inputs!$B$11)+F104*(1-Inputs!$B$12)</f>
        <v>55.0956002382981</v>
      </c>
      <c r="G105" s="31" t="n">
        <f aca="false">SUM(C105:F105)</f>
        <v>62.6913486777623</v>
      </c>
      <c r="H105" s="37" t="n">
        <f aca="false">G105/Inputs!$B$7</f>
        <v>0.895590695396604</v>
      </c>
      <c r="I105" s="28" t="n">
        <f aca="false">Result!$B$29+(G105-Residents!$B$189)*Occupancy!$B$11</f>
        <v>1529333.46780911</v>
      </c>
      <c r="J105" s="28" t="n">
        <f aca="false">($I$7-I105)/12</f>
        <v>99.4483668198227</v>
      </c>
      <c r="K105" s="28" t="n">
        <f aca="false">IF(AND(A105&gt;=$O$6,I105&lt;$I$7*0.995),($I$7-I105)/12,0)</f>
        <v>0</v>
      </c>
      <c r="L105" s="39" t="n">
        <f aca="false">IF(AND(A105&gt;=$O$6,H105&gt;=0.99*$H$11),A105,"")</f>
        <v>94</v>
      </c>
    </row>
    <row r="106" customFormat="false" ht="15" hidden="false" customHeight="false" outlineLevel="0" collapsed="false">
      <c r="A106" s="39" t="n">
        <v>95</v>
      </c>
      <c r="B106" s="18" t="str">
        <f aca="false">IF(A106&gt;=Inputs!$B$68,"yes","no")</f>
        <v>yes</v>
      </c>
      <c r="C106" s="31" t="n">
        <f aca="false">IF(A105&gt;=Inputs!$B$68,MIN((Inputs!$B$8+(Inputs!$B$9-Inputs!$B$8)*MAX(0,($I$6-SUM(D106:F106)/Inputs!$B$7)/$I$6))*IF(AND(Inputs!$B$68&gt;0,A105&lt;Inputs!$B$68+Inputs!$B$70),Inputs!$B$69,1),Inputs!$B$7-SUM(D106:F106)),0)</f>
        <v>2.79102635835731</v>
      </c>
      <c r="D106" s="31" t="n">
        <f aca="false">C105*(1-Inputs!$B$10)</f>
        <v>2.47013136488544</v>
      </c>
      <c r="E106" s="31" t="n">
        <f aca="false">D105*(1-Inputs!$B$11)</f>
        <v>2.33434871036752</v>
      </c>
      <c r="F106" s="31" t="n">
        <f aca="false">E105*(1-Inputs!$B$11)+F105*(1-Inputs!$B$12)</f>
        <v>55.0978118955943</v>
      </c>
      <c r="G106" s="31" t="n">
        <f aca="false">SUM(C106:F106)</f>
        <v>62.6933183292046</v>
      </c>
      <c r="H106" s="37" t="n">
        <f aca="false">G106/Inputs!$B$7</f>
        <v>0.895618833274351</v>
      </c>
      <c r="I106" s="28" t="n">
        <f aca="false">Result!$B$29+(G106-Residents!$B$189)*Occupancy!$B$11</f>
        <v>1529422.28472917</v>
      </c>
      <c r="J106" s="28" t="n">
        <f aca="false">($I$7-I106)/12</f>
        <v>92.0469568152136</v>
      </c>
      <c r="K106" s="28" t="n">
        <f aca="false">IF(AND(A106&gt;=$O$6,I106&lt;$I$7*0.995),($I$7-I106)/12,0)</f>
        <v>0</v>
      </c>
      <c r="L106" s="39" t="n">
        <f aca="false">IF(AND(A106&gt;=$O$6,H106&gt;=0.99*$H$11),A106,"")</f>
        <v>95</v>
      </c>
    </row>
    <row r="107" customFormat="false" ht="15" hidden="false" customHeight="false" outlineLevel="0" collapsed="false">
      <c r="A107" s="39" t="n">
        <v>96</v>
      </c>
      <c r="B107" s="18" t="str">
        <f aca="false">IF(A107&gt;=Inputs!$B$68,"yes","no")</f>
        <v>yes</v>
      </c>
      <c r="C107" s="31" t="n">
        <f aca="false">IF(A106&gt;=Inputs!$B$68,MIN((Inputs!$B$8+(Inputs!$B$9-Inputs!$B$8)*MAX(0,($I$6-SUM(D107:F107)/Inputs!$B$7)/$I$6))*IF(AND(Inputs!$B$68&gt;0,A106&lt;Inputs!$B$68+Inputs!$B$70),Inputs!$B$69,1),Inputs!$B$7-SUM(D107:F107)),0)</f>
        <v>2.79094997199465</v>
      </c>
      <c r="D107" s="31" t="n">
        <f aca="false">C106*(1-Inputs!$B$10)</f>
        <v>2.47005832714622</v>
      </c>
      <c r="E107" s="31" t="n">
        <f aca="false">D106*(1-Inputs!$B$11)</f>
        <v>2.33427413981674</v>
      </c>
      <c r="F107" s="31" t="n">
        <f aca="false">E106*(1-Inputs!$B$11)+F106*(1-Inputs!$B$12)</f>
        <v>55.0998589510678</v>
      </c>
      <c r="G107" s="31" t="n">
        <f aca="false">SUM(C107:F107)</f>
        <v>62.6951413900254</v>
      </c>
      <c r="H107" s="37" t="n">
        <f aca="false">G107/Inputs!$B$7</f>
        <v>0.895644877000363</v>
      </c>
      <c r="I107" s="28" t="n">
        <f aca="false">Result!$B$29+(G107-Residents!$B$189)*Occupancy!$B$11</f>
        <v>1529504.49148093</v>
      </c>
      <c r="J107" s="28" t="n">
        <f aca="false">($I$7-I107)/12</f>
        <v>85.1963941679181</v>
      </c>
      <c r="K107" s="28" t="n">
        <f aca="false">IF(AND(A107&gt;=$O$6,I107&lt;$I$7*0.995),($I$7-I107)/12,0)</f>
        <v>0</v>
      </c>
      <c r="L107" s="39" t="n">
        <f aca="false">IF(AND(A107&gt;=$O$6,H107&gt;=0.99*$H$11),A107,"")</f>
        <v>96</v>
      </c>
    </row>
    <row r="108" customFormat="false" ht="15" hidden="false" customHeight="false" outlineLevel="0" collapsed="false">
      <c r="A108" s="39" t="n">
        <v>97</v>
      </c>
      <c r="B108" s="18" t="str">
        <f aca="false">IF(A108&gt;=Inputs!$B$68,"yes","no")</f>
        <v>yes</v>
      </c>
      <c r="C108" s="31" t="n">
        <f aca="false">IF(A107&gt;=Inputs!$B$68,MIN((Inputs!$B$8+(Inputs!$B$9-Inputs!$B$8)*MAX(0,($I$6-SUM(D108:F108)/Inputs!$B$7)/$I$6))*IF(AND(Inputs!$B$68&gt;0,A107&lt;Inputs!$B$68+Inputs!$B$70),Inputs!$B$69,1),Inputs!$B$7-SUM(D108:F108)),0)</f>
        <v>2.79087927066038</v>
      </c>
      <c r="D108" s="31" t="n">
        <f aca="false">C107*(1-Inputs!$B$10)</f>
        <v>2.46999072521526</v>
      </c>
      <c r="E108" s="31" t="n">
        <f aca="false">D107*(1-Inputs!$B$11)</f>
        <v>2.33420511915318</v>
      </c>
      <c r="F108" s="31" t="n">
        <f aca="false">E107*(1-Inputs!$B$11)+F107*(1-Inputs!$B$12)</f>
        <v>55.1017536551519</v>
      </c>
      <c r="G108" s="31" t="n">
        <f aca="false">SUM(C108:F108)</f>
        <v>62.6968287701808</v>
      </c>
      <c r="H108" s="37" t="n">
        <f aca="false">G108/Inputs!$B$7</f>
        <v>0.895668982431154</v>
      </c>
      <c r="I108" s="28" t="n">
        <f aca="false">Result!$B$29+(G108-Residents!$B$189)*Occupancy!$B$11</f>
        <v>1529580.58002388</v>
      </c>
      <c r="J108" s="28" t="n">
        <f aca="false">($I$7-I108)/12</f>
        <v>78.8556822556226</v>
      </c>
      <c r="K108" s="28" t="n">
        <f aca="false">IF(AND(A108&gt;=$O$6,I108&lt;$I$7*0.995),($I$7-I108)/12,0)</f>
        <v>0</v>
      </c>
      <c r="L108" s="39" t="n">
        <f aca="false">IF(AND(A108&gt;=$O$6,H108&gt;=0.99*$H$11),A108,"")</f>
        <v>97</v>
      </c>
    </row>
    <row r="109" customFormat="false" ht="15" hidden="false" customHeight="false" outlineLevel="0" collapsed="false">
      <c r="A109" s="39" t="n">
        <v>98</v>
      </c>
      <c r="B109" s="18" t="str">
        <f aca="false">IF(A109&gt;=Inputs!$B$68,"yes","no")</f>
        <v>yes</v>
      </c>
      <c r="C109" s="31" t="n">
        <f aca="false">IF(A108&gt;=Inputs!$B$68,MIN((Inputs!$B$8+(Inputs!$B$9-Inputs!$B$8)*MAX(0,($I$6-SUM(D109:F109)/Inputs!$B$7)/$I$6))*IF(AND(Inputs!$B$68&gt;0,A108&lt;Inputs!$B$68+Inputs!$B$70),Inputs!$B$69,1),Inputs!$B$7-SUM(D109:F109)),0)</f>
        <v>2.79081383124824</v>
      </c>
      <c r="D109" s="31" t="n">
        <f aca="false">C108*(1-Inputs!$B$10)</f>
        <v>2.46992815453443</v>
      </c>
      <c r="E109" s="31" t="n">
        <f aca="false">D108*(1-Inputs!$B$11)</f>
        <v>2.33414123532842</v>
      </c>
      <c r="F109" s="31" t="n">
        <f aca="false">E108*(1-Inputs!$B$11)+F108*(1-Inputs!$B$12)</f>
        <v>55.1035073465456</v>
      </c>
      <c r="G109" s="31" t="n">
        <f aca="false">SUM(C109:F109)</f>
        <v>62.6983905676567</v>
      </c>
      <c r="H109" s="37" t="n">
        <f aca="false">G109/Inputs!$B$7</f>
        <v>0.895691293823667</v>
      </c>
      <c r="I109" s="28" t="n">
        <f aca="false">Result!$B$29+(G109-Residents!$B$189)*Occupancy!$B$11</f>
        <v>1529651.00570356</v>
      </c>
      <c r="J109" s="28" t="n">
        <f aca="false">($I$7-I109)/12</f>
        <v>72.9868756152379</v>
      </c>
      <c r="K109" s="28" t="n">
        <f aca="false">IF(AND(A109&gt;=$O$6,I109&lt;$I$7*0.995),($I$7-I109)/12,0)</f>
        <v>0</v>
      </c>
      <c r="L109" s="39" t="n">
        <f aca="false">IF(AND(A109&gt;=$O$6,H109&gt;=0.99*$H$11),A109,"")</f>
        <v>98</v>
      </c>
    </row>
    <row r="110" customFormat="false" ht="15" hidden="false" customHeight="false" outlineLevel="0" collapsed="false">
      <c r="A110" s="39" t="n">
        <v>99</v>
      </c>
      <c r="B110" s="18" t="str">
        <f aca="false">IF(A110&gt;=Inputs!$B$68,"yes","no")</f>
        <v>yes</v>
      </c>
      <c r="C110" s="31" t="n">
        <f aca="false">IF(A109&gt;=Inputs!$B$68,MIN((Inputs!$B$8+(Inputs!$B$9-Inputs!$B$8)*MAX(0,($I$6-SUM(D110:F110)/Inputs!$B$7)/$I$6))*IF(AND(Inputs!$B$68&gt;0,A109&lt;Inputs!$B$68+Inputs!$B$70),Inputs!$B$69,1),Inputs!$B$7-SUM(D110:F110)),0)</f>
        <v>2.79075326214152</v>
      </c>
      <c r="D110" s="31" t="n">
        <f aca="false">C109*(1-Inputs!$B$10)</f>
        <v>2.46987024065469</v>
      </c>
      <c r="E110" s="31" t="n">
        <f aca="false">D109*(1-Inputs!$B$11)</f>
        <v>2.33408210603504</v>
      </c>
      <c r="F110" s="31" t="n">
        <f aca="false">E109*(1-Inputs!$B$11)+F109*(1-Inputs!$B$12)</f>
        <v>55.1051305200691</v>
      </c>
      <c r="G110" s="31" t="n">
        <f aca="false">SUM(C110:F110)</f>
        <v>62.6998361289004</v>
      </c>
      <c r="H110" s="37" t="n">
        <f aca="false">G110/Inputs!$B$7</f>
        <v>0.895711944698577</v>
      </c>
      <c r="I110" s="28" t="n">
        <f aca="false">Result!$B$29+(G110-Residents!$B$189)*Occupancy!$B$11</f>
        <v>1529716.18997661</v>
      </c>
      <c r="J110" s="28" t="n">
        <f aca="false">($I$7-I110)/12</f>
        <v>67.554852861523</v>
      </c>
      <c r="K110" s="28" t="n">
        <f aca="false">IF(AND(A110&gt;=$O$6,I110&lt;$I$7*0.995),($I$7-I110)/12,0)</f>
        <v>0</v>
      </c>
      <c r="L110" s="39" t="n">
        <f aca="false">IF(AND(A110&gt;=$O$6,H110&gt;=0.99*$H$11),A110,"")</f>
        <v>99</v>
      </c>
    </row>
    <row r="111" customFormat="false" ht="15" hidden="false" customHeight="false" outlineLevel="0" collapsed="false">
      <c r="A111" s="39" t="n">
        <v>100</v>
      </c>
      <c r="B111" s="18" t="str">
        <f aca="false">IF(A111&gt;=Inputs!$B$68,"yes","no")</f>
        <v>yes</v>
      </c>
      <c r="C111" s="31" t="n">
        <f aca="false">IF(A110&gt;=Inputs!$B$68,MIN((Inputs!$B$8+(Inputs!$B$9-Inputs!$B$8)*MAX(0,($I$6-SUM(D111:F111)/Inputs!$B$7)/$I$6))*IF(AND(Inputs!$B$68&gt;0,A110&lt;Inputs!$B$68+Inputs!$B$70),Inputs!$B$69,1),Inputs!$B$7-SUM(D111:F111)),0)</f>
        <v>2.79069720086944</v>
      </c>
      <c r="D111" s="31" t="n">
        <f aca="false">C110*(1-Inputs!$B$10)</f>
        <v>2.46981663699525</v>
      </c>
      <c r="E111" s="31" t="n">
        <f aca="false">D110*(1-Inputs!$B$11)</f>
        <v>2.33402737741869</v>
      </c>
      <c r="F111" s="31" t="n">
        <f aca="false">E110*(1-Inputs!$B$11)+F110*(1-Inputs!$B$12)</f>
        <v>55.1066328894695</v>
      </c>
      <c r="G111" s="31" t="n">
        <f aca="false">SUM(C111:F111)</f>
        <v>62.7011741047529</v>
      </c>
      <c r="H111" s="37" t="n">
        <f aca="false">G111/Inputs!$B$7</f>
        <v>0.895731058639327</v>
      </c>
      <c r="I111" s="28" t="n">
        <f aca="false">Result!$B$29+(G111-Residents!$B$189)*Occupancy!$B$11</f>
        <v>1529776.52293287</v>
      </c>
      <c r="J111" s="28" t="n">
        <f aca="false">($I$7-I111)/12</f>
        <v>62.5271065061097</v>
      </c>
      <c r="K111" s="28" t="n">
        <f aca="false">IF(AND(A111&gt;=$O$6,I111&lt;$I$7*0.995),($I$7-I111)/12,0)</f>
        <v>0</v>
      </c>
      <c r="L111" s="39" t="n">
        <f aca="false">IF(AND(A111&gt;=$O$6,H111&gt;=0.99*$H$11),A111,"")</f>
        <v>100</v>
      </c>
    </row>
    <row r="112" customFormat="false" ht="15" hidden="false" customHeight="false" outlineLevel="0" collapsed="false">
      <c r="A112" s="39" t="n">
        <v>101</v>
      </c>
      <c r="B112" s="18" t="str">
        <f aca="false">IF(A112&gt;=Inputs!$B$68,"yes","no")</f>
        <v>yes</v>
      </c>
      <c r="C112" s="31" t="n">
        <f aca="false">IF(A111&gt;=Inputs!$B$68,MIN((Inputs!$B$8+(Inputs!$B$9-Inputs!$B$8)*MAX(0,($I$6-SUM(D112:F112)/Inputs!$B$7)/$I$6))*IF(AND(Inputs!$B$68&gt;0,A111&lt;Inputs!$B$68+Inputs!$B$70),Inputs!$B$69,1),Inputs!$B$7-SUM(D112:F112)),0)</f>
        <v>2.79064531193798</v>
      </c>
      <c r="D112" s="31" t="n">
        <f aca="false">C111*(1-Inputs!$B$10)</f>
        <v>2.46976702276946</v>
      </c>
      <c r="E112" s="31" t="n">
        <f aca="false">D111*(1-Inputs!$B$11)</f>
        <v>2.33397672196051</v>
      </c>
      <c r="F112" s="31" t="n">
        <f aca="false">E111*(1-Inputs!$B$11)+F111*(1-Inputs!$B$12)</f>
        <v>55.1080234455514</v>
      </c>
      <c r="G112" s="31" t="n">
        <f aca="false">SUM(C112:F112)</f>
        <v>62.7024125022193</v>
      </c>
      <c r="H112" s="37" t="n">
        <f aca="false">G112/Inputs!$B$7</f>
        <v>0.895748750031704</v>
      </c>
      <c r="I112" s="28" t="n">
        <f aca="false">Result!$B$29+(G112-Residents!$B$189)*Occupancy!$B$11</f>
        <v>1529832.36562992</v>
      </c>
      <c r="J112" s="28" t="n">
        <f aca="false">($I$7-I112)/12</f>
        <v>57.873548419079</v>
      </c>
      <c r="K112" s="28" t="n">
        <f aca="false">IF(AND(A112&gt;=$O$6,I112&lt;$I$7*0.995),($I$7-I112)/12,0)</f>
        <v>0</v>
      </c>
      <c r="L112" s="39" t="n">
        <f aca="false">IF(AND(A112&gt;=$O$6,H112&gt;=0.99*$H$11),A112,"")</f>
        <v>101</v>
      </c>
    </row>
    <row r="113" customFormat="false" ht="15" hidden="false" customHeight="false" outlineLevel="0" collapsed="false">
      <c r="A113" s="39" t="n">
        <v>102</v>
      </c>
      <c r="B113" s="18" t="str">
        <f aca="false">IF(A113&gt;=Inputs!$B$68,"yes","no")</f>
        <v>yes</v>
      </c>
      <c r="C113" s="31" t="n">
        <f aca="false">IF(A112&gt;=Inputs!$B$68,MIN((Inputs!$B$8+(Inputs!$B$9-Inputs!$B$8)*MAX(0,($I$6-SUM(D113:F113)/Inputs!$B$7)/$I$6))*IF(AND(Inputs!$B$68&gt;0,A112&lt;Inputs!$B$68+Inputs!$B$70),Inputs!$B$69,1),Inputs!$B$7-SUM(D113:F113)),0)</f>
        <v>2.79059728482213</v>
      </c>
      <c r="D113" s="31" t="n">
        <f aca="false">C112*(1-Inputs!$B$10)</f>
        <v>2.46972110106511</v>
      </c>
      <c r="E113" s="31" t="n">
        <f aca="false">D112*(1-Inputs!$B$11)</f>
        <v>2.33392983651714</v>
      </c>
      <c r="F113" s="31" t="n">
        <f aca="false">E112*(1-Inputs!$B$11)+F112*(1-Inputs!$B$12)</f>
        <v>55.109310509982</v>
      </c>
      <c r="G113" s="31" t="n">
        <f aca="false">SUM(C113:F113)</f>
        <v>62.7035587323864</v>
      </c>
      <c r="H113" s="37" t="n">
        <f aca="false">G113/Inputs!$B$7</f>
        <v>0.895765124748377</v>
      </c>
      <c r="I113" s="28" t="n">
        <f aca="false">Result!$B$29+(G113-Residents!$B$189)*Occupancy!$B$11</f>
        <v>1529884.05225372</v>
      </c>
      <c r="J113" s="28" t="n">
        <f aca="false">($I$7-I113)/12</f>
        <v>53.5663297691499</v>
      </c>
      <c r="K113" s="28" t="n">
        <f aca="false">IF(AND(A113&gt;=$O$6,I113&lt;$I$7*0.995),($I$7-I113)/12,0)</f>
        <v>0</v>
      </c>
      <c r="L113" s="39" t="n">
        <f aca="false">IF(AND(A113&gt;=$O$6,H113&gt;=0.99*$H$11),A113,"")</f>
        <v>102</v>
      </c>
    </row>
    <row r="114" customFormat="false" ht="15" hidden="false" customHeight="false" outlineLevel="0" collapsed="false">
      <c r="A114" s="39" t="n">
        <v>103</v>
      </c>
      <c r="B114" s="18" t="str">
        <f aca="false">IF(A114&gt;=Inputs!$B$68,"yes","no")</f>
        <v>yes</v>
      </c>
      <c r="C114" s="31" t="n">
        <f aca="false">IF(A113&gt;=Inputs!$B$68,MIN((Inputs!$B$8+(Inputs!$B$9-Inputs!$B$8)*MAX(0,($I$6-SUM(D114:F114)/Inputs!$B$7)/$I$6))*IF(AND(Inputs!$B$68&gt;0,A113&lt;Inputs!$B$68+Inputs!$B$70),Inputs!$B$69,1),Inputs!$B$7-SUM(D114:F114)),0)</f>
        <v>2.79055283210763</v>
      </c>
      <c r="D114" s="31" t="n">
        <f aca="false">C113*(1-Inputs!$B$10)</f>
        <v>2.46967859706759</v>
      </c>
      <c r="E114" s="31" t="n">
        <f aca="false">D113*(1-Inputs!$B$11)</f>
        <v>2.33388644050653</v>
      </c>
      <c r="F114" s="31" t="n">
        <f aca="false">E113*(1-Inputs!$B$11)+F113*(1-Inputs!$B$12)</f>
        <v>55.1105017850914</v>
      </c>
      <c r="G114" s="31" t="n">
        <f aca="false">SUM(C114:F114)</f>
        <v>62.7046196547732</v>
      </c>
      <c r="H114" s="37" t="n">
        <f aca="false">G114/Inputs!$B$7</f>
        <v>0.895780280782474</v>
      </c>
      <c r="I114" s="28" t="n">
        <f aca="false">Result!$B$29+(G114-Residents!$B$189)*Occupancy!$B$11</f>
        <v>1529931.89211857</v>
      </c>
      <c r="J114" s="28" t="n">
        <f aca="false">($I$7-I114)/12</f>
        <v>49.5796743645139</v>
      </c>
      <c r="K114" s="28" t="n">
        <f aca="false">IF(AND(A114&gt;=$O$6,I114&lt;$I$7*0.995),($I$7-I114)/12,0)</f>
        <v>0</v>
      </c>
      <c r="L114" s="39" t="n">
        <f aca="false">IF(AND(A114&gt;=$O$6,H114&gt;=0.99*$H$11),A114,"")</f>
        <v>103</v>
      </c>
    </row>
    <row r="115" customFormat="false" ht="15" hidden="false" customHeight="false" outlineLevel="0" collapsed="false">
      <c r="A115" s="39" t="n">
        <v>104</v>
      </c>
      <c r="B115" s="18" t="str">
        <f aca="false">IF(A115&gt;=Inputs!$B$68,"yes","no")</f>
        <v>yes</v>
      </c>
      <c r="C115" s="31" t="n">
        <f aca="false">IF(A114&gt;=Inputs!$B$68,MIN((Inputs!$B$8+(Inputs!$B$9-Inputs!$B$8)*MAX(0,($I$6-SUM(D115:F115)/Inputs!$B$7)/$I$6))*IF(AND(Inputs!$B$68&gt;0,A114&lt;Inputs!$B$68+Inputs!$B$70),Inputs!$B$69,1),Inputs!$B$7-SUM(D115:F115)),0)</f>
        <v>2.79051168777089</v>
      </c>
      <c r="D115" s="31" t="n">
        <f aca="false">C114*(1-Inputs!$B$10)</f>
        <v>2.46963925641525</v>
      </c>
      <c r="E115" s="31" t="n">
        <f aca="false">D114*(1-Inputs!$B$11)</f>
        <v>2.33384627422887</v>
      </c>
      <c r="F115" s="31" t="n">
        <f aca="false">E114*(1-Inputs!$B$11)+F114*(1-Inputs!$B$12)</f>
        <v>55.1116043999664</v>
      </c>
      <c r="G115" s="31" t="n">
        <f aca="false">SUM(C115:F115)</f>
        <v>62.7056016183814</v>
      </c>
      <c r="H115" s="37" t="n">
        <f aca="false">G115/Inputs!$B$7</f>
        <v>0.89579430883402</v>
      </c>
      <c r="I115" s="28" t="n">
        <f aca="false">Result!$B$29+(G115-Residents!$B$189)*Occupancy!$B$11</f>
        <v>1529976.17151818</v>
      </c>
      <c r="J115" s="28" t="n">
        <f aca="false">($I$7-I115)/12</f>
        <v>45.8897243974692</v>
      </c>
      <c r="K115" s="28" t="n">
        <f aca="false">IF(AND(A115&gt;=$O$6,I115&lt;$I$7*0.995),($I$7-I115)/12,0)</f>
        <v>0</v>
      </c>
      <c r="L115" s="39" t="n">
        <f aca="false">IF(AND(A115&gt;=$O$6,H115&gt;=0.99*$H$11),A115,"")</f>
        <v>104</v>
      </c>
    </row>
    <row r="116" customFormat="false" ht="15" hidden="false" customHeight="false" outlineLevel="0" collapsed="false">
      <c r="A116" s="39" t="n">
        <v>105</v>
      </c>
      <c r="B116" s="18" t="str">
        <f aca="false">IF(A116&gt;=Inputs!$B$68,"yes","no")</f>
        <v>yes</v>
      </c>
      <c r="C116" s="31" t="n">
        <f aca="false">IF(A115&gt;=Inputs!$B$68,MIN((Inputs!$B$8+(Inputs!$B$9-Inputs!$B$8)*MAX(0,($I$6-SUM(D116:F116)/Inputs!$B$7)/$I$6))*IF(AND(Inputs!$B$68&gt;0,A115&lt;Inputs!$B$68+Inputs!$B$70),Inputs!$B$69,1),Inputs!$B$7-SUM(D116:F116)),0)</f>
        <v>2.79047360558706</v>
      </c>
      <c r="D116" s="31" t="n">
        <f aca="false">C115*(1-Inputs!$B$10)</f>
        <v>2.46960284367724</v>
      </c>
      <c r="E116" s="31" t="n">
        <f aca="false">D115*(1-Inputs!$B$11)</f>
        <v>2.33380909731241</v>
      </c>
      <c r="F116" s="31" t="n">
        <f aca="false">E115*(1-Inputs!$B$11)+F115*(1-Inputs!$B$12)</f>
        <v>55.112624953114</v>
      </c>
      <c r="G116" s="31" t="n">
        <f aca="false">SUM(C116:F116)</f>
        <v>62.7065104996908</v>
      </c>
      <c r="H116" s="37" t="n">
        <f aca="false">G116/Inputs!$B$7</f>
        <v>0.895807292852725</v>
      </c>
      <c r="I116" s="28" t="n">
        <f aca="false">Result!$B$29+(G116-Residents!$B$189)*Occupancy!$B$11</f>
        <v>1530017.15543892</v>
      </c>
      <c r="J116" s="28" t="n">
        <f aca="false">($I$7-I116)/12</f>
        <v>42.4743976693911</v>
      </c>
      <c r="K116" s="28" t="n">
        <f aca="false">IF(AND(A116&gt;=$O$6,I116&lt;$I$7*0.995),($I$7-I116)/12,0)</f>
        <v>0</v>
      </c>
      <c r="L116" s="39" t="n">
        <f aca="false">IF(AND(A116&gt;=$O$6,H116&gt;=0.99*$H$11),A116,"")</f>
        <v>105</v>
      </c>
    </row>
    <row r="117" customFormat="false" ht="15" hidden="false" customHeight="false" outlineLevel="0" collapsed="false">
      <c r="A117" s="39" t="n">
        <v>106</v>
      </c>
      <c r="B117" s="18" t="str">
        <f aca="false">IF(A117&gt;=Inputs!$B$68,"yes","no")</f>
        <v>yes</v>
      </c>
      <c r="C117" s="31" t="n">
        <f aca="false">IF(A116&gt;=Inputs!$B$68,MIN((Inputs!$B$8+(Inputs!$B$9-Inputs!$B$8)*MAX(0,($I$6-SUM(D117:F117)/Inputs!$B$7)/$I$6))*IF(AND(Inputs!$B$68&gt;0,A116&lt;Inputs!$B$68+Inputs!$B$70),Inputs!$B$69,1),Inputs!$B$7-SUM(D117:F117)),0)</f>
        <v>2.79043835765648</v>
      </c>
      <c r="D117" s="31" t="n">
        <f aca="false">C116*(1-Inputs!$B$10)</f>
        <v>2.46956914094455</v>
      </c>
      <c r="E117" s="31" t="n">
        <f aca="false">D116*(1-Inputs!$B$11)</f>
        <v>2.33377468727499</v>
      </c>
      <c r="F117" s="31" t="n">
        <f aca="false">E116*(1-Inputs!$B$11)+F116*(1-Inputs!$B$12)</f>
        <v>55.1135695519497</v>
      </c>
      <c r="G117" s="31" t="n">
        <f aca="false">SUM(C117:F117)</f>
        <v>62.7073517378257</v>
      </c>
      <c r="H117" s="37" t="n">
        <f aca="false">G117/Inputs!$B$7</f>
        <v>0.895819310540368</v>
      </c>
      <c r="I117" s="28" t="n">
        <f aca="false">Result!$B$29+(G117-Residents!$B$189)*Occupancy!$B$11</f>
        <v>1530055.08914565</v>
      </c>
      <c r="J117" s="28" t="n">
        <f aca="false">($I$7-I117)/12</f>
        <v>39.3132554415109</v>
      </c>
      <c r="K117" s="28" t="n">
        <f aca="false">IF(AND(A117&gt;=$O$6,I117&lt;$I$7*0.995),($I$7-I117)/12,0)</f>
        <v>0</v>
      </c>
      <c r="L117" s="39" t="n">
        <f aca="false">IF(AND(A117&gt;=$O$6,H117&gt;=0.99*$H$11),A117,"")</f>
        <v>106</v>
      </c>
    </row>
    <row r="118" customFormat="false" ht="15" hidden="false" customHeight="false" outlineLevel="0" collapsed="false">
      <c r="A118" s="39" t="n">
        <v>107</v>
      </c>
      <c r="B118" s="18" t="str">
        <f aca="false">IF(A118&gt;=Inputs!$B$68,"yes","no")</f>
        <v>yes</v>
      </c>
      <c r="C118" s="31" t="n">
        <f aca="false">IF(A117&gt;=Inputs!$B$68,MIN((Inputs!$B$8+(Inputs!$B$9-Inputs!$B$8)*MAX(0,($I$6-SUM(D118:F118)/Inputs!$B$7)/$I$6))*IF(AND(Inputs!$B$68&gt;0,A117&lt;Inputs!$B$68+Inputs!$B$70),Inputs!$B$69,1),Inputs!$B$7-SUM(D118:F118)),0)</f>
        <v>2.79040573304083</v>
      </c>
      <c r="D118" s="31" t="n">
        <f aca="false">C117*(1-Inputs!$B$10)</f>
        <v>2.46953794652598</v>
      </c>
      <c r="E118" s="31" t="n">
        <f aca="false">D117*(1-Inputs!$B$11)</f>
        <v>2.3337428381926</v>
      </c>
      <c r="F118" s="31" t="n">
        <f aca="false">E117*(1-Inputs!$B$11)+F117*(1-Inputs!$B$12)</f>
        <v>55.1144438493466</v>
      </c>
      <c r="G118" s="31" t="n">
        <f aca="false">SUM(C118:F118)</f>
        <v>62.708130367106</v>
      </c>
      <c r="H118" s="37" t="n">
        <f aca="false">G118/Inputs!$B$7</f>
        <v>0.8958304338158</v>
      </c>
      <c r="I118" s="28" t="n">
        <f aca="false">Result!$B$29+(G118-Residents!$B$189)*Occupancy!$B$11</f>
        <v>1530090.1996495</v>
      </c>
      <c r="J118" s="28" t="n">
        <f aca="false">($I$7-I118)/12</f>
        <v>36.387380121043</v>
      </c>
      <c r="K118" s="28" t="n">
        <f aca="false">IF(AND(A118&gt;=$O$6,I118&lt;$I$7*0.995),($I$7-I118)/12,0)</f>
        <v>0</v>
      </c>
      <c r="L118" s="39" t="n">
        <f aca="false">IF(AND(A118&gt;=$O$6,H118&gt;=0.99*$H$11),A118,"")</f>
        <v>107</v>
      </c>
    </row>
    <row r="119" customFormat="false" ht="15" hidden="false" customHeight="false" outlineLevel="0" collapsed="false">
      <c r="A119" s="39" t="n">
        <v>108</v>
      </c>
      <c r="B119" s="18" t="str">
        <f aca="false">IF(A119&gt;=Inputs!$B$68,"yes","no")</f>
        <v>yes</v>
      </c>
      <c r="C119" s="31" t="n">
        <f aca="false">IF(A118&gt;=Inputs!$B$68,MIN((Inputs!$B$8+(Inputs!$B$9-Inputs!$B$8)*MAX(0,($I$6-SUM(D119:F119)/Inputs!$B$7)/$I$6))*IF(AND(Inputs!$B$68&gt;0,A118&lt;Inputs!$B$68+Inputs!$B$70),Inputs!$B$69,1),Inputs!$B$7-SUM(D119:F119)),0)</f>
        <v>2.79037553650082</v>
      </c>
      <c r="D119" s="31" t="n">
        <f aca="false">C118*(1-Inputs!$B$10)</f>
        <v>2.46950907374114</v>
      </c>
      <c r="E119" s="31" t="n">
        <f aca="false">D118*(1-Inputs!$B$11)</f>
        <v>2.33371335946705</v>
      </c>
      <c r="F119" s="31" t="n">
        <f aca="false">E118*(1-Inputs!$B$11)+F118*(1-Inputs!$B$12)</f>
        <v>55.1152530774647</v>
      </c>
      <c r="G119" s="31" t="n">
        <f aca="false">SUM(C119:F119)</f>
        <v>62.7088510471737</v>
      </c>
      <c r="H119" s="37" t="n">
        <f aca="false">G119/Inputs!$B$7</f>
        <v>0.895840729245339</v>
      </c>
      <c r="I119" s="28" t="n">
        <f aca="false">Result!$B$29+(G119-Residents!$B$189)*Occupancy!$B$11</f>
        <v>1530122.69706634</v>
      </c>
      <c r="J119" s="28" t="n">
        <f aca="false">($I$7-I119)/12</f>
        <v>33.6792620505245</v>
      </c>
      <c r="K119" s="28" t="n">
        <f aca="false">IF(AND(A119&gt;=$O$6,I119&lt;$I$7*0.995),($I$7-I119)/12,0)</f>
        <v>0</v>
      </c>
      <c r="L119" s="39" t="n">
        <f aca="false">IF(AND(A119&gt;=$O$6,H119&gt;=0.99*$H$11),A119,"")</f>
        <v>108</v>
      </c>
    </row>
    <row r="120" customFormat="false" ht="15" hidden="false" customHeight="false" outlineLevel="0" collapsed="false">
      <c r="A120" s="39" t="n">
        <v>109</v>
      </c>
      <c r="B120" s="18" t="str">
        <f aca="false">IF(A120&gt;=Inputs!$B$68,"yes","no")</f>
        <v>yes</v>
      </c>
      <c r="C120" s="31" t="n">
        <f aca="false">IF(A119&gt;=Inputs!$B$68,MIN((Inputs!$B$8+(Inputs!$B$9-Inputs!$B$8)*MAX(0,($I$6-SUM(D120:F120)/Inputs!$B$7)/$I$6))*IF(AND(Inputs!$B$68&gt;0,A119&lt;Inputs!$B$68+Inputs!$B$70),Inputs!$B$69,1),Inputs!$B$7-SUM(D120:F120)),0)</f>
        <v>2.79034758732777</v>
      </c>
      <c r="D120" s="31" t="n">
        <f aca="false">C119*(1-Inputs!$B$10)</f>
        <v>2.46948234980323</v>
      </c>
      <c r="E120" s="31" t="n">
        <f aca="false">D119*(1-Inputs!$B$11)</f>
        <v>2.33368607468537</v>
      </c>
      <c r="F120" s="31" t="n">
        <f aca="false">E119*(1-Inputs!$B$11)+F119*(1-Inputs!$B$12)</f>
        <v>55.1160020790625</v>
      </c>
      <c r="G120" s="31" t="n">
        <f aca="false">SUM(C120:F120)</f>
        <v>62.7095180908789</v>
      </c>
      <c r="H120" s="37" t="n">
        <f aca="false">G120/Inputs!$B$7</f>
        <v>0.895850258441127</v>
      </c>
      <c r="I120" s="28" t="n">
        <f aca="false">Result!$B$29+(G120-Residents!$B$189)*Occupancy!$B$11</f>
        <v>1530152.77587428</v>
      </c>
      <c r="J120" s="28" t="n">
        <f aca="false">($I$7-I120)/12</f>
        <v>31.1726947225591</v>
      </c>
      <c r="K120" s="28" t="n">
        <f aca="false">IF(AND(A120&gt;=$O$6,I120&lt;$I$7*0.995),($I$7-I120)/12,0)</f>
        <v>0</v>
      </c>
      <c r="L120" s="39" t="n">
        <f aca="false">IF(AND(A120&gt;=$O$6,H120&gt;=0.99*$H$11),A120,"")</f>
        <v>109</v>
      </c>
    </row>
    <row r="121" customFormat="false" ht="15" hidden="false" customHeight="false" outlineLevel="0" collapsed="false">
      <c r="A121" s="39" t="n">
        <v>110</v>
      </c>
      <c r="B121" s="18" t="str">
        <f aca="false">IF(A121&gt;=Inputs!$B$68,"yes","no")</f>
        <v>yes</v>
      </c>
      <c r="C121" s="31" t="n">
        <f aca="false">IF(A120&gt;=Inputs!$B$68,MIN((Inputs!$B$8+(Inputs!$B$9-Inputs!$B$8)*MAX(0,($I$6-SUM(D121:F121)/Inputs!$B$7)/$I$6))*IF(AND(Inputs!$B$68&gt;0,A120&lt;Inputs!$B$68+Inputs!$B$70),Inputs!$B$69,1),Inputs!$B$7-SUM(D121:F121)),0)</f>
        <v>2.79032171826217</v>
      </c>
      <c r="D121" s="31" t="n">
        <f aca="false">C120*(1-Inputs!$B$10)</f>
        <v>2.46945761478507</v>
      </c>
      <c r="E121" s="31" t="n">
        <f aca="false">D120*(1-Inputs!$B$11)</f>
        <v>2.33366082056405</v>
      </c>
      <c r="F121" s="31" t="n">
        <f aca="false">E120*(1-Inputs!$B$11)+F120*(1-Inputs!$B$12)</f>
        <v>55.1166953364777</v>
      </c>
      <c r="G121" s="31" t="n">
        <f aca="false">SUM(C121:F121)</f>
        <v>62.710135490089</v>
      </c>
      <c r="H121" s="37" t="n">
        <f aca="false">G121/Inputs!$B$7</f>
        <v>0.895859078429842</v>
      </c>
      <c r="I121" s="28" t="n">
        <f aca="false">Result!$B$29+(G121-Residents!$B$189)*Occupancy!$B$11</f>
        <v>1530180.61607743</v>
      </c>
      <c r="J121" s="28" t="n">
        <f aca="false">($I$7-I121)/12</f>
        <v>28.8526777935137</v>
      </c>
      <c r="K121" s="28" t="n">
        <f aca="false">IF(AND(A121&gt;=$O$6,I121&lt;$I$7*0.995),($I$7-I121)/12,0)</f>
        <v>0</v>
      </c>
      <c r="L121" s="39" t="n">
        <f aca="false">IF(AND(A121&gt;=$O$6,H121&gt;=0.99*$H$11),A121,"")</f>
        <v>110</v>
      </c>
    </row>
    <row r="122" customFormat="false" ht="15" hidden="false" customHeight="false" outlineLevel="0" collapsed="false">
      <c r="A122" s="39" t="n">
        <v>111</v>
      </c>
      <c r="B122" s="18" t="str">
        <f aca="false">IF(A122&gt;=Inputs!$B$68,"yes","no")</f>
        <v>yes</v>
      </c>
      <c r="C122" s="31" t="n">
        <f aca="false">IF(A121&gt;=Inputs!$B$68,MIN((Inputs!$B$8+(Inputs!$B$9-Inputs!$B$8)*MAX(0,($I$6-SUM(D122:F122)/Inputs!$B$7)/$I$6))*IF(AND(Inputs!$B$68&gt;0,A121&lt;Inputs!$B$68+Inputs!$B$70),Inputs!$B$69,1),Inputs!$B$7-SUM(D122:F122)),0)</f>
        <v>2.79029777449275</v>
      </c>
      <c r="D122" s="31" t="n">
        <f aca="false">C121*(1-Inputs!$B$10)</f>
        <v>2.46943472066202</v>
      </c>
      <c r="E122" s="31" t="n">
        <f aca="false">D121*(1-Inputs!$B$11)</f>
        <v>2.33363744597189</v>
      </c>
      <c r="F122" s="31" t="n">
        <f aca="false">E121*(1-Inputs!$B$11)+F121*(1-Inputs!$B$12)</f>
        <v>55.1173369984516</v>
      </c>
      <c r="G122" s="31" t="n">
        <f aca="false">SUM(C122:F122)</f>
        <v>62.7107069395782</v>
      </c>
      <c r="H122" s="37" t="n">
        <f aca="false">G122/Inputs!$B$7</f>
        <v>0.895867241993975</v>
      </c>
      <c r="I122" s="28" t="n">
        <f aca="false">Result!$B$29+(G122-Residents!$B$189)*Occupancy!$B$11</f>
        <v>1530206.38428317</v>
      </c>
      <c r="J122" s="28" t="n">
        <f aca="false">($I$7-I122)/12</f>
        <v>26.7053273150038</v>
      </c>
      <c r="K122" s="28" t="n">
        <f aca="false">IF(AND(A122&gt;=$O$6,I122&lt;$I$7*0.995),($I$7-I122)/12,0)</f>
        <v>0</v>
      </c>
      <c r="L122" s="39" t="n">
        <f aca="false">IF(AND(A122&gt;=$O$6,H122&gt;=0.99*$H$11),A122,"")</f>
        <v>111</v>
      </c>
    </row>
    <row r="123" customFormat="false" ht="15" hidden="false" customHeight="false" outlineLevel="0" collapsed="false">
      <c r="A123" s="39" t="n">
        <v>112</v>
      </c>
      <c r="B123" s="18" t="str">
        <f aca="false">IF(A123&gt;=Inputs!$B$68,"yes","no")</f>
        <v>yes</v>
      </c>
      <c r="C123" s="31" t="n">
        <f aca="false">IF(A122&gt;=Inputs!$B$68,MIN((Inputs!$B$8+(Inputs!$B$9-Inputs!$B$8)*MAX(0,($I$6-SUM(D123:F123)/Inputs!$B$7)/$I$6))*IF(AND(Inputs!$B$68&gt;0,A122&lt;Inputs!$B$68+Inputs!$B$70),Inputs!$B$69,1),Inputs!$B$7-SUM(D123:F123)),0)</f>
        <v>2.79027561273001</v>
      </c>
      <c r="D123" s="31" t="n">
        <f aca="false">C122*(1-Inputs!$B$10)</f>
        <v>2.46941353042608</v>
      </c>
      <c r="E123" s="31" t="n">
        <f aca="false">D122*(1-Inputs!$B$11)</f>
        <v>2.33361581102561</v>
      </c>
      <c r="F123" s="31" t="n">
        <f aca="false">E122*(1-Inputs!$B$11)+F122*(1-Inputs!$B$12)</f>
        <v>55.117930904957</v>
      </c>
      <c r="G123" s="31" t="n">
        <f aca="false">SUM(C123:F123)</f>
        <v>62.7112358591387</v>
      </c>
      <c r="H123" s="37" t="n">
        <f aca="false">G123/Inputs!$B$7</f>
        <v>0.895874797987695</v>
      </c>
      <c r="I123" s="28" t="n">
        <f aca="false">Result!$B$29+(G123-Residents!$B$189)*Occupancy!$B$11</f>
        <v>1530230.23469919</v>
      </c>
      <c r="J123" s="28" t="n">
        <f aca="false">($I$7-I123)/12</f>
        <v>24.717792646649</v>
      </c>
      <c r="K123" s="28" t="n">
        <f aca="false">IF(AND(A123&gt;=$O$6,I123&lt;$I$7*0.995),($I$7-I123)/12,0)</f>
        <v>0</v>
      </c>
      <c r="L123" s="39" t="n">
        <f aca="false">IF(AND(A123&gt;=$O$6,H123&gt;=0.99*$H$11),A123,"")</f>
        <v>112</v>
      </c>
    </row>
    <row r="124" customFormat="false" ht="15" hidden="false" customHeight="false" outlineLevel="0" collapsed="false">
      <c r="A124" s="39" t="n">
        <v>113</v>
      </c>
      <c r="B124" s="18" t="str">
        <f aca="false">IF(A124&gt;=Inputs!$B$68,"yes","no")</f>
        <v>yes</v>
      </c>
      <c r="C124" s="31" t="n">
        <f aca="false">IF(A123&gt;=Inputs!$B$68,MIN((Inputs!$B$8+(Inputs!$B$9-Inputs!$B$8)*MAX(0,($I$6-SUM(D124:F124)/Inputs!$B$7)/$I$6))*IF(AND(Inputs!$B$68&gt;0,A123&lt;Inputs!$B$68+Inputs!$B$70),Inputs!$B$69,1),Inputs!$B$7-SUM(D124:F124)),0)</f>
        <v>2.79025510034874</v>
      </c>
      <c r="D124" s="31" t="n">
        <f aca="false">C123*(1-Inputs!$B$10)</f>
        <v>2.46939391726606</v>
      </c>
      <c r="E124" s="31" t="n">
        <f aca="false">D123*(1-Inputs!$B$11)</f>
        <v>2.33359578625265</v>
      </c>
      <c r="F124" s="31" t="n">
        <f aca="false">E123*(1-Inputs!$B$11)+F123*(1-Inputs!$B$12)</f>
        <v>55.1184806101779</v>
      </c>
      <c r="G124" s="31" t="n">
        <f aca="false">SUM(C124:F124)</f>
        <v>62.7117254140453</v>
      </c>
      <c r="H124" s="37" t="n">
        <f aca="false">G124/Inputs!$B$7</f>
        <v>0.895881791629219</v>
      </c>
      <c r="I124" s="28" t="n">
        <f aca="false">Result!$B$29+(G124-Residents!$B$189)*Occupancy!$B$11</f>
        <v>1530252.31005632</v>
      </c>
      <c r="J124" s="28" t="n">
        <f aca="false">($I$7-I124)/12</f>
        <v>22.8781795525574</v>
      </c>
      <c r="K124" s="28" t="n">
        <f aca="false">IF(AND(A124&gt;=$O$6,I124&lt;$I$7*0.995),($I$7-I124)/12,0)</f>
        <v>0</v>
      </c>
      <c r="L124" s="39" t="n">
        <f aca="false">IF(AND(A124&gt;=$O$6,H124&gt;=0.99*$H$11),A124,"")</f>
        <v>113</v>
      </c>
    </row>
    <row r="125" customFormat="false" ht="15" hidden="false" customHeight="false" outlineLevel="0" collapsed="false">
      <c r="A125" s="39" t="n">
        <v>114</v>
      </c>
      <c r="B125" s="18" t="str">
        <f aca="false">IF(A125&gt;=Inputs!$B$68,"yes","no")</f>
        <v>yes</v>
      </c>
      <c r="C125" s="31" t="n">
        <f aca="false">IF(A124&gt;=Inputs!$B$68,MIN((Inputs!$B$8+(Inputs!$B$9-Inputs!$B$8)*MAX(0,($I$6-SUM(D125:F125)/Inputs!$B$7)/$I$6))*IF(AND(Inputs!$B$68&gt;0,A124&lt;Inputs!$B$68+Inputs!$B$70),Inputs!$B$69,1),Inputs!$B$7-SUM(D125:F125)),0)</f>
        <v>2.79023611459428</v>
      </c>
      <c r="D125" s="31" t="n">
        <f aca="false">C124*(1-Inputs!$B$10)</f>
        <v>2.46937576380863</v>
      </c>
      <c r="E125" s="31" t="n">
        <f aca="false">D124*(1-Inputs!$B$11)</f>
        <v>2.33357725181643</v>
      </c>
      <c r="F125" s="31" t="n">
        <f aca="false">E124*(1-Inputs!$B$11)+F124*(1-Inputs!$B$12)</f>
        <v>55.1189894037795</v>
      </c>
      <c r="G125" s="31" t="n">
        <f aca="false">SUM(C125:F125)</f>
        <v>62.7121785339989</v>
      </c>
      <c r="H125" s="37" t="n">
        <f aca="false">G125/Inputs!$B$7</f>
        <v>0.895888264771412</v>
      </c>
      <c r="I125" s="28" t="n">
        <f aca="false">Result!$B$29+(G125-Residents!$B$189)*Occupancy!$B$11</f>
        <v>1530272.74246269</v>
      </c>
      <c r="J125" s="28" t="n">
        <f aca="false">($I$7-I125)/12</f>
        <v>21.1754790211756</v>
      </c>
      <c r="K125" s="28" t="n">
        <f aca="false">IF(AND(A125&gt;=$O$6,I125&lt;$I$7*0.995),($I$7-I125)/12,0)</f>
        <v>0</v>
      </c>
      <c r="L125" s="39" t="n">
        <f aca="false">IF(AND(A125&gt;=$O$6,H125&gt;=0.99*$H$11),A125,"")</f>
        <v>114</v>
      </c>
    </row>
    <row r="126" customFormat="false" ht="15" hidden="false" customHeight="false" outlineLevel="0" collapsed="false">
      <c r="A126" s="39" t="n">
        <v>115</v>
      </c>
      <c r="B126" s="18" t="str">
        <f aca="false">IF(A126&gt;=Inputs!$B$68,"yes","no")</f>
        <v>yes</v>
      </c>
      <c r="C126" s="31" t="n">
        <f aca="false">IF(A125&gt;=Inputs!$B$68,MIN((Inputs!$B$8+(Inputs!$B$9-Inputs!$B$8)*MAX(0,($I$6-SUM(D126:F126)/Inputs!$B$7)/$I$6))*IF(AND(Inputs!$B$68&gt;0,A125&lt;Inputs!$B$68+Inputs!$B$70),Inputs!$B$69,1),Inputs!$B$7-SUM(D126:F126)),0)</f>
        <v>2.79021854184798</v>
      </c>
      <c r="D126" s="31" t="n">
        <f aca="false">C125*(1-Inputs!$B$10)</f>
        <v>2.46935896141594</v>
      </c>
      <c r="E126" s="31" t="n">
        <f aca="false">D125*(1-Inputs!$B$11)</f>
        <v>2.33356009679916</v>
      </c>
      <c r="F126" s="31" t="n">
        <f aca="false">E125*(1-Inputs!$B$11)+F125*(1-Inputs!$B$12)</f>
        <v>55.1194603305949</v>
      </c>
      <c r="G126" s="31" t="n">
        <f aca="false">SUM(C126:F126)</f>
        <v>62.7125979306579</v>
      </c>
      <c r="H126" s="37" t="n">
        <f aca="false">G126/Inputs!$B$7</f>
        <v>0.895894256152256</v>
      </c>
      <c r="I126" s="28" t="n">
        <f aca="false">Result!$B$29+(G126-Residents!$B$189)*Occupancy!$B$11</f>
        <v>1530291.65419435</v>
      </c>
      <c r="J126" s="28" t="n">
        <f aca="false">($I$7-I126)/12</f>
        <v>19.5995013828118</v>
      </c>
      <c r="K126" s="28" t="n">
        <f aca="false">IF(AND(A126&gt;=$O$6,I126&lt;$I$7*0.995),($I$7-I126)/12,0)</f>
        <v>0</v>
      </c>
      <c r="L126" s="39" t="n">
        <f aca="false">IF(AND(A126&gt;=$O$6,H126&gt;=0.99*$H$11),A126,"")</f>
        <v>115</v>
      </c>
    </row>
    <row r="127" customFormat="false" ht="15" hidden="false" customHeight="false" outlineLevel="0" collapsed="false">
      <c r="A127" s="39" t="n">
        <v>116</v>
      </c>
      <c r="B127" s="18" t="str">
        <f aca="false">IF(A127&gt;=Inputs!$B$68,"yes","no")</f>
        <v>yes</v>
      </c>
      <c r="C127" s="31" t="n">
        <f aca="false">IF(A126&gt;=Inputs!$B$68,MIN((Inputs!$B$8+(Inputs!$B$9-Inputs!$B$8)*MAX(0,($I$6-SUM(D127:F127)/Inputs!$B$7)/$I$6))*IF(AND(Inputs!$B$68&gt;0,A126&lt;Inputs!$B$68+Inputs!$B$70),Inputs!$B$69,1),Inputs!$B$7-SUM(D127:F127)),0)</f>
        <v>2.79020227694719</v>
      </c>
      <c r="D127" s="31" t="n">
        <f aca="false">C126*(1-Inputs!$B$10)</f>
        <v>2.46934340953546</v>
      </c>
      <c r="E127" s="31" t="n">
        <f aca="false">D126*(1-Inputs!$B$11)</f>
        <v>2.33354421853806</v>
      </c>
      <c r="F127" s="31" t="n">
        <f aca="false">E126*(1-Inputs!$B$11)+F126*(1-Inputs!$B$12)</f>
        <v>55.1198962088463</v>
      </c>
      <c r="G127" s="31" t="n">
        <f aca="false">SUM(C127:F127)</f>
        <v>62.712986113867</v>
      </c>
      <c r="H127" s="37" t="n">
        <f aca="false">G127/Inputs!$B$7</f>
        <v>0.895899801626671</v>
      </c>
      <c r="I127" s="28" t="n">
        <f aca="false">Result!$B$29+(G127-Residents!$B$189)*Occupancy!$B$11</f>
        <v>1530309.15842698</v>
      </c>
      <c r="J127" s="28" t="n">
        <f aca="false">($I$7-I127)/12</f>
        <v>18.1408153303588</v>
      </c>
      <c r="K127" s="28" t="n">
        <f aca="false">IF(AND(A127&gt;=$O$6,I127&lt;$I$7*0.995),($I$7-I127)/12,0)</f>
        <v>0</v>
      </c>
      <c r="L127" s="39" t="n">
        <f aca="false">IF(AND(A127&gt;=$O$6,H127&gt;=0.99*$H$11),A127,"")</f>
        <v>116</v>
      </c>
    </row>
    <row r="128" customFormat="false" ht="15" hidden="false" customHeight="false" outlineLevel="0" collapsed="false">
      <c r="A128" s="39" t="n">
        <v>117</v>
      </c>
      <c r="B128" s="18" t="str">
        <f aca="false">IF(A128&gt;=Inputs!$B$68,"yes","no")</f>
        <v>yes</v>
      </c>
      <c r="C128" s="31" t="n">
        <f aca="false">IF(A127&gt;=Inputs!$B$68,MIN((Inputs!$B$8+(Inputs!$B$9-Inputs!$B$8)*MAX(0,($I$6-SUM(D128:F128)/Inputs!$B$7)/$I$6))*IF(AND(Inputs!$B$68&gt;0,A127&lt;Inputs!$B$68+Inputs!$B$70),Inputs!$B$69,1),Inputs!$B$7-SUM(D128:F128)),0)</f>
        <v>2.79018722255597</v>
      </c>
      <c r="D128" s="31" t="n">
        <f aca="false">C127*(1-Inputs!$B$10)</f>
        <v>2.46932901509826</v>
      </c>
      <c r="E128" s="31" t="n">
        <f aca="false">D127*(1-Inputs!$B$11)</f>
        <v>2.33352952201101</v>
      </c>
      <c r="F128" s="31" t="n">
        <f aca="false">E127*(1-Inputs!$B$11)+F127*(1-Inputs!$B$12)</f>
        <v>55.1202996470109</v>
      </c>
      <c r="G128" s="31" t="n">
        <f aca="false">SUM(C128:F128)</f>
        <v>62.7133454066761</v>
      </c>
      <c r="H128" s="37" t="n">
        <f aca="false">G128/Inputs!$B$7</f>
        <v>0.895904934381087</v>
      </c>
      <c r="I128" s="28" t="n">
        <f aca="false">Result!$B$29+(G128-Residents!$B$189)*Occupancy!$B$11</f>
        <v>1530325.35991321</v>
      </c>
      <c r="J128" s="28" t="n">
        <f aca="false">($I$7-I128)/12</f>
        <v>16.7906914784301</v>
      </c>
      <c r="K128" s="28" t="n">
        <f aca="false">IF(AND(A128&gt;=$O$6,I128&lt;$I$7*0.995),($I$7-I128)/12,0)</f>
        <v>0</v>
      </c>
      <c r="L128" s="39" t="n">
        <f aca="false">IF(AND(A128&gt;=$O$6,H128&gt;=0.99*$H$11),A128,"")</f>
        <v>117</v>
      </c>
    </row>
    <row r="129" customFormat="false" ht="15" hidden="false" customHeight="false" outlineLevel="0" collapsed="false">
      <c r="A129" s="39" t="n">
        <v>118</v>
      </c>
      <c r="B129" s="18" t="str">
        <f aca="false">IF(A129&gt;=Inputs!$B$68,"yes","no")</f>
        <v>yes</v>
      </c>
      <c r="C129" s="31" t="n">
        <f aca="false">IF(A128&gt;=Inputs!$B$68,MIN((Inputs!$B$8+(Inputs!$B$9-Inputs!$B$8)*MAX(0,($I$6-SUM(D129:F129)/Inputs!$B$7)/$I$6))*IF(AND(Inputs!$B$68&gt;0,A128&lt;Inputs!$B$68+Inputs!$B$70),Inputs!$B$69,1),Inputs!$B$7-SUM(D129:F129)),0)</f>
        <v>2.79017328858256</v>
      </c>
      <c r="D129" s="31" t="n">
        <f aca="false">C128*(1-Inputs!$B$10)</f>
        <v>2.46931569196203</v>
      </c>
      <c r="E129" s="31" t="n">
        <f aca="false">D128*(1-Inputs!$B$11)</f>
        <v>2.33351591926786</v>
      </c>
      <c r="F129" s="31" t="n">
        <f aca="false">E128*(1-Inputs!$B$11)+F128*(1-Inputs!$B$12)</f>
        <v>55.1206730594308</v>
      </c>
      <c r="G129" s="31" t="n">
        <f aca="false">SUM(C129:F129)</f>
        <v>62.7136779592433</v>
      </c>
      <c r="H129" s="37" t="n">
        <f aca="false">G129/Inputs!$B$7</f>
        <v>0.895909685132047</v>
      </c>
      <c r="I129" s="28" t="n">
        <f aca="false">Result!$B$29+(G129-Residents!$B$189)*Occupancy!$B$11</f>
        <v>1530340.35560947</v>
      </c>
      <c r="J129" s="28" t="n">
        <f aca="false">($I$7-I129)/12</f>
        <v>15.5410501231672</v>
      </c>
      <c r="K129" s="28" t="n">
        <f aca="false">IF(AND(A129&gt;=$O$6,I129&lt;$I$7*0.995),($I$7-I129)/12,0)</f>
        <v>0</v>
      </c>
      <c r="L129" s="39" t="n">
        <f aca="false">IF(AND(A129&gt;=$O$6,H129&gt;=0.99*$H$11),A129,"")</f>
        <v>118</v>
      </c>
    </row>
    <row r="130" customFormat="false" ht="15" hidden="false" customHeight="false" outlineLevel="0" collapsed="false">
      <c r="A130" s="39" t="n">
        <v>119</v>
      </c>
      <c r="B130" s="18" t="str">
        <f aca="false">IF(A130&gt;=Inputs!$B$68,"yes","no")</f>
        <v>yes</v>
      </c>
      <c r="C130" s="31" t="n">
        <f aca="false">IF(A129&gt;=Inputs!$B$68,MIN((Inputs!$B$8+(Inputs!$B$9-Inputs!$B$8)*MAX(0,($I$6-SUM(D130:F130)/Inputs!$B$7)/$I$6))*IF(AND(Inputs!$B$68&gt;0,A129&lt;Inputs!$B$68+Inputs!$B$70),Inputs!$B$69,1),Inputs!$B$7-SUM(D130:F130)),0)</f>
        <v>2.79016039164026</v>
      </c>
      <c r="D130" s="31" t="n">
        <f aca="false">C129*(1-Inputs!$B$10)</f>
        <v>2.46930336039556</v>
      </c>
      <c r="E130" s="31" t="n">
        <f aca="false">D129*(1-Inputs!$B$11)</f>
        <v>2.33350332890412</v>
      </c>
      <c r="F130" s="31" t="n">
        <f aca="false">E129*(1-Inputs!$B$11)+F129*(1-Inputs!$B$12)</f>
        <v>55.1210186807617</v>
      </c>
      <c r="G130" s="31" t="n">
        <f aca="false">SUM(C130:F130)</f>
        <v>62.7139857617017</v>
      </c>
      <c r="H130" s="37" t="n">
        <f aca="false">G130/Inputs!$B$7</f>
        <v>0.895914082310024</v>
      </c>
      <c r="I130" s="28" t="n">
        <f aca="false">Result!$B$29+(G130-Residents!$B$189)*Occupancy!$B$11</f>
        <v>1530354.23525627</v>
      </c>
      <c r="J130" s="28" t="n">
        <f aca="false">($I$7-I130)/12</f>
        <v>14.3844128897763</v>
      </c>
      <c r="K130" s="28" t="n">
        <f aca="false">IF(AND(A130&gt;=$O$6,I130&lt;$I$7*0.995),($I$7-I130)/12,0)</f>
        <v>0</v>
      </c>
      <c r="L130" s="39" t="n">
        <f aca="false">IF(AND(A130&gt;=$O$6,H130&gt;=0.99*$H$11),A130,"")</f>
        <v>119</v>
      </c>
    </row>
    <row r="131" customFormat="false" ht="15" hidden="false" customHeight="false" outlineLevel="0" collapsed="false">
      <c r="A131" s="39" t="n">
        <v>120</v>
      </c>
      <c r="B131" s="18" t="str">
        <f aca="false">IF(A131&gt;=Inputs!$B$68,"yes","no")</f>
        <v>yes</v>
      </c>
      <c r="C131" s="31" t="n">
        <f aca="false">IF(A130&gt;=Inputs!$B$68,MIN((Inputs!$B$8+(Inputs!$B$9-Inputs!$B$8)*MAX(0,($I$6-SUM(D131:F131)/Inputs!$B$7)/$I$6))*IF(AND(Inputs!$B$68&gt;0,A130&lt;Inputs!$B$68+Inputs!$B$70),Inputs!$B$69,1),Inputs!$B$7-SUM(D131:F131)),0)</f>
        <v>2.79014845454839</v>
      </c>
      <c r="D131" s="31" t="n">
        <f aca="false">C130*(1-Inputs!$B$10)</f>
        <v>2.46929194660163</v>
      </c>
      <c r="E131" s="31" t="n">
        <f aca="false">D130*(1-Inputs!$B$11)</f>
        <v>2.33349167557381</v>
      </c>
      <c r="F131" s="31" t="n">
        <f aca="false">E130*(1-Inputs!$B$11)+F130*(1-Inputs!$B$12)</f>
        <v>55.1213385793457</v>
      </c>
      <c r="G131" s="31" t="n">
        <f aca="false">SUM(C131:F131)</f>
        <v>62.7142706560695</v>
      </c>
      <c r="H131" s="37" t="n">
        <f aca="false">G131/Inputs!$B$7</f>
        <v>0.895918152229564</v>
      </c>
      <c r="I131" s="28" t="n">
        <f aca="false">Result!$B$29+(G131-Residents!$B$189)*Occupancy!$B$11</f>
        <v>1530367.0819152</v>
      </c>
      <c r="J131" s="28" t="n">
        <f aca="false">($I$7-I131)/12</f>
        <v>13.3138579789472</v>
      </c>
      <c r="K131" s="28" t="n">
        <f aca="false">IF(AND(A131&gt;=$O$6,I131&lt;$I$7*0.995),($I$7-I131)/12,0)</f>
        <v>0</v>
      </c>
      <c r="L131" s="39" t="n">
        <f aca="false">IF(AND(A131&gt;=$O$6,H131&gt;=0.99*$H$11),A131,"")</f>
        <v>120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18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6" min="2" style="0" width="11"/>
    <col collapsed="false" customWidth="true" hidden="false" outlineLevel="0" max="7" min="7" style="0" width="13"/>
    <col collapsed="false" customWidth="true" hidden="false" outlineLevel="0" max="8" min="8" style="0" width="12"/>
    <col collapsed="false" customWidth="true" hidden="false" outlineLevel="0" max="9" min="9" style="0" width="13"/>
    <col collapsed="false" customWidth="true" hidden="false" outlineLevel="0" max="10" min="10" style="0" width="2"/>
    <col collapsed="false" customWidth="true" hidden="false" outlineLevel="0" max="11" min="11" style="0" width="60"/>
    <col collapsed="false" customWidth="true" hidden="false" outlineLevel="0" max="15" min="12" style="0" width="15"/>
  </cols>
  <sheetData>
    <row r="1" customFormat="false" ht="16.15" hidden="false" customHeight="false" outlineLevel="0" collapsed="false">
      <c r="A1" s="6" t="s">
        <v>287</v>
      </c>
    </row>
    <row r="2" customFormat="false" ht="15" hidden="false" customHeight="false" outlineLevel="0" collapsed="false">
      <c r="A2" s="2" t="s">
        <v>288</v>
      </c>
    </row>
    <row r="4" customFormat="false" ht="15" hidden="false" customHeight="false" outlineLevel="0" collapsed="false">
      <c r="A4" s="18" t="s">
        <v>262</v>
      </c>
      <c r="G4" s="38" t="n">
        <f aca="false">MIN(1,Inputs!$B$8*(Residents!$B$188-1)/Inputs!$B$7)</f>
        <v>0.855561409408244</v>
      </c>
      <c r="K4" s="3" t="s">
        <v>289</v>
      </c>
    </row>
    <row r="5" customFormat="false" ht="15" hidden="false" customHeight="false" outlineLevel="0" collapsed="false">
      <c r="A5" s="18" t="s">
        <v>290</v>
      </c>
      <c r="G5" s="28" t="n">
        <f aca="false">Result!$B$29/12</f>
        <v>127399.174983003</v>
      </c>
      <c r="K5" s="5" t="s">
        <v>291</v>
      </c>
      <c r="L5" s="39" t="n">
        <f aca="false">COUNTIF(F8:F188,"&lt;0.7")</f>
        <v>19</v>
      </c>
    </row>
    <row r="6" customFormat="false" ht="15" hidden="false" customHeight="false" outlineLevel="0" collapsed="false">
      <c r="K6" s="5" t="s">
        <v>292</v>
      </c>
      <c r="L6" s="39" t="n">
        <f aca="false">COUNTIF(F8:F188,"&lt;0.8")</f>
        <v>28</v>
      </c>
    </row>
    <row r="7" customFormat="false" ht="28.35" hidden="false" customHeight="false" outlineLevel="0" collapsed="false">
      <c r="A7" s="33" t="s">
        <v>133</v>
      </c>
      <c r="B7" s="33" t="s">
        <v>270</v>
      </c>
      <c r="C7" s="33" t="s">
        <v>271</v>
      </c>
      <c r="D7" s="33" t="s">
        <v>272</v>
      </c>
      <c r="E7" s="33" t="s">
        <v>273</v>
      </c>
      <c r="F7" s="33" t="s">
        <v>145</v>
      </c>
      <c r="G7" s="33" t="s">
        <v>293</v>
      </c>
      <c r="H7" s="33" t="s">
        <v>294</v>
      </c>
      <c r="I7" s="33" t="s">
        <v>295</v>
      </c>
      <c r="K7" s="5" t="s">
        <v>296</v>
      </c>
      <c r="L7" s="39" t="n">
        <f aca="false">COUNTIF(F8:F188,"&lt;0.85")</f>
        <v>38</v>
      </c>
    </row>
    <row r="8" customFormat="false" ht="15" hidden="false" customHeight="false" outlineLevel="0" collapsed="false">
      <c r="A8" s="39" t="n">
        <v>0</v>
      </c>
      <c r="B8" s="31" t="n">
        <f aca="false">IF(SUM(C8:E8)&lt;Inputs!$B$7,MIN(Inputs!$B$8+(Inputs!$B$9-Inputs!$B$8)*MAX(0,($G$4-SUM(C8:E8)/Inputs!$B$7)/$G$4),Inputs!$B$7-SUM(C8:E8)),0)</f>
        <v>5.2</v>
      </c>
      <c r="C8" s="31" t="n">
        <v>0</v>
      </c>
      <c r="D8" s="31" t="n">
        <v>0</v>
      </c>
      <c r="E8" s="31" t="n">
        <v>0</v>
      </c>
      <c r="F8" s="37" t="n">
        <f aca="false">MIN(SUM(B8:E8),Inputs!$B$7)/Inputs!$B$7</f>
        <v>0.0742857142857143</v>
      </c>
      <c r="G8" s="28" t="n">
        <f aca="false">(Result!$B$29+(F8*Inputs!$B$7-Residents!$B$189)*Occupancy!$B$11)/12</f>
        <v>-88592.2674711375</v>
      </c>
      <c r="H8" s="28" t="n">
        <f aca="false">MAX(0,-G8)</f>
        <v>88592.2674711375</v>
      </c>
      <c r="I8" s="28" t="n">
        <f aca="false">IF(G8&lt;$G$5*0.995,$G$5-G8,0)</f>
        <v>215991.442454141</v>
      </c>
      <c r="K8" s="5" t="s">
        <v>297</v>
      </c>
      <c r="L8" s="37" t="n">
        <f aca="false">Occupancy!$B$23</f>
        <v>0.745194880403687</v>
      </c>
    </row>
    <row r="9" customFormat="false" ht="15" hidden="false" customHeight="false" outlineLevel="0" collapsed="false">
      <c r="A9" s="39" t="n">
        <v>1</v>
      </c>
      <c r="B9" s="31" t="n">
        <f aca="false">IF(SUM(C9:E9)&lt;Inputs!$B$7,MIN(Inputs!$B$8+(Inputs!$B$9-Inputs!$B$8)*MAX(0,($G$4-SUM(C9:E9)/Inputs!$B$7)/$G$4),Inputs!$B$7-SUM(C9:E9)),0)</f>
        <v>5.0148113227502</v>
      </c>
      <c r="C9" s="31" t="n">
        <f aca="false">B8*(1-Inputs!$B$10)</f>
        <v>4.602</v>
      </c>
      <c r="D9" s="31" t="n">
        <f aca="false">C8*(1-Inputs!$B$11)</f>
        <v>0</v>
      </c>
      <c r="E9" s="31" t="n">
        <f aca="false">D8*(1-Inputs!$B$11)+E8*(1-Inputs!$B$12)</f>
        <v>0</v>
      </c>
      <c r="F9" s="37" t="n">
        <f aca="false">MIN(SUM(B9:E9),Inputs!$B$7)/Inputs!$B$7</f>
        <v>0.137383018896431</v>
      </c>
      <c r="G9" s="28" t="n">
        <f aca="false">(Result!$B$29+(F9*Inputs!$B$7-Residents!$B$189)*Occupancy!$B$11)/12</f>
        <v>-71995.1016929806</v>
      </c>
      <c r="H9" s="28" t="n">
        <f aca="false">MAX(0,-G9)</f>
        <v>71995.1016929806</v>
      </c>
      <c r="I9" s="28" t="n">
        <f aca="false">IF(G9&lt;$G$5*0.995,$G$5-G9,0)</f>
        <v>199394.276675984</v>
      </c>
      <c r="K9" s="5" t="s">
        <v>298</v>
      </c>
      <c r="L9" s="39" t="n">
        <f aca="false">COUNTIF(F8:F188,"&lt;"&amp;L8)</f>
        <v>22</v>
      </c>
    </row>
    <row r="10" customFormat="false" ht="15" hidden="false" customHeight="false" outlineLevel="0" collapsed="false">
      <c r="A10" s="39" t="n">
        <v>2</v>
      </c>
      <c r="B10" s="31" t="n">
        <f aca="false">IF(SUM(C10:E10)&lt;Inputs!$B$7,MIN(Inputs!$B$8+(Inputs!$B$9-Inputs!$B$8)*MAX(0,($G$4-SUM(C10:E10)/Inputs!$B$7)/$G$4),Inputs!$B$7-SUM(C10:E10)),0)</f>
        <v>4.84640318547636</v>
      </c>
      <c r="C10" s="31" t="n">
        <f aca="false">B9*(1-Inputs!$B$10)</f>
        <v>4.43810802063393</v>
      </c>
      <c r="D10" s="31" t="n">
        <f aca="false">C9*(1-Inputs!$B$11)</f>
        <v>4.34889</v>
      </c>
      <c r="E10" s="31" t="n">
        <f aca="false">D9*(1-Inputs!$B$11)+E9*(1-Inputs!$B$12)</f>
        <v>0</v>
      </c>
      <c r="F10" s="37" t="n">
        <f aca="false">MIN(SUM(B10:E10),Inputs!$B$7)/Inputs!$B$7</f>
        <v>0.194762874373004</v>
      </c>
      <c r="G10" s="28" t="n">
        <f aca="false">(Result!$B$29+(F10*Inputs!$B$7-Residents!$B$189)*Occupancy!$B$11)/12</f>
        <v>-56901.8583358055</v>
      </c>
      <c r="H10" s="28" t="n">
        <f aca="false">MAX(0,-G10)</f>
        <v>56901.8583358055</v>
      </c>
      <c r="I10" s="28" t="n">
        <f aca="false">IF(G10&lt;$G$5*0.995,$G$5-G10,0)</f>
        <v>184301.033318809</v>
      </c>
      <c r="K10" s="5" t="s">
        <v>299</v>
      </c>
      <c r="L10" s="39" t="n">
        <f aca="false">COUNTIF(H8:H188,"&gt;0")</f>
        <v>7</v>
      </c>
    </row>
    <row r="11" customFormat="false" ht="15" hidden="false" customHeight="false" outlineLevel="0" collapsed="false">
      <c r="A11" s="39" t="n">
        <v>3</v>
      </c>
      <c r="B11" s="31" t="n">
        <f aca="false">IF(SUM(C11:E11)&lt;Inputs!$B$7,MIN(Inputs!$B$8+(Inputs!$B$9-Inputs!$B$8)*MAX(0,($G$4-SUM(C11:E11)/Inputs!$B$7)/$G$4),Inputs!$B$7-SUM(C11:E11)),0)</f>
        <v>4.69325504963332</v>
      </c>
      <c r="C11" s="31" t="n">
        <f aca="false">B10*(1-Inputs!$B$10)</f>
        <v>4.28906681914658</v>
      </c>
      <c r="D11" s="31" t="n">
        <f aca="false">C10*(1-Inputs!$B$11)</f>
        <v>4.19401207949906</v>
      </c>
      <c r="E11" s="31" t="n">
        <f aca="false">D10*(1-Inputs!$B$11)+E10*(1-Inputs!$B$12)</f>
        <v>4.10970105</v>
      </c>
      <c r="F11" s="37" t="n">
        <f aca="false">MIN(SUM(B11:E11),Inputs!$B$7)/Inputs!$B$7</f>
        <v>0.246943357118271</v>
      </c>
      <c r="G11" s="28" t="n">
        <f aca="false">(Result!$B$29+(F11*Inputs!$B$7-Residents!$B$189)*Occupancy!$B$11)/12</f>
        <v>-43176.262165722</v>
      </c>
      <c r="H11" s="28" t="n">
        <f aca="false">MAX(0,-G11)</f>
        <v>43176.262165722</v>
      </c>
      <c r="I11" s="28" t="n">
        <f aca="false">IF(G11&lt;$G$5*0.995,$G$5-G11,0)</f>
        <v>170575.437148725</v>
      </c>
      <c r="K11" s="5" t="s">
        <v>300</v>
      </c>
      <c r="L11" s="30" t="n">
        <f aca="false">SUM(H8:H188)</f>
        <v>317681.416941609</v>
      </c>
    </row>
    <row r="12" customFormat="false" ht="15" hidden="false" customHeight="false" outlineLevel="0" collapsed="false">
      <c r="A12" s="39" t="n">
        <v>4</v>
      </c>
      <c r="B12" s="31" t="n">
        <f aca="false">IF(SUM(C12:E12)&lt;Inputs!$B$7,MIN(Inputs!$B$8+(Inputs!$B$9-Inputs!$B$8)*MAX(0,($G$4-SUM(C12:E12)/Inputs!$B$7)/$G$4),Inputs!$B$7-SUM(C12:E12)),0)</f>
        <v>4.5515034857726</v>
      </c>
      <c r="C12" s="31" t="n">
        <f aca="false">B11*(1-Inputs!$B$10)</f>
        <v>4.15353071892549</v>
      </c>
      <c r="D12" s="31" t="n">
        <f aca="false">C11*(1-Inputs!$B$11)</f>
        <v>4.05316814409352</v>
      </c>
      <c r="E12" s="31" t="n">
        <f aca="false">D11*(1-Inputs!$B$11)+E11*(1-Inputs!$B$12)</f>
        <v>7.90865442312661</v>
      </c>
      <c r="F12" s="37" t="n">
        <f aca="false">MIN(SUM(B12:E12),Inputs!$B$7)/Inputs!$B$7</f>
        <v>0.295240811027403</v>
      </c>
      <c r="G12" s="28" t="n">
        <f aca="false">(Result!$B$29+(F12*Inputs!$B$7-Residents!$B$189)*Occupancy!$B$11)/12</f>
        <v>-30472.0610253042</v>
      </c>
      <c r="H12" s="28" t="n">
        <f aca="false">MAX(0,-G12)</f>
        <v>30472.0610253042</v>
      </c>
      <c r="I12" s="28" t="n">
        <f aca="false">IF(G12&lt;$G$5*0.995,$G$5-G12,0)</f>
        <v>157871.236008307</v>
      </c>
      <c r="K12" s="5" t="s">
        <v>301</v>
      </c>
      <c r="L12" s="39" t="n">
        <f aca="false">COUNTIF(I8:I188,"&gt;0")</f>
        <v>74</v>
      </c>
    </row>
    <row r="13" customFormat="false" ht="28.35" hidden="false" customHeight="false" outlineLevel="0" collapsed="false">
      <c r="A13" s="39" t="n">
        <v>5</v>
      </c>
      <c r="B13" s="31" t="n">
        <f aca="false">IF(SUM(C13:E13)&lt;Inputs!$B$7,MIN(Inputs!$B$8+(Inputs!$B$9-Inputs!$B$8)*MAX(0,($G$4-SUM(C13:E13)/Inputs!$B$7)/$G$4),Inputs!$B$7-SUM(C13:E13)),0)</f>
        <v>4.42030338550523</v>
      </c>
      <c r="C13" s="31" t="n">
        <f aca="false">B12*(1-Inputs!$B$10)</f>
        <v>4.02808058490875</v>
      </c>
      <c r="D13" s="31" t="n">
        <f aca="false">C12*(1-Inputs!$B$11)</f>
        <v>3.92508652938459</v>
      </c>
      <c r="E13" s="31" t="n">
        <f aca="false">D12*(1-Inputs!$B$11)+E12*(1-Inputs!$B$12)</f>
        <v>11.4225521423699</v>
      </c>
      <c r="F13" s="37" t="n">
        <f aca="false">MIN(SUM(B13:E13),Inputs!$B$7)/Inputs!$B$7</f>
        <v>0.339943180602407</v>
      </c>
      <c r="G13" s="28" t="n">
        <f aca="false">(Result!$B$29+(F13*Inputs!$B$7-Residents!$B$189)*Occupancy!$B$11)/12</f>
        <v>-18713.5137610403</v>
      </c>
      <c r="H13" s="28" t="n">
        <f aca="false">MAX(0,-G13)</f>
        <v>18713.5137610403</v>
      </c>
      <c r="I13" s="28" t="n">
        <f aca="false">IF(G13&lt;$G$5*0.995,$G$5-G13,0)</f>
        <v>146112.688744043</v>
      </c>
      <c r="K13" s="5" t="s">
        <v>302</v>
      </c>
      <c r="L13" s="30" t="n">
        <f aca="false">SUM(I8:I188)</f>
        <v>2877204.94334896</v>
      </c>
    </row>
    <row r="14" customFormat="false" ht="15" hidden="false" customHeight="false" outlineLevel="0" collapsed="false">
      <c r="A14" s="39" t="n">
        <v>6</v>
      </c>
      <c r="B14" s="31" t="n">
        <f aca="false">IF(SUM(C14:E14)&lt;Inputs!$B$7,MIN(Inputs!$B$8+(Inputs!$B$9-Inputs!$B$8)*MAX(0,($G$4-SUM(C14:E14)/Inputs!$B$7)/$G$4),Inputs!$B$7-SUM(C14:E14)),0)</f>
        <v>4.29887071036722</v>
      </c>
      <c r="C14" s="31" t="n">
        <f aca="false">B13*(1-Inputs!$B$10)</f>
        <v>3.91196849617213</v>
      </c>
      <c r="D14" s="31" t="n">
        <f aca="false">C13*(1-Inputs!$B$11)</f>
        <v>3.80653615273877</v>
      </c>
      <c r="E14" s="31" t="n">
        <f aca="false">D13*(1-Inputs!$B$11)+E13*(1-Inputs!$B$12)</f>
        <v>14.6748568269436</v>
      </c>
      <c r="F14" s="37" t="n">
        <f aca="false">MIN(SUM(B14:E14),Inputs!$B$7)/Inputs!$B$7</f>
        <v>0.38131760266031</v>
      </c>
      <c r="G14" s="28" t="n">
        <f aca="false">(Result!$B$29+(F14*Inputs!$B$7-Residents!$B$189)*Occupancy!$B$11)/12</f>
        <v>-7830.3524896188</v>
      </c>
      <c r="H14" s="28" t="n">
        <f aca="false">MAX(0,-G14)</f>
        <v>7830.3524896188</v>
      </c>
      <c r="I14" s="28" t="n">
        <f aca="false">IF(G14&lt;$G$5*0.995,$G$5-G14,0)</f>
        <v>135229.527472622</v>
      </c>
      <c r="K14" s="5" t="s">
        <v>303</v>
      </c>
      <c r="L14" s="35" t="n">
        <f aca="false">L13/L11</f>
        <v>9.05688778099917</v>
      </c>
    </row>
    <row r="15" customFormat="false" ht="15" hidden="false" customHeight="false" outlineLevel="0" collapsed="false">
      <c r="A15" s="39" t="n">
        <v>7</v>
      </c>
      <c r="B15" s="31" t="n">
        <f aca="false">IF(SUM(C15:E15)&lt;Inputs!$B$7,MIN(Inputs!$B$8+(Inputs!$B$9-Inputs!$B$8)*MAX(0,($G$4-SUM(C15:E15)/Inputs!$B$7)/$G$4),Inputs!$B$7-SUM(C15:E15)),0)</f>
        <v>4.18647830377636</v>
      </c>
      <c r="C15" s="31" t="n">
        <f aca="false">B14*(1-Inputs!$B$10)</f>
        <v>3.80450057867499</v>
      </c>
      <c r="D15" s="31" t="n">
        <f aca="false">C14*(1-Inputs!$B$11)</f>
        <v>3.69681022888267</v>
      </c>
      <c r="E15" s="31" t="n">
        <f aca="false">D14*(1-Inputs!$B$11)+E14*(1-Inputs!$B$12)</f>
        <v>17.685039218204</v>
      </c>
      <c r="F15" s="37" t="n">
        <f aca="false">MIN(SUM(B15:E15),Inputs!$B$7)/Inputs!$B$7</f>
        <v>0.419611833279114</v>
      </c>
      <c r="G15" s="28" t="n">
        <f aca="false">(Result!$B$29+(F15*Inputs!$B$7-Residents!$B$189)*Occupancy!$B$11)/12</f>
        <v>2242.5927470833</v>
      </c>
      <c r="H15" s="28" t="n">
        <f aca="false">MAX(0,-G15)</f>
        <v>0</v>
      </c>
      <c r="I15" s="28" t="n">
        <f aca="false">IF(G15&lt;$G$5*0.995,$G$5-G15,0)</f>
        <v>125156.58223592</v>
      </c>
    </row>
    <row r="16" customFormat="false" ht="15" hidden="false" customHeight="false" outlineLevel="0" collapsed="false">
      <c r="A16" s="39" t="n">
        <v>8</v>
      </c>
      <c r="B16" s="31" t="n">
        <f aca="false">IF(SUM(C16:E16)&lt;Inputs!$B$7,MIN(Inputs!$B$8+(Inputs!$B$9-Inputs!$B$8)*MAX(0,($G$4-SUM(C16:E16)/Inputs!$B$7)/$G$4),Inputs!$B$7-SUM(C16:E16)),0)</f>
        <v>4.08245314633463</v>
      </c>
      <c r="C16" s="31" t="n">
        <f aca="false">B15*(1-Inputs!$B$10)</f>
        <v>3.70503329884208</v>
      </c>
      <c r="D16" s="31" t="n">
        <f aca="false">C15*(1-Inputs!$B$11)</f>
        <v>3.59525304684786</v>
      </c>
      <c r="E16" s="31" t="n">
        <f aca="false">D15*(1-Inputs!$B$11)+E15*(1-Inputs!$B$12)</f>
        <v>20.4711233157699</v>
      </c>
      <c r="F16" s="37" t="n">
        <f aca="false">MIN(SUM(B16:E16),Inputs!$B$7)/Inputs!$B$7</f>
        <v>0.455055182968493</v>
      </c>
      <c r="G16" s="28" t="n">
        <f aca="false">(Result!$B$29+(F16*Inputs!$B$7-Residents!$B$189)*Occupancy!$B$11)/12</f>
        <v>11565.6399700528</v>
      </c>
      <c r="H16" s="28" t="n">
        <f aca="false">MAX(0,-G16)</f>
        <v>0</v>
      </c>
      <c r="I16" s="28" t="n">
        <f aca="false">IF(G16&lt;$G$5*0.995,$G$5-G16,0)</f>
        <v>115833.53501295</v>
      </c>
      <c r="K16" s="3" t="s">
        <v>304</v>
      </c>
      <c r="L16" s="40" t="s">
        <v>305</v>
      </c>
      <c r="M16" s="40" t="s">
        <v>306</v>
      </c>
    </row>
    <row r="17" customFormat="false" ht="15" hidden="false" customHeight="false" outlineLevel="0" collapsed="false">
      <c r="A17" s="39" t="n">
        <v>9</v>
      </c>
      <c r="B17" s="31" t="n">
        <f aca="false">IF(SUM(C17:E17)&lt;Inputs!$B$7,MIN(Inputs!$B$8+(Inputs!$B$9-Inputs!$B$8)*MAX(0,($G$4-SUM(C17:E17)/Inputs!$B$7)/$G$4),Inputs!$B$7-SUM(C17:E17)),0)</f>
        <v>3.98617232355742</v>
      </c>
      <c r="C17" s="31" t="n">
        <f aca="false">B16*(1-Inputs!$B$10)</f>
        <v>3.61297103450615</v>
      </c>
      <c r="D17" s="31" t="n">
        <f aca="false">C16*(1-Inputs!$B$11)</f>
        <v>3.50125646740576</v>
      </c>
      <c r="E17" s="31" t="n">
        <f aca="false">D16*(1-Inputs!$B$11)+E16*(1-Inputs!$B$12)</f>
        <v>23.0497925124103</v>
      </c>
      <c r="F17" s="37" t="n">
        <f aca="false">MIN(SUM(B17:E17),Inputs!$B$7)/Inputs!$B$7</f>
        <v>0.487859890541138</v>
      </c>
      <c r="G17" s="28" t="n">
        <f aca="false">(Result!$B$29+(F17*Inputs!$B$7-Residents!$B$189)*Occupancy!$B$11)/12</f>
        <v>20194.6166473653</v>
      </c>
      <c r="H17" s="28" t="n">
        <f aca="false">MAX(0,-G17)</f>
        <v>0</v>
      </c>
      <c r="I17" s="28" t="n">
        <f aca="false">IF(G17&lt;$G$5*0.995,$G$5-G17,0)</f>
        <v>107204.558335638</v>
      </c>
      <c r="K17" s="5" t="s">
        <v>307</v>
      </c>
      <c r="L17" s="28" t="n">
        <f aca="false">Inputs!$B$86*Inputs!$B$7</f>
        <v>1820000</v>
      </c>
      <c r="M17" s="28" t="n">
        <f aca="false">Inputs!$B$97*Inputs!$B$7</f>
        <v>3640000</v>
      </c>
    </row>
    <row r="18" customFormat="false" ht="15" hidden="false" customHeight="false" outlineLevel="0" collapsed="false">
      <c r="A18" s="39" t="n">
        <v>10</v>
      </c>
      <c r="B18" s="31" t="n">
        <f aca="false">IF(SUM(C18:E18)&lt;Inputs!$B$7,MIN(Inputs!$B$8+(Inputs!$B$9-Inputs!$B$8)*MAX(0,($G$4-SUM(C18:E18)/Inputs!$B$7)/$G$4),Inputs!$B$7-SUM(C18:E18)),0)</f>
        <v>3.89705929491519</v>
      </c>
      <c r="C18" s="31" t="n">
        <f aca="false">B17*(1-Inputs!$B$10)</f>
        <v>3.52776250634831</v>
      </c>
      <c r="D18" s="31" t="n">
        <f aca="false">C17*(1-Inputs!$B$11)</f>
        <v>3.41425762760831</v>
      </c>
      <c r="E18" s="31" t="n">
        <f aca="false">D17*(1-Inputs!$B$11)+E17*(1-Inputs!$B$12)</f>
        <v>25.4364881736124</v>
      </c>
      <c r="F18" s="37" t="n">
        <f aca="false">MIN(SUM(B18:E18),Inputs!$B$7)/Inputs!$B$7</f>
        <v>0.518222394321203</v>
      </c>
      <c r="G18" s="28" t="n">
        <f aca="false">(Result!$B$29+(F18*Inputs!$B$7-Residents!$B$189)*Occupancy!$B$11)/12</f>
        <v>28181.1940738763</v>
      </c>
      <c r="H18" s="28" t="n">
        <f aca="false">MAX(0,-G18)</f>
        <v>0</v>
      </c>
      <c r="I18" s="28" t="n">
        <f aca="false">IF(G18&lt;$G$5*0.995,$G$5-G18,0)</f>
        <v>99217.9809091267</v>
      </c>
      <c r="K18" s="5" t="s">
        <v>308</v>
      </c>
      <c r="L18" s="28" t="n">
        <f aca="false">Inputs!$B$92*L17</f>
        <v>81900</v>
      </c>
      <c r="M18" s="28" t="n">
        <f aca="false">Inputs!$B$92*M17</f>
        <v>163800</v>
      </c>
    </row>
    <row r="19" customFormat="false" ht="15" hidden="false" customHeight="false" outlineLevel="0" collapsed="false">
      <c r="A19" s="39" t="n">
        <v>11</v>
      </c>
      <c r="B19" s="31" t="n">
        <f aca="false">IF(SUM(C19:E19)&lt;Inputs!$B$7,MIN(Inputs!$B$8+(Inputs!$B$9-Inputs!$B$8)*MAX(0,($G$4-SUM(C19:E19)/Inputs!$B$7)/$G$4),Inputs!$B$7-SUM(C19:E19)),0)</f>
        <v>3.81458044144543</v>
      </c>
      <c r="C19" s="31" t="n">
        <f aca="false">B18*(1-Inputs!$B$10)</f>
        <v>3.44889747599994</v>
      </c>
      <c r="D19" s="31" t="n">
        <f aca="false">C18*(1-Inputs!$B$11)</f>
        <v>3.33373556849916</v>
      </c>
      <c r="E19" s="31" t="n">
        <f aca="false">D18*(1-Inputs!$B$11)+E18*(1-Inputs!$B$12)</f>
        <v>27.6455021047577</v>
      </c>
      <c r="F19" s="37" t="n">
        <f aca="false">MIN(SUM(B19:E19),Inputs!$B$7)/Inputs!$B$7</f>
        <v>0.546324508438604</v>
      </c>
      <c r="G19" s="28" t="n">
        <f aca="false">(Result!$B$29+(F19*Inputs!$B$7-Residents!$B$189)*Occupancy!$B$11)/12</f>
        <v>35573.1967846224</v>
      </c>
      <c r="H19" s="28" t="n">
        <f aca="false">MAX(0,-G19)</f>
        <v>0</v>
      </c>
      <c r="I19" s="28" t="n">
        <f aca="false">IF(G19&lt;$G$5*0.995,$G$5-G19,0)</f>
        <v>91825.9781983807</v>
      </c>
      <c r="K19" s="5" t="s">
        <v>309</v>
      </c>
      <c r="L19" s="28" t="n">
        <f aca="false">Inputs!$B$87*Inputs!$B$7</f>
        <v>9590000</v>
      </c>
      <c r="M19" s="28" t="n">
        <f aca="false">Inputs!$B$98*Inputs!$B$7</f>
        <v>11760000</v>
      </c>
    </row>
    <row r="20" customFormat="false" ht="15" hidden="false" customHeight="false" outlineLevel="0" collapsed="false">
      <c r="A20" s="39" t="n">
        <v>12</v>
      </c>
      <c r="B20" s="31" t="n">
        <f aca="false">IF(SUM(C20:E20)&lt;Inputs!$B$7,MIN(Inputs!$B$8+(Inputs!$B$9-Inputs!$B$8)*MAX(0,($G$4-SUM(C20:E20)/Inputs!$B$7)/$G$4),Inputs!$B$7-SUM(C20:E20)),0)</f>
        <v>3.73824187038194</v>
      </c>
      <c r="C20" s="31" t="n">
        <f aca="false">B19*(1-Inputs!$B$10)</f>
        <v>3.3759036906792</v>
      </c>
      <c r="D20" s="31" t="n">
        <f aca="false">C19*(1-Inputs!$B$11)</f>
        <v>3.25920811481995</v>
      </c>
      <c r="E20" s="31" t="n">
        <f aca="false">D19*(1-Inputs!$B$11)+E19*(1-Inputs!$B$12)</f>
        <v>29.6900621327991</v>
      </c>
      <c r="F20" s="37" t="n">
        <f aca="false">MIN(SUM(B20:E20),Inputs!$B$7)/Inputs!$B$7</f>
        <v>0.572334511552574</v>
      </c>
      <c r="G20" s="28" t="n">
        <f aca="false">(Result!$B$29+(F20*Inputs!$B$7-Residents!$B$189)*Occupancy!$B$11)/12</f>
        <v>42414.8889335391</v>
      </c>
      <c r="H20" s="28" t="n">
        <f aca="false">MAX(0,-G20)</f>
        <v>0</v>
      </c>
      <c r="I20" s="28" t="n">
        <f aca="false">IF(G20&lt;$G$5*0.995,$G$5-G20,0)</f>
        <v>84984.2860494639</v>
      </c>
      <c r="K20" s="5" t="s">
        <v>310</v>
      </c>
      <c r="L20" s="28" t="n">
        <f aca="false">Inputs!$B$88*Inputs!$B$7</f>
        <v>630000</v>
      </c>
      <c r="M20" s="28" t="n">
        <f aca="false">Inputs!$B$88*Inputs!$B$7</f>
        <v>630000</v>
      </c>
    </row>
    <row r="21" customFormat="false" ht="15" hidden="false" customHeight="false" outlineLevel="0" collapsed="false">
      <c r="A21" s="39" t="n">
        <v>13</v>
      </c>
      <c r="B21" s="31" t="n">
        <f aca="false">IF(SUM(C21:E21)&lt;Inputs!$B$7,MIN(Inputs!$B$8+(Inputs!$B$9-Inputs!$B$8)*MAX(0,($G$4-SUM(C21:E21)/Inputs!$B$7)/$G$4),Inputs!$B$7-SUM(C21:E21)),0)</f>
        <v>3.66758645766878</v>
      </c>
      <c r="C21" s="31" t="n">
        <f aca="false">B20*(1-Inputs!$B$10)</f>
        <v>3.30834405528802</v>
      </c>
      <c r="D21" s="31" t="n">
        <f aca="false">C20*(1-Inputs!$B$11)</f>
        <v>3.19022898769184</v>
      </c>
      <c r="E21" s="31" t="n">
        <f aca="false">D20*(1-Inputs!$B$11)+E20*(1-Inputs!$B$12)</f>
        <v>31.582411315992</v>
      </c>
      <c r="F21" s="37" t="n">
        <f aca="false">MIN(SUM(B21:E21),Inputs!$B$7)/Inputs!$B$7</f>
        <v>0.596408154523438</v>
      </c>
      <c r="G21" s="28" t="n">
        <f aca="false">(Result!$B$29+(F21*Inputs!$B$7-Residents!$B$189)*Occupancy!$B$11)/12</f>
        <v>48747.239352256</v>
      </c>
      <c r="H21" s="28" t="n">
        <f aca="false">MAX(0,-G21)</f>
        <v>0</v>
      </c>
      <c r="I21" s="28" t="n">
        <f aca="false">IF(G21&lt;$G$5*0.995,$G$5-G21,0)</f>
        <v>78651.935630747</v>
      </c>
      <c r="K21" s="5" t="s">
        <v>311</v>
      </c>
      <c r="L21" s="28" t="n">
        <f aca="false">Inputs!$B$89*L19</f>
        <v>1342600</v>
      </c>
      <c r="M21" s="28" t="n">
        <f aca="false">Inputs!$B$89*M19</f>
        <v>1646400</v>
      </c>
    </row>
    <row r="22" customFormat="false" ht="15" hidden="false" customHeight="false" outlineLevel="0" collapsed="false">
      <c r="A22" s="39" t="n">
        <v>14</v>
      </c>
      <c r="B22" s="31" t="n">
        <f aca="false">IF(SUM(C22:E22)&lt;Inputs!$B$7,MIN(Inputs!$B$8+(Inputs!$B$9-Inputs!$B$8)*MAX(0,($G$4-SUM(C22:E22)/Inputs!$B$7)/$G$4),Inputs!$B$7-SUM(C22:E22)),0)</f>
        <v>3.60219111064932</v>
      </c>
      <c r="C22" s="31" t="n">
        <f aca="false">B21*(1-Inputs!$B$10)</f>
        <v>3.24581401503687</v>
      </c>
      <c r="D22" s="31" t="n">
        <f aca="false">C21*(1-Inputs!$B$11)</f>
        <v>3.12638513224718</v>
      </c>
      <c r="E22" s="31" t="n">
        <f aca="false">D21*(1-Inputs!$B$11)+E21*(1-Inputs!$B$12)</f>
        <v>33.3338812567211</v>
      </c>
      <c r="F22" s="37" t="n">
        <f aca="false">MIN(SUM(B22:E22),Inputs!$B$7)/Inputs!$B$7</f>
        <v>0.618689593066493</v>
      </c>
      <c r="G22" s="28" t="n">
        <f aca="false">(Result!$B$29+(F22*Inputs!$B$7-Residents!$B$189)*Occupancy!$B$11)/12</f>
        <v>54608.1668761249</v>
      </c>
      <c r="H22" s="28" t="n">
        <f aca="false">MAX(0,-G22)</f>
        <v>0</v>
      </c>
      <c r="I22" s="28" t="n">
        <f aca="false">IF(G22&lt;$G$5*0.995,$G$5-G22,0)</f>
        <v>72791.0081068781</v>
      </c>
      <c r="K22" s="5" t="s">
        <v>312</v>
      </c>
      <c r="L22" s="28" t="n">
        <f aca="false">Inputs!$B$90*Inputs!$B$7</f>
        <v>315000</v>
      </c>
      <c r="M22" s="28" t="n">
        <f aca="false">Inputs!$B$90*Inputs!$B$7</f>
        <v>315000</v>
      </c>
    </row>
    <row r="23" customFormat="false" ht="15" hidden="false" customHeight="false" outlineLevel="0" collapsed="false">
      <c r="A23" s="39" t="n">
        <v>15</v>
      </c>
      <c r="B23" s="31" t="n">
        <f aca="false">IF(SUM(C23:E23)&lt;Inputs!$B$7,MIN(Inputs!$B$8+(Inputs!$B$9-Inputs!$B$8)*MAX(0,($G$4-SUM(C23:E23)/Inputs!$B$7)/$G$4),Inputs!$B$7-SUM(C23:E23)),0)</f>
        <v>3.54166423453922</v>
      </c>
      <c r="C23" s="31" t="n">
        <f aca="false">B22*(1-Inputs!$B$10)</f>
        <v>3.18793913292464</v>
      </c>
      <c r="D23" s="31" t="n">
        <f aca="false">C22*(1-Inputs!$B$11)</f>
        <v>3.06729424420985</v>
      </c>
      <c r="E23" s="31" t="n">
        <f aca="false">D22*(1-Inputs!$B$11)+E22*(1-Inputs!$B$12)</f>
        <v>34.9549599564259</v>
      </c>
      <c r="F23" s="37" t="n">
        <f aca="false">MIN(SUM(B23:E23),Inputs!$B$7)/Inputs!$B$7</f>
        <v>0.639312250972851</v>
      </c>
      <c r="G23" s="28" t="n">
        <f aca="false">(Result!$B$29+(F23*Inputs!$B$7-Residents!$B$189)*Occupancy!$B$11)/12</f>
        <v>60032.767406524</v>
      </c>
      <c r="H23" s="28" t="n">
        <f aca="false">MAX(0,-G23)</f>
        <v>0</v>
      </c>
      <c r="I23" s="28" t="n">
        <f aca="false">IF(G23&lt;$G$5*0.995,$G$5-G23,0)</f>
        <v>67366.407576479</v>
      </c>
      <c r="K23" s="5" t="s">
        <v>122</v>
      </c>
      <c r="L23" s="28" t="n">
        <f aca="false">Inputs!$B$91*(L20+L21+L22)</f>
        <v>457520</v>
      </c>
      <c r="M23" s="28" t="n">
        <f aca="false">Inputs!$B$91*(M20+M21+M22)</f>
        <v>518280</v>
      </c>
    </row>
    <row r="24" customFormat="false" ht="15" hidden="false" customHeight="false" outlineLevel="0" collapsed="false">
      <c r="A24" s="39" t="n">
        <v>16</v>
      </c>
      <c r="B24" s="31" t="n">
        <f aca="false">IF(SUM(C24:E24)&lt;Inputs!$B$7,MIN(Inputs!$B$8+(Inputs!$B$9-Inputs!$B$8)*MAX(0,($G$4-SUM(C24:E24)/Inputs!$B$7)/$G$4),Inputs!$B$7-SUM(C24:E24)),0)</f>
        <v>3.48564338751236</v>
      </c>
      <c r="C24" s="31" t="n">
        <f aca="false">B23*(1-Inputs!$B$10)</f>
        <v>3.13437284756721</v>
      </c>
      <c r="D24" s="31" t="n">
        <f aca="false">C23*(1-Inputs!$B$11)</f>
        <v>3.01260248061379</v>
      </c>
      <c r="E24" s="31" t="n">
        <f aca="false">D23*(1-Inputs!$B$11)+E23*(1-Inputs!$B$12)</f>
        <v>36.4553546189471</v>
      </c>
      <c r="F24" s="37" t="n">
        <f aca="false">MIN(SUM(B24:E24),Inputs!$B$7)/Inputs!$B$7</f>
        <v>0.658399619066293</v>
      </c>
      <c r="G24" s="28" t="n">
        <f aca="false">(Result!$B$29+(F24*Inputs!$B$7-Residents!$B$189)*Occupancy!$B$11)/12</f>
        <v>65053.5240691112</v>
      </c>
      <c r="H24" s="28" t="n">
        <f aca="false">MAX(0,-G24)</f>
        <v>0</v>
      </c>
      <c r="I24" s="28" t="n">
        <f aca="false">IF(G24&lt;$G$5*0.995,$G$5-G24,0)</f>
        <v>62345.6509138918</v>
      </c>
      <c r="K24" s="5" t="s">
        <v>125</v>
      </c>
      <c r="L24" s="28" t="n">
        <f aca="false">Inputs!$B$93*(L19+L20+L21+L22+L23)</f>
        <v>616756</v>
      </c>
      <c r="M24" s="28" t="n">
        <f aca="false">Inputs!$B$93*(M19+M20+M21+M22+M23)</f>
        <v>743484</v>
      </c>
    </row>
    <row r="25" customFormat="false" ht="15" hidden="false" customHeight="false" outlineLevel="0" collapsed="false">
      <c r="A25" s="39" t="n">
        <v>17</v>
      </c>
      <c r="B25" s="31" t="n">
        <f aca="false">IF(SUM(C25:E25)&lt;Inputs!$B$7,MIN(Inputs!$B$8+(Inputs!$B$9-Inputs!$B$8)*MAX(0,($G$4-SUM(C25:E25)/Inputs!$B$7)/$G$4),Inputs!$B$7-SUM(C25:E25)),0)</f>
        <v>3.43379311035781</v>
      </c>
      <c r="C25" s="31" t="n">
        <f aca="false">B24*(1-Inputs!$B$10)</f>
        <v>3.08479439794844</v>
      </c>
      <c r="D25" s="31" t="n">
        <f aca="false">C24*(1-Inputs!$B$11)</f>
        <v>2.96198234095102</v>
      </c>
      <c r="E25" s="31" t="n">
        <f aca="false">D24*(1-Inputs!$B$11)+E24*(1-Inputs!$B$12)</f>
        <v>37.8440497783693</v>
      </c>
      <c r="F25" s="37" t="n">
        <f aca="false">MIN(SUM(B25:E25),Inputs!$B$7)/Inputs!$B$7</f>
        <v>0.676065994680379</v>
      </c>
      <c r="G25" s="28" t="n">
        <f aca="false">(Result!$B$29+(F25*Inputs!$B$7-Residents!$B$189)*Occupancy!$B$11)/12</f>
        <v>69700.5017264798</v>
      </c>
      <c r="H25" s="28" t="n">
        <f aca="false">MAX(0,-G25)</f>
        <v>0</v>
      </c>
      <c r="I25" s="28" t="n">
        <f aca="false">IF(G25&lt;$G$5*0.995,$G$5-G25,0)</f>
        <v>57698.6732565233</v>
      </c>
      <c r="K25" s="5" t="s">
        <v>313</v>
      </c>
      <c r="L25" s="28" t="n">
        <f aca="false">SUM(L17:L24)</f>
        <v>14853776</v>
      </c>
      <c r="M25" s="28" t="n">
        <f aca="false">SUM(M17:M24)</f>
        <v>19416964</v>
      </c>
    </row>
    <row r="26" customFormat="false" ht="15" hidden="false" customHeight="false" outlineLevel="0" collapsed="false">
      <c r="A26" s="39" t="n">
        <v>18</v>
      </c>
      <c r="B26" s="31" t="n">
        <f aca="false">IF(SUM(C26:E26)&lt;Inputs!$B$7,MIN(Inputs!$B$8+(Inputs!$B$9-Inputs!$B$8)*MAX(0,($G$4-SUM(C26:E26)/Inputs!$B$7)/$G$4),Inputs!$B$7-SUM(C26:E26)),0)</f>
        <v>3.38580291771195</v>
      </c>
      <c r="C26" s="31" t="n">
        <f aca="false">B25*(1-Inputs!$B$10)</f>
        <v>3.03890690266666</v>
      </c>
      <c r="D26" s="31" t="n">
        <f aca="false">C25*(1-Inputs!$B$11)</f>
        <v>2.91513070606127</v>
      </c>
      <c r="E26" s="31" t="n">
        <f aca="false">D25*(1-Inputs!$B$11)+E25*(1-Inputs!$B$12)</f>
        <v>39.1293610994332</v>
      </c>
      <c r="F26" s="37" t="n">
        <f aca="false">MIN(SUM(B26:E26),Inputs!$B$7)/Inputs!$B$7</f>
        <v>0.692417166083901</v>
      </c>
      <c r="G26" s="28" t="n">
        <f aca="false">(Result!$B$29+(F26*Inputs!$B$7-Residents!$B$189)*Occupancy!$B$11)/12</f>
        <v>74001.5270099785</v>
      </c>
      <c r="H26" s="28" t="n">
        <f aca="false">MAX(0,-G26)</f>
        <v>0</v>
      </c>
      <c r="I26" s="28" t="n">
        <f aca="false">IF(G26&lt;$G$5*0.995,$G$5-G26,0)</f>
        <v>53397.6479730245</v>
      </c>
      <c r="K26" s="5" t="s">
        <v>314</v>
      </c>
      <c r="L26" s="28" t="n">
        <f aca="false">Inputs!$B$95*(L17+L18+0.5*(L25-L17-L18))*Inputs!$B$96*Inputs!$B$94/12</f>
        <v>804272.448</v>
      </c>
      <c r="M26" s="28" t="n">
        <f aca="false">Inputs!$B$95*(M17+M18+0.5*(M25-M17-M18))*Inputs!$B$96*Inputs!$B$94/12</f>
        <v>1114596.672</v>
      </c>
    </row>
    <row r="27" customFormat="false" ht="15" hidden="false" customHeight="false" outlineLevel="0" collapsed="false">
      <c r="A27" s="39" t="n">
        <v>19</v>
      </c>
      <c r="B27" s="31" t="n">
        <f aca="false">IF(SUM(C27:E27)&lt;Inputs!$B$7,MIN(Inputs!$B$8+(Inputs!$B$9-Inputs!$B$8)*MAX(0,($G$4-SUM(C27:E27)/Inputs!$B$7)/$G$4),Inputs!$B$7-SUM(C27:E27)),0)</f>
        <v>3.34138543883672</v>
      </c>
      <c r="C27" s="31" t="n">
        <f aca="false">B26*(1-Inputs!$B$10)</f>
        <v>2.99643558217507</v>
      </c>
      <c r="D27" s="31" t="n">
        <f aca="false">C26*(1-Inputs!$B$11)</f>
        <v>2.87176702302</v>
      </c>
      <c r="E27" s="31" t="n">
        <f aca="false">D26*(1-Inputs!$B$11)+E26*(1-Inputs!$B$12)</f>
        <v>40.3189851726838</v>
      </c>
      <c r="F27" s="37" t="n">
        <f aca="false">MIN(SUM(B27:E27),Inputs!$B$7)/Inputs!$B$7</f>
        <v>0.70755104595308</v>
      </c>
      <c r="G27" s="28" t="n">
        <f aca="false">(Result!$B$29+(F27*Inputs!$B$7-Residents!$B$189)*Occupancy!$B$11)/12</f>
        <v>77982.3549487492</v>
      </c>
      <c r="H27" s="28" t="n">
        <f aca="false">MAX(0,-G27)</f>
        <v>0</v>
      </c>
      <c r="I27" s="28" t="n">
        <f aca="false">IF(G27&lt;$G$5*0.995,$G$5-G27,0)</f>
        <v>49416.8200342538</v>
      </c>
      <c r="K27" s="5" t="s">
        <v>315</v>
      </c>
      <c r="L27" s="28" t="n">
        <f aca="false">Inputs!$B$95*L25*Inputs!$B$96*$L$9/12</f>
        <v>1307132.288</v>
      </c>
      <c r="M27" s="28" t="n">
        <f aca="false">Inputs!$B$95*M25*Inputs!$B$96*$L$9/12</f>
        <v>1708692.832</v>
      </c>
    </row>
    <row r="28" customFormat="false" ht="15" hidden="false" customHeight="false" outlineLevel="0" collapsed="false">
      <c r="A28" s="39" t="n">
        <v>20</v>
      </c>
      <c r="B28" s="31" t="n">
        <f aca="false">IF(SUM(C28:E28)&lt;Inputs!$B$7,MIN(Inputs!$B$8+(Inputs!$B$9-Inputs!$B$8)*MAX(0,($G$4-SUM(C28:E28)/Inputs!$B$7)/$G$4),Inputs!$B$7-SUM(C28:E28)),0)</f>
        <v>3.30027469681094</v>
      </c>
      <c r="C28" s="31" t="n">
        <f aca="false">B27*(1-Inputs!$B$10)</f>
        <v>2.95712611337049</v>
      </c>
      <c r="D28" s="31" t="n">
        <f aca="false">C27*(1-Inputs!$B$11)</f>
        <v>2.83163162515544</v>
      </c>
      <c r="E28" s="31" t="n">
        <f aca="false">D27*(1-Inputs!$B$11)+E27*(1-Inputs!$B$12)</f>
        <v>41.4200456025303</v>
      </c>
      <c r="F28" s="37" t="n">
        <f aca="false">MIN(SUM(B28:E28),Inputs!$B$7)/Inputs!$B$7</f>
        <v>0.721558257683817</v>
      </c>
      <c r="G28" s="28" t="n">
        <f aca="false">(Result!$B$29+(F28*Inputs!$B$7-Residents!$B$189)*Occupancy!$B$11)/12</f>
        <v>81666.8231937732</v>
      </c>
      <c r="H28" s="28" t="n">
        <f aca="false">MAX(0,-G28)</f>
        <v>0</v>
      </c>
      <c r="I28" s="28" t="n">
        <f aca="false">IF(G28&lt;$G$5*0.995,$G$5-G28,0)</f>
        <v>45732.3517892298</v>
      </c>
      <c r="K28" s="5" t="s">
        <v>316</v>
      </c>
      <c r="L28" s="28" t="n">
        <f aca="false">L26+L27</f>
        <v>2111404.736</v>
      </c>
      <c r="M28" s="28" t="n">
        <f aca="false">M26+M27</f>
        <v>2823289.504</v>
      </c>
    </row>
    <row r="29" customFormat="false" ht="15" hidden="false" customHeight="false" outlineLevel="0" collapsed="false">
      <c r="A29" s="39" t="n">
        <v>21</v>
      </c>
      <c r="B29" s="31" t="n">
        <f aca="false">IF(SUM(C29:E29)&lt;Inputs!$B$7,MIN(Inputs!$B$8+(Inputs!$B$9-Inputs!$B$8)*MAX(0,($G$4-SUM(C29:E29)/Inputs!$B$7)/$G$4),Inputs!$B$7-SUM(C29:E29)),0)</f>
        <v>3.26222451583021</v>
      </c>
      <c r="C29" s="31" t="n">
        <f aca="false">B28*(1-Inputs!$B$10)</f>
        <v>2.92074310667768</v>
      </c>
      <c r="D29" s="31" t="n">
        <f aca="false">C28*(1-Inputs!$B$11)</f>
        <v>2.79448417713512</v>
      </c>
      <c r="E29" s="31" t="n">
        <f aca="false">D28*(1-Inputs!$B$11)+E28*(1-Inputs!$B$12)</f>
        <v>42.439135664201</v>
      </c>
      <c r="F29" s="37" t="n">
        <f aca="false">MIN(SUM(B29:E29),Inputs!$B$7)/Inputs!$B$7</f>
        <v>0.734522678054914</v>
      </c>
      <c r="G29" s="28" t="n">
        <f aca="false">(Result!$B$29+(F29*Inputs!$B$7-Residents!$B$189)*Occupancy!$B$11)/12</f>
        <v>85076.9947604406</v>
      </c>
      <c r="H29" s="28" t="n">
        <f aca="false">MAX(0,-G29)</f>
        <v>0</v>
      </c>
      <c r="I29" s="28" t="n">
        <f aca="false">IF(G29&lt;$G$5*0.995,$G$5-G29,0)</f>
        <v>42322.1802225625</v>
      </c>
      <c r="K29" s="5" t="s">
        <v>317</v>
      </c>
      <c r="L29" s="30" t="n">
        <f aca="false">L25+L28</f>
        <v>16965180.736</v>
      </c>
      <c r="M29" s="30" t="n">
        <f aca="false">M25+M28</f>
        <v>22240253.504</v>
      </c>
    </row>
    <row r="30" customFormat="false" ht="15" hidden="false" customHeight="false" outlineLevel="0" collapsed="false">
      <c r="A30" s="39" t="n">
        <v>22</v>
      </c>
      <c r="B30" s="31" t="n">
        <f aca="false">IF(SUM(C30:E30)&lt;Inputs!$B$7,MIN(Inputs!$B$8+(Inputs!$B$9-Inputs!$B$8)*MAX(0,($G$4-SUM(C30:E30)/Inputs!$B$7)/$G$4),Inputs!$B$7-SUM(C30:E30)),0)</f>
        <v>3.22700704707817</v>
      </c>
      <c r="C30" s="31" t="n">
        <f aca="false">B29*(1-Inputs!$B$10)</f>
        <v>2.88706869650974</v>
      </c>
      <c r="D30" s="31" t="n">
        <f aca="false">C29*(1-Inputs!$B$11)</f>
        <v>2.76010223581041</v>
      </c>
      <c r="E30" s="31" t="n">
        <f aca="false">D29*(1-Inputs!$B$11)+E29*(1-Inputs!$B$12)</f>
        <v>43.3823577850257</v>
      </c>
      <c r="F30" s="37" t="n">
        <f aca="false">MIN(SUM(B30:E30),Inputs!$B$7)/Inputs!$B$7</f>
        <v>0.746521939491771</v>
      </c>
      <c r="G30" s="28" t="n">
        <f aca="false">(Result!$B$29+(F30*Inputs!$B$7-Residents!$B$189)*Occupancy!$B$11)/12</f>
        <v>88233.2901443978</v>
      </c>
      <c r="H30" s="28" t="n">
        <f aca="false">MAX(0,-G30)</f>
        <v>0</v>
      </c>
      <c r="I30" s="28" t="n">
        <f aca="false">IF(G30&lt;$G$5*0.995,$G$5-G30,0)</f>
        <v>39165.8848386052</v>
      </c>
      <c r="K30" s="5" t="s">
        <v>318</v>
      </c>
      <c r="L30" s="28" t="n">
        <f aca="false">L29/Inputs!$B$7</f>
        <v>242359.7248</v>
      </c>
      <c r="M30" s="28" t="n">
        <f aca="false">M29/Inputs!$B$7</f>
        <v>317717.9072</v>
      </c>
    </row>
    <row r="31" customFormat="false" ht="15" hidden="false" customHeight="false" outlineLevel="0" collapsed="false">
      <c r="A31" s="39" t="n">
        <v>23</v>
      </c>
      <c r="B31" s="31" t="n">
        <f aca="false">IF(SUM(C31:E31)&lt;Inputs!$B$7,MIN(Inputs!$B$8+(Inputs!$B$9-Inputs!$B$8)*MAX(0,($G$4-SUM(C31:E31)/Inputs!$B$7)/$G$4),Inputs!$B$7-SUM(C31:E31)),0)</f>
        <v>3.19441140434183</v>
      </c>
      <c r="C31" s="31" t="n">
        <f aca="false">B30*(1-Inputs!$B$10)</f>
        <v>2.85590123666418</v>
      </c>
      <c r="D31" s="31" t="n">
        <f aca="false">C30*(1-Inputs!$B$11)</f>
        <v>2.7282799182017</v>
      </c>
      <c r="E31" s="31" t="n">
        <f aca="false">D30*(1-Inputs!$B$11)+E30*(1-Inputs!$B$12)</f>
        <v>44.2553600864655</v>
      </c>
      <c r="F31" s="37" t="n">
        <f aca="false">MIN(SUM(B31:E31),Inputs!$B$7)/Inputs!$B$7</f>
        <v>0.757627894938188</v>
      </c>
      <c r="G31" s="28" t="n">
        <f aca="false">(Result!$B$29+(F31*Inputs!$B$7-Residents!$B$189)*Occupancy!$B$11)/12</f>
        <v>91154.6096018015</v>
      </c>
      <c r="H31" s="28" t="n">
        <f aca="false">MAX(0,-G31)</f>
        <v>0</v>
      </c>
      <c r="I31" s="28" t="n">
        <f aca="false">IF(G31&lt;$G$5*0.995,$G$5-G31,0)</f>
        <v>36244.5653812015</v>
      </c>
      <c r="K31" s="5" t="s">
        <v>300</v>
      </c>
      <c r="L31" s="28" t="n">
        <f aca="false">$L$11</f>
        <v>317681.416941609</v>
      </c>
      <c r="M31" s="28" t="n">
        <f aca="false">$L$11</f>
        <v>317681.416941609</v>
      </c>
    </row>
    <row r="32" customFormat="false" ht="15" hidden="false" customHeight="false" outlineLevel="0" collapsed="false">
      <c r="A32" s="39" t="n">
        <v>24</v>
      </c>
      <c r="B32" s="31" t="n">
        <f aca="false">IF(SUM(C32:E32)&lt;Inputs!$B$7,MIN(Inputs!$B$8+(Inputs!$B$9-Inputs!$B$8)*MAX(0,($G$4-SUM(C32:E32)/Inputs!$B$7)/$G$4),Inputs!$B$7-SUM(C32:E32)),0)</f>
        <v>3.16424240120091</v>
      </c>
      <c r="C32" s="31" t="n">
        <f aca="false">B31*(1-Inputs!$B$10)</f>
        <v>2.82705409284252</v>
      </c>
      <c r="D32" s="31" t="n">
        <f aca="false">C31*(1-Inputs!$B$11)</f>
        <v>2.69882666864765</v>
      </c>
      <c r="E32" s="31" t="n">
        <f aca="false">D31*(1-Inputs!$B$11)+E31*(1-Inputs!$B$12)</f>
        <v>45.0633702057075</v>
      </c>
      <c r="F32" s="37" t="n">
        <f aca="false">MIN(SUM(B32:E32),Inputs!$B$7)/Inputs!$B$7</f>
        <v>0.767907048119979</v>
      </c>
      <c r="G32" s="28" t="n">
        <f aca="false">(Result!$B$29+(F32*Inputs!$B$7-Residents!$B$189)*Occupancy!$B$11)/12</f>
        <v>93858.4463262037</v>
      </c>
      <c r="H32" s="28" t="n">
        <f aca="false">MAX(0,-G32)</f>
        <v>0</v>
      </c>
      <c r="I32" s="28" t="n">
        <f aca="false">IF(G32&lt;$G$5*0.995,$G$5-G32,0)</f>
        <v>33540.7286567993</v>
      </c>
      <c r="K32" s="5" t="s">
        <v>318</v>
      </c>
      <c r="L32" s="28" t="n">
        <f aca="false">L31/Inputs!$B$7</f>
        <v>4538.3059563087</v>
      </c>
      <c r="M32" s="28" t="n">
        <f aca="false">M31/Inputs!$B$7</f>
        <v>4538.3059563087</v>
      </c>
    </row>
    <row r="33" customFormat="false" ht="15" hidden="false" customHeight="false" outlineLevel="0" collapsed="false">
      <c r="A33" s="39" t="n">
        <v>25</v>
      </c>
      <c r="B33" s="31" t="n">
        <f aca="false">IF(SUM(C33:E33)&lt;Inputs!$B$7,MIN(Inputs!$B$8+(Inputs!$B$9-Inputs!$B$8)*MAX(0,($G$4-SUM(C33:E33)/Inputs!$B$7)/$G$4),Inputs!$B$7-SUM(C33:E33)),0)</f>
        <v>3.13631938222937</v>
      </c>
      <c r="C33" s="31" t="n">
        <f aca="false">B32*(1-Inputs!$B$10)</f>
        <v>2.80035452506281</v>
      </c>
      <c r="D33" s="31" t="n">
        <f aca="false">C32*(1-Inputs!$B$11)</f>
        <v>2.67156611773618</v>
      </c>
      <c r="E33" s="31" t="n">
        <f aca="false">D32*(1-Inputs!$B$11)+E32*(1-Inputs!$B$12)</f>
        <v>45.8112265993512</v>
      </c>
      <c r="F33" s="37" t="n">
        <f aca="false">MIN(SUM(B33:E33),Inputs!$B$7)/Inputs!$B$7</f>
        <v>0.777420951776851</v>
      </c>
      <c r="G33" s="28" t="n">
        <f aca="false">(Result!$B$29+(F33*Inputs!$B$7-Residents!$B$189)*Occupancy!$B$11)/12</f>
        <v>96360.9911997876</v>
      </c>
      <c r="H33" s="28" t="n">
        <f aca="false">MAX(0,-G33)</f>
        <v>0</v>
      </c>
      <c r="I33" s="28" t="n">
        <f aca="false">IF(G33&lt;$G$5*0.995,$G$5-G33,0)</f>
        <v>31038.1837832154</v>
      </c>
      <c r="K33" s="5" t="s">
        <v>319</v>
      </c>
      <c r="L33" s="30" t="n">
        <f aca="false">L29+L31</f>
        <v>17282862.1529416</v>
      </c>
      <c r="M33" s="30" t="n">
        <f aca="false">M29+M31</f>
        <v>22557934.9209416</v>
      </c>
    </row>
    <row r="34" customFormat="false" ht="15" hidden="false" customHeight="false" outlineLevel="0" collapsed="false">
      <c r="A34" s="39" t="n">
        <v>26</v>
      </c>
      <c r="B34" s="31" t="n">
        <f aca="false">IF(SUM(C34:E34)&lt;Inputs!$B$7,MIN(Inputs!$B$8+(Inputs!$B$9-Inputs!$B$8)*MAX(0,($G$4-SUM(C34:E34)/Inputs!$B$7)/$G$4),Inputs!$B$7-SUM(C34:E34)),0)</f>
        <v>3.1104751412101</v>
      </c>
      <c r="C34" s="31" t="n">
        <f aca="false">B33*(1-Inputs!$B$10)</f>
        <v>2.775642653273</v>
      </c>
      <c r="D34" s="31" t="n">
        <f aca="false">C33*(1-Inputs!$B$11)</f>
        <v>2.64633502618435</v>
      </c>
      <c r="E34" s="31" t="n">
        <f aca="false">D33*(1-Inputs!$B$11)+E33*(1-Inputs!$B$12)</f>
        <v>46.5034075166378</v>
      </c>
      <c r="F34" s="37" t="n">
        <f aca="false">MIN(SUM(B34:E34),Inputs!$B$7)/Inputs!$B$7</f>
        <v>0.786226576247218</v>
      </c>
      <c r="G34" s="28" t="n">
        <f aca="false">(Result!$B$29+(F34*Inputs!$B$7-Residents!$B$189)*Occupancy!$B$11)/12</f>
        <v>98677.229746213</v>
      </c>
      <c r="H34" s="28" t="n">
        <f aca="false">MAX(0,-G34)</f>
        <v>0</v>
      </c>
      <c r="I34" s="28" t="n">
        <f aca="false">IF(G34&lt;$G$5*0.995,$G$5-G34,0)</f>
        <v>28721.9452367901</v>
      </c>
      <c r="K34" s="5" t="s">
        <v>318</v>
      </c>
      <c r="L34" s="28" t="n">
        <f aca="false">L33/Inputs!$B$7</f>
        <v>246898.030756309</v>
      </c>
      <c r="M34" s="28" t="n">
        <f aca="false">M33/Inputs!$B$7</f>
        <v>322256.213156309</v>
      </c>
    </row>
    <row r="35" customFormat="false" ht="15" hidden="false" customHeight="false" outlineLevel="0" collapsed="false">
      <c r="A35" s="39" t="n">
        <v>27</v>
      </c>
      <c r="B35" s="31" t="n">
        <f aca="false">IF(SUM(C35:E35)&lt;Inputs!$B$7,MIN(Inputs!$B$8+(Inputs!$B$9-Inputs!$B$8)*MAX(0,($G$4-SUM(C35:E35)/Inputs!$B$7)/$G$4),Inputs!$B$7-SUM(C35:E35)),0)</f>
        <v>3.08655491988507</v>
      </c>
      <c r="C35" s="31" t="n">
        <f aca="false">B34*(1-Inputs!$B$10)</f>
        <v>2.75277049997094</v>
      </c>
      <c r="D35" s="31" t="n">
        <f aca="false">C34*(1-Inputs!$B$11)</f>
        <v>2.62298230734298</v>
      </c>
      <c r="E35" s="31" t="n">
        <f aca="false">D34*(1-Inputs!$B$11)+E34*(1-Inputs!$B$12)</f>
        <v>47.1440578157165</v>
      </c>
      <c r="F35" s="37" t="n">
        <f aca="false">MIN(SUM(B35:E35),Inputs!$B$7)/Inputs!$B$7</f>
        <v>0.794376650613079</v>
      </c>
      <c r="G35" s="28" t="n">
        <f aca="false">(Result!$B$29+(F35*Inputs!$B$7-Residents!$B$189)*Occupancy!$B$11)/12</f>
        <v>100821.031865639</v>
      </c>
      <c r="H35" s="28" t="n">
        <f aca="false">MAX(0,-G35)</f>
        <v>0</v>
      </c>
      <c r="I35" s="28" t="n">
        <f aca="false">IF(G35&lt;$G$5*0.995,$G$5-G35,0)</f>
        <v>26578.1431173645</v>
      </c>
      <c r="K35" s="5" t="s">
        <v>320</v>
      </c>
      <c r="L35" s="37" t="n">
        <f aca="false">L31/L33</f>
        <v>0.0183812966932412</v>
      </c>
      <c r="M35" s="37" t="n">
        <f aca="false">M31/M33</f>
        <v>0.0140829122016258</v>
      </c>
    </row>
    <row r="36" customFormat="false" ht="28.35" hidden="false" customHeight="false" outlineLevel="0" collapsed="false">
      <c r="A36" s="39" t="n">
        <v>28</v>
      </c>
      <c r="B36" s="31" t="n">
        <f aca="false">IF(SUM(C36:E36)&lt;Inputs!$B$7,MIN(Inputs!$B$8+(Inputs!$B$9-Inputs!$B$8)*MAX(0,($G$4-SUM(C36:E36)/Inputs!$B$7)/$G$4),Inputs!$B$7-SUM(C36:E36)),0)</f>
        <v>3.06441548124527</v>
      </c>
      <c r="C36" s="31" t="n">
        <f aca="false">B35*(1-Inputs!$B$10)</f>
        <v>2.73160110409829</v>
      </c>
      <c r="D36" s="31" t="n">
        <f aca="false">C35*(1-Inputs!$B$11)</f>
        <v>2.60136812247254</v>
      </c>
      <c r="E36" s="31" t="n">
        <f aca="false">D35*(1-Inputs!$B$11)+E35*(1-Inputs!$B$12)</f>
        <v>47.737013783527</v>
      </c>
      <c r="F36" s="37" t="n">
        <f aca="false">MIN(SUM(B36:E36),Inputs!$B$7)/Inputs!$B$7</f>
        <v>0.801919978447758</v>
      </c>
      <c r="G36" s="28" t="n">
        <f aca="false">(Result!$B$29+(F36*Inputs!$B$7-Residents!$B$189)*Occupancy!$B$11)/12</f>
        <v>102805.234889263</v>
      </c>
      <c r="H36" s="28" t="n">
        <f aca="false">MAX(0,-G36)</f>
        <v>0</v>
      </c>
      <c r="I36" s="28" t="n">
        <f aca="false">IF(G36&lt;$G$5*0.995,$G$5-G36,0)</f>
        <v>24593.9400937397</v>
      </c>
      <c r="K36" s="5" t="s">
        <v>321</v>
      </c>
      <c r="L36" s="37" t="n">
        <f aca="false">$L$13/L33</f>
        <v>0.166477341419937</v>
      </c>
      <c r="M36" s="37" t="n">
        <f aca="false">$L$13/M33</f>
        <v>0.127547355439789</v>
      </c>
    </row>
    <row r="37" customFormat="false" ht="15" hidden="false" customHeight="false" outlineLevel="0" collapsed="false">
      <c r="A37" s="39" t="n">
        <v>29</v>
      </c>
      <c r="B37" s="31" t="n">
        <f aca="false">IF(SUM(C37:E37)&lt;Inputs!$B$7,MIN(Inputs!$B$8+(Inputs!$B$9-Inputs!$B$8)*MAX(0,($G$4-SUM(C37:E37)/Inputs!$B$7)/$G$4),Inputs!$B$7-SUM(C37:E37)),0)</f>
        <v>3.04392425181117</v>
      </c>
      <c r="C37" s="31" t="n">
        <f aca="false">B36*(1-Inputs!$B$10)</f>
        <v>2.71200770090206</v>
      </c>
      <c r="D37" s="31" t="n">
        <f aca="false">C36*(1-Inputs!$B$11)</f>
        <v>2.58136304337288</v>
      </c>
      <c r="E37" s="31" t="n">
        <f aca="false">D36*(1-Inputs!$B$11)+E36*(1-Inputs!$B$12)</f>
        <v>48.2858261079224</v>
      </c>
      <c r="F37" s="37" t="n">
        <f aca="false">MIN(SUM(B37:E37),Inputs!$B$7)/Inputs!$B$7</f>
        <v>0.808901730057265</v>
      </c>
      <c r="G37" s="28" t="n">
        <f aca="false">(Result!$B$29+(F37*Inputs!$B$7-Residents!$B$189)*Occupancy!$B$11)/12</f>
        <v>104641.720450728</v>
      </c>
      <c r="H37" s="28" t="n">
        <f aca="false">MAX(0,-G37)</f>
        <v>0</v>
      </c>
      <c r="I37" s="28" t="n">
        <f aca="false">IF(G37&lt;$G$5*0.995,$G$5-G37,0)</f>
        <v>22757.4545322754</v>
      </c>
      <c r="K37" s="5" t="s">
        <v>322</v>
      </c>
      <c r="L37" s="37" t="n">
        <f aca="false">Result!$B$29/L33</f>
        <v>0.088456997820574</v>
      </c>
      <c r="M37" s="37" t="n">
        <f aca="false">Result!$B$29/M33</f>
        <v>0.0677717222411519</v>
      </c>
    </row>
    <row r="38" customFormat="false" ht="15" hidden="false" customHeight="false" outlineLevel="0" collapsed="false">
      <c r="A38" s="39" t="n">
        <v>30</v>
      </c>
      <c r="B38" s="31" t="n">
        <f aca="false">IF(SUM(C38:E38)&lt;Inputs!$B$7,MIN(Inputs!$B$8+(Inputs!$B$9-Inputs!$B$8)*MAX(0,($G$4-SUM(C38:E38)/Inputs!$B$7)/$G$4),Inputs!$B$7-SUM(C38:E38)),0)</f>
        <v>3.02495852776766</v>
      </c>
      <c r="C38" s="31" t="n">
        <f aca="false">B37*(1-Inputs!$B$10)</f>
        <v>2.69387296285289</v>
      </c>
      <c r="D38" s="31" t="n">
        <f aca="false">C37*(1-Inputs!$B$11)</f>
        <v>2.56284727735245</v>
      </c>
      <c r="E38" s="31" t="n">
        <f aca="false">D37*(1-Inputs!$B$11)+E37*(1-Inputs!$B$12)</f>
        <v>48.7937811395929</v>
      </c>
      <c r="F38" s="37" t="n">
        <f aca="false">MIN(SUM(B38:E38),Inputs!$B$7)/Inputs!$B$7</f>
        <v>0.815363712965227</v>
      </c>
      <c r="G38" s="28" t="n">
        <f aca="false">(Result!$B$29+(F38*Inputs!$B$7-Residents!$B$189)*Occupancy!$B$11)/12</f>
        <v>106341.485634688</v>
      </c>
      <c r="H38" s="28" t="n">
        <f aca="false">MAX(0,-G38)</f>
        <v>0</v>
      </c>
      <c r="I38" s="28" t="n">
        <f aca="false">IF(G38&lt;$G$5*0.995,$G$5-G38,0)</f>
        <v>21057.6893483146</v>
      </c>
      <c r="K38" s="5" t="s">
        <v>323</v>
      </c>
      <c r="L38" s="28" t="n">
        <f aca="false">Result!$B$39</f>
        <v>16816691.0977564</v>
      </c>
      <c r="M38" s="28" t="n">
        <f aca="false">Result!$B$39</f>
        <v>16816691.0977564</v>
      </c>
    </row>
    <row r="39" customFormat="false" ht="15" hidden="false" customHeight="false" outlineLevel="0" collapsed="false">
      <c r="A39" s="39" t="n">
        <v>31</v>
      </c>
      <c r="B39" s="31" t="n">
        <f aca="false">IF(SUM(C39:E39)&lt;Inputs!$B$7,MIN(Inputs!$B$8+(Inputs!$B$9-Inputs!$B$8)*MAX(0,($G$4-SUM(C39:E39)/Inputs!$B$7)/$G$4),Inputs!$B$7-SUM(C39:E39)),0)</f>
        <v>3.00740474019959</v>
      </c>
      <c r="C39" s="31" t="n">
        <f aca="false">B38*(1-Inputs!$B$10)</f>
        <v>2.67708829707438</v>
      </c>
      <c r="D39" s="31" t="n">
        <f aca="false">C38*(1-Inputs!$B$11)</f>
        <v>2.54570994989598</v>
      </c>
      <c r="E39" s="31" t="n">
        <f aca="false">D38*(1-Inputs!$B$11)+E38*(1-Inputs!$B$12)</f>
        <v>49.2639205711073</v>
      </c>
      <c r="F39" s="37" t="n">
        <f aca="false">MIN(SUM(B39:E39),Inputs!$B$7)/Inputs!$B$7</f>
        <v>0.821344622261103</v>
      </c>
      <c r="G39" s="28" t="n">
        <f aca="false">(Result!$B$29+(F39*Inputs!$B$7-Residents!$B$189)*Occupancy!$B$11)/12</f>
        <v>107914.708828614</v>
      </c>
      <c r="H39" s="28" t="n">
        <f aca="false">MAX(0,-G39)</f>
        <v>0</v>
      </c>
      <c r="I39" s="28" t="n">
        <f aca="false">IF(G39&lt;$G$5*0.995,$G$5-G39,0)</f>
        <v>19484.466154389</v>
      </c>
      <c r="K39" s="5" t="s">
        <v>324</v>
      </c>
      <c r="L39" s="28" t="n">
        <f aca="false">L38-L33</f>
        <v>-466171.05518521</v>
      </c>
      <c r="M39" s="28" t="n">
        <f aca="false">M38-M33</f>
        <v>-5741243.82318521</v>
      </c>
    </row>
    <row r="40" customFormat="false" ht="15" hidden="false" customHeight="false" outlineLevel="0" collapsed="false">
      <c r="A40" s="39" t="n">
        <v>32</v>
      </c>
      <c r="B40" s="31" t="n">
        <f aca="false">IF(SUM(C40:E40)&lt;Inputs!$B$7,MIN(Inputs!$B$8+(Inputs!$B$9-Inputs!$B$8)*MAX(0,($G$4-SUM(C40:E40)/Inputs!$B$7)/$G$4),Inputs!$B$7-SUM(C40:E40)),0)</f>
        <v>2.99115777502822</v>
      </c>
      <c r="C40" s="31" t="n">
        <f aca="false">B39*(1-Inputs!$B$10)</f>
        <v>2.66155319507664</v>
      </c>
      <c r="D40" s="31" t="n">
        <f aca="false">C39*(1-Inputs!$B$11)</f>
        <v>2.52984844073529</v>
      </c>
      <c r="E40" s="31" t="n">
        <f aca="false">D39*(1-Inputs!$B$11)+E39*(1-Inputs!$B$12)</f>
        <v>49.6990596509147</v>
      </c>
      <c r="F40" s="37" t="n">
        <f aca="false">MIN(SUM(B40:E40),Inputs!$B$7)/Inputs!$B$7</f>
        <v>0.826880272310783</v>
      </c>
      <c r="G40" s="28" t="n">
        <f aca="false">(Result!$B$29+(F40*Inputs!$B$7-Residents!$B$189)*Occupancy!$B$11)/12</f>
        <v>109370.810672128</v>
      </c>
      <c r="H40" s="28" t="n">
        <f aca="false">MAX(0,-G40)</f>
        <v>0</v>
      </c>
      <c r="I40" s="28" t="n">
        <f aca="false">IF(G40&lt;$G$5*0.995,$G$5-G40,0)</f>
        <v>18028.3643108754</v>
      </c>
      <c r="K40" s="5" t="s">
        <v>325</v>
      </c>
      <c r="L40" s="34" t="n">
        <f aca="false">L39/L33</f>
        <v>-0.0269730239736863</v>
      </c>
      <c r="M40" s="34" t="n">
        <f aca="false">M39/M33</f>
        <v>-0.254511055347329</v>
      </c>
    </row>
    <row r="41" customFormat="false" ht="15" hidden="false" customHeight="false" outlineLevel="0" collapsed="false">
      <c r="A41" s="39" t="n">
        <v>33</v>
      </c>
      <c r="B41" s="31" t="n">
        <f aca="false">IF(SUM(C41:E41)&lt;Inputs!$B$7,MIN(Inputs!$B$8+(Inputs!$B$9-Inputs!$B$8)*MAX(0,($G$4-SUM(C41:E41)/Inputs!$B$7)/$G$4),Inputs!$B$7-SUM(C41:E41)),0)</f>
        <v>2.9761203435761</v>
      </c>
      <c r="C41" s="31" t="n">
        <f aca="false">B40*(1-Inputs!$B$10)</f>
        <v>2.64717463089997</v>
      </c>
      <c r="D41" s="31" t="n">
        <f aca="false">C40*(1-Inputs!$B$11)</f>
        <v>2.51516776934742</v>
      </c>
      <c r="E41" s="31" t="n">
        <f aca="false">D40*(1-Inputs!$B$11)+E40*(1-Inputs!$B$12)</f>
        <v>50.1018040413729</v>
      </c>
      <c r="F41" s="37" t="n">
        <f aca="false">MIN(SUM(B41:E41),Inputs!$B$7)/Inputs!$B$7</f>
        <v>0.832003811217092</v>
      </c>
      <c r="G41" s="28" t="n">
        <f aca="false">(Result!$B$29+(F41*Inputs!$B$7-Residents!$B$189)*Occupancy!$B$11)/12</f>
        <v>110718.51046887</v>
      </c>
      <c r="H41" s="28" t="n">
        <f aca="false">MAX(0,-G41)</f>
        <v>0</v>
      </c>
      <c r="I41" s="28" t="n">
        <f aca="false">IF(G41&lt;$G$5*0.995,$G$5-G41,0)</f>
        <v>16680.6645141333</v>
      </c>
      <c r="K41" s="5" t="s">
        <v>326</v>
      </c>
      <c r="L41" s="38" t="n">
        <f aca="false">L37-1/Inputs!$B$53</f>
        <v>-0.00245209308851695</v>
      </c>
      <c r="M41" s="38" t="n">
        <f aca="false">M37-1/Inputs!$B$53</f>
        <v>-0.023137368667939</v>
      </c>
    </row>
    <row r="42" customFormat="false" ht="15" hidden="false" customHeight="false" outlineLevel="0" collapsed="false">
      <c r="A42" s="39" t="n">
        <v>34</v>
      </c>
      <c r="B42" s="31" t="n">
        <f aca="false">IF(SUM(C42:E42)&lt;Inputs!$B$7,MIN(Inputs!$B$8+(Inputs!$B$9-Inputs!$B$8)*MAX(0,($G$4-SUM(C42:E42)/Inputs!$B$7)/$G$4),Inputs!$B$7-SUM(C42:E42)),0)</f>
        <v>2.96220239999143</v>
      </c>
      <c r="C42" s="31" t="n">
        <f aca="false">B41*(1-Inputs!$B$10)</f>
        <v>2.63386650406484</v>
      </c>
      <c r="D42" s="31" t="n">
        <f aca="false">C41*(1-Inputs!$B$11)</f>
        <v>2.50158002620047</v>
      </c>
      <c r="E42" s="31" t="n">
        <f aca="false">D41*(1-Inputs!$B$11)+E41*(1-Inputs!$B$12)</f>
        <v>50.4745654217513</v>
      </c>
      <c r="F42" s="37" t="n">
        <f aca="false">MIN(SUM(B42:E42),Inputs!$B$7)/Inputs!$B$7</f>
        <v>0.836745919314401</v>
      </c>
      <c r="G42" s="28" t="n">
        <f aca="false">(Result!$B$29+(F42*Inputs!$B$7-Residents!$B$189)*Occupancy!$B$11)/12</f>
        <v>111965.878398682</v>
      </c>
      <c r="H42" s="28" t="n">
        <f aca="false">MAX(0,-G42)</f>
        <v>0</v>
      </c>
      <c r="I42" s="28" t="n">
        <f aca="false">IF(G42&lt;$G$5*0.995,$G$5-G42,0)</f>
        <v>15433.2965843213</v>
      </c>
      <c r="K42" s="5" t="s">
        <v>327</v>
      </c>
      <c r="L42" s="28" t="n">
        <f aca="false">L26</f>
        <v>804272.448</v>
      </c>
      <c r="M42" s="28" t="n">
        <f aca="false">M26</f>
        <v>1114596.672</v>
      </c>
    </row>
    <row r="43" customFormat="false" ht="28.35" hidden="false" customHeight="false" outlineLevel="0" collapsed="false">
      <c r="A43" s="39" t="n">
        <v>35</v>
      </c>
      <c r="B43" s="31" t="n">
        <f aca="false">IF(SUM(C43:E43)&lt;Inputs!$B$7,MIN(Inputs!$B$8+(Inputs!$B$9-Inputs!$B$8)*MAX(0,($G$4-SUM(C43:E43)/Inputs!$B$7)/$G$4),Inputs!$B$7-SUM(C43:E43)),0)</f>
        <v>2.94932060204325</v>
      </c>
      <c r="C43" s="31" t="n">
        <f aca="false">B42*(1-Inputs!$B$10)</f>
        <v>2.62154912399242</v>
      </c>
      <c r="D43" s="31" t="n">
        <f aca="false">C42*(1-Inputs!$B$11)</f>
        <v>2.48900384634128</v>
      </c>
      <c r="E43" s="31" t="n">
        <f aca="false">D42*(1-Inputs!$B$11)+E42*(1-Inputs!$B$12)</f>
        <v>50.8195759296407</v>
      </c>
      <c r="F43" s="37" t="n">
        <f aca="false">MIN(SUM(B43:E43),Inputs!$B$7)/Inputs!$B$7</f>
        <v>0.841134992885967</v>
      </c>
      <c r="G43" s="28" t="n">
        <f aca="false">(Result!$B$29+(F43*Inputs!$B$7-Residents!$B$189)*Occupancy!$B$11)/12</f>
        <v>113120.383842761</v>
      </c>
      <c r="H43" s="28" t="n">
        <f aca="false">MAX(0,-G43)</f>
        <v>0</v>
      </c>
      <c r="I43" s="28" t="n">
        <f aca="false">IF(G43&lt;$G$5*0.995,$G$5-G43,0)</f>
        <v>14278.791140242</v>
      </c>
      <c r="K43" s="5" t="s">
        <v>328</v>
      </c>
      <c r="L43" s="28" t="n">
        <f aca="false">Inputs!$B$95*L25*Inputs!$B$96*Inputs!$B$94/12</f>
        <v>1425962.496</v>
      </c>
      <c r="M43" s="28" t="n">
        <f aca="false">Inputs!$B$95*M25*Inputs!$B$96*Inputs!$B$94/12</f>
        <v>1864028.544</v>
      </c>
    </row>
    <row r="44" customFormat="false" ht="15" hidden="false" customHeight="false" outlineLevel="0" collapsed="false">
      <c r="A44" s="39" t="n">
        <v>36</v>
      </c>
      <c r="B44" s="31" t="n">
        <f aca="false">IF(SUM(C44:E44)&lt;Inputs!$B$7,MIN(Inputs!$B$8+(Inputs!$B$9-Inputs!$B$8)*MAX(0,($G$4-SUM(C44:E44)/Inputs!$B$7)/$G$4),Inputs!$B$7-SUM(C44:E44)),0)</f>
        <v>2.93739781205862</v>
      </c>
      <c r="C44" s="31" t="n">
        <f aca="false">B43*(1-Inputs!$B$10)</f>
        <v>2.61014873280828</v>
      </c>
      <c r="D44" s="31" t="n">
        <f aca="false">C43*(1-Inputs!$B$11)</f>
        <v>2.47736392217283</v>
      </c>
      <c r="E44" s="31" t="n">
        <f aca="false">D43*(1-Inputs!$B$11)+E43*(1-Inputs!$B$12)</f>
        <v>51.1389015272476</v>
      </c>
      <c r="F44" s="37" t="n">
        <f aca="false">MIN(SUM(B44:E44),Inputs!$B$7)/Inputs!$B$7</f>
        <v>0.845197314204105</v>
      </c>
      <c r="G44" s="28" t="n">
        <f aca="false">(Result!$B$29+(F44*Inputs!$B$7-Residents!$B$189)*Occupancy!$B$11)/12</f>
        <v>114188.940111167</v>
      </c>
      <c r="H44" s="28" t="n">
        <f aca="false">MAX(0,-G44)</f>
        <v>0</v>
      </c>
      <c r="I44" s="28" t="n">
        <f aca="false">IF(G44&lt;$G$5*0.995,$G$5-G44,0)</f>
        <v>13210.2348718365</v>
      </c>
    </row>
    <row r="45" customFormat="false" ht="15" hidden="false" customHeight="false" outlineLevel="0" collapsed="false">
      <c r="A45" s="39" t="n">
        <v>37</v>
      </c>
      <c r="B45" s="31" t="n">
        <f aca="false">IF(SUM(C45:E45)&lt;Inputs!$B$7,MIN(Inputs!$B$8+(Inputs!$B$9-Inputs!$B$8)*MAX(0,($G$4-SUM(C45:E45)/Inputs!$B$7)/$G$4),Inputs!$B$7-SUM(C45:E45)),0)</f>
        <v>2.92636263501351</v>
      </c>
      <c r="C45" s="31" t="n">
        <f aca="false">B44*(1-Inputs!$B$10)</f>
        <v>2.59959706367188</v>
      </c>
      <c r="D45" s="31" t="n">
        <f aca="false">C44*(1-Inputs!$B$11)</f>
        <v>2.46659055250382</v>
      </c>
      <c r="E45" s="31" t="n">
        <f aca="false">D44*(1-Inputs!$B$11)+E44*(1-Inputs!$B$12)</f>
        <v>51.434454372611</v>
      </c>
      <c r="F45" s="37" t="n">
        <f aca="false">MIN(SUM(B45:E45),Inputs!$B$7)/Inputs!$B$7</f>
        <v>0.848957208911432</v>
      </c>
      <c r="G45" s="28" t="n">
        <f aca="false">(Result!$B$29+(F45*Inputs!$B$7-Residents!$B$189)*Occupancy!$B$11)/12</f>
        <v>115177.945840507</v>
      </c>
      <c r="H45" s="28" t="n">
        <f aca="false">MAX(0,-G45)</f>
        <v>0</v>
      </c>
      <c r="I45" s="28" t="n">
        <f aca="false">IF(G45&lt;$G$5*0.995,$G$5-G45,0)</f>
        <v>12221.2291424962</v>
      </c>
      <c r="K45" s="3" t="s">
        <v>329</v>
      </c>
    </row>
    <row r="46" customFormat="false" ht="28.35" hidden="false" customHeight="false" outlineLevel="0" collapsed="false">
      <c r="A46" s="39" t="n">
        <v>38</v>
      </c>
      <c r="B46" s="31" t="n">
        <f aca="false">IF(SUM(C46:E46)&lt;Inputs!$B$7,MIN(Inputs!$B$8+(Inputs!$B$9-Inputs!$B$8)*MAX(0,($G$4-SUM(C46:E46)/Inputs!$B$7)/$G$4),Inputs!$B$7-SUM(C46:E46)),0)</f>
        <v>2.91614899101123</v>
      </c>
      <c r="C46" s="31" t="n">
        <f aca="false">B45*(1-Inputs!$B$10)</f>
        <v>2.58983093198696</v>
      </c>
      <c r="D46" s="31" t="n">
        <f aca="false">C45*(1-Inputs!$B$11)</f>
        <v>2.45661922516993</v>
      </c>
      <c r="E46" s="31" t="n">
        <f aca="false">D45*(1-Inputs!$B$11)+E45*(1-Inputs!$B$12)</f>
        <v>51.7080042698227</v>
      </c>
      <c r="F46" s="37" t="n">
        <f aca="false">MIN(SUM(B46:E46),Inputs!$B$7)/Inputs!$B$7</f>
        <v>0.852437191685583</v>
      </c>
      <c r="G46" s="28" t="n">
        <f aca="false">(Result!$B$29+(F46*Inputs!$B$7-Residents!$B$189)*Occupancy!$B$11)/12</f>
        <v>116093.323309704</v>
      </c>
      <c r="H46" s="28" t="n">
        <f aca="false">MAX(0,-G46)</f>
        <v>0</v>
      </c>
      <c r="I46" s="28" t="n">
        <f aca="false">IF(G46&lt;$G$5*0.995,$G$5-G46,0)</f>
        <v>11305.8516732992</v>
      </c>
      <c r="K46" s="33" t="s">
        <v>133</v>
      </c>
      <c r="L46" s="33" t="s">
        <v>145</v>
      </c>
      <c r="M46" s="33" t="s">
        <v>330</v>
      </c>
      <c r="N46" s="33" t="s">
        <v>331</v>
      </c>
      <c r="O46" s="33" t="s">
        <v>332</v>
      </c>
    </row>
    <row r="47" customFormat="false" ht="15" hidden="false" customHeight="false" outlineLevel="0" collapsed="false">
      <c r="A47" s="39" t="n">
        <v>39</v>
      </c>
      <c r="B47" s="31" t="n">
        <f aca="false">IF(SUM(C47:E47)&lt;Inputs!$B$7,MIN(Inputs!$B$8+(Inputs!$B$9-Inputs!$B$8)*MAX(0,($G$4-SUM(C47:E47)/Inputs!$B$7)/$G$4),Inputs!$B$7-SUM(C47:E47)),0)</f>
        <v>2.90669571958851</v>
      </c>
      <c r="C47" s="31" t="n">
        <f aca="false">B46*(1-Inputs!$B$10)</f>
        <v>2.58079185704494</v>
      </c>
      <c r="D47" s="31" t="n">
        <f aca="false">C46*(1-Inputs!$B$11)</f>
        <v>2.44739023072768</v>
      </c>
      <c r="E47" s="31" t="n">
        <f aca="false">D46*(1-Inputs!$B$11)+E46*(1-Inputs!$B$12)</f>
        <v>51.9611892668154</v>
      </c>
      <c r="F47" s="37" t="n">
        <f aca="false">MIN(SUM(B47:E47),Inputs!$B$7)/Inputs!$B$7</f>
        <v>0.855658101059664</v>
      </c>
      <c r="G47" s="28" t="n">
        <f aca="false">(Result!$B$29+(F47*Inputs!$B$7-Residents!$B$189)*Occupancy!$B$11)/12</f>
        <v>116940.553903274</v>
      </c>
      <c r="H47" s="28" t="n">
        <f aca="false">MAX(0,-G47)</f>
        <v>0</v>
      </c>
      <c r="I47" s="28" t="n">
        <f aca="false">IF(G47&lt;$G$5*0.995,$G$5-G47,0)</f>
        <v>10458.6210797285</v>
      </c>
      <c r="K47" s="39" t="n">
        <v>6</v>
      </c>
      <c r="L47" s="37" t="n">
        <f aca="false">INDEX($F$8:$F$188,K47+1)</f>
        <v>0.38131760266031</v>
      </c>
      <c r="M47" s="28" t="n">
        <f aca="false">Inputs!$B$53*12*INDEX($G$8:$G$188,K47+1)</f>
        <v>-1033606.52862968</v>
      </c>
      <c r="N47" s="28" t="n">
        <f aca="false">SUMPRODUCT(($A$8:$A$188&gt;=K47)*$I$8:$I$188)</f>
        <v>1802958.82899895</v>
      </c>
      <c r="O47" s="28" t="n">
        <f aca="false">Result!$B$39-N47</f>
        <v>15013732.2687574</v>
      </c>
    </row>
    <row r="48" customFormat="false" ht="15" hidden="false" customHeight="false" outlineLevel="0" collapsed="false">
      <c r="A48" s="39" t="n">
        <v>40</v>
      </c>
      <c r="B48" s="31" t="n">
        <f aca="false">IF(SUM(C48:E48)&lt;Inputs!$B$7,MIN(Inputs!$B$8+(Inputs!$B$9-Inputs!$B$8)*MAX(0,($G$4-SUM(C48:E48)/Inputs!$B$7)/$G$4),Inputs!$B$7-SUM(C48:E48)),0)</f>
        <v>2.89794621347964</v>
      </c>
      <c r="C48" s="31" t="n">
        <f aca="false">B47*(1-Inputs!$B$10)</f>
        <v>2.57242571183583</v>
      </c>
      <c r="D48" s="31" t="n">
        <f aca="false">C47*(1-Inputs!$B$11)</f>
        <v>2.43884830490747</v>
      </c>
      <c r="E48" s="31" t="n">
        <f aca="false">D47*(1-Inputs!$B$11)+E47*(1-Inputs!$B$12)</f>
        <v>52.1955254641804</v>
      </c>
      <c r="F48" s="37" t="n">
        <f aca="false">MIN(SUM(B48:E48),Inputs!$B$7)/Inputs!$B$7</f>
        <v>0.858639224205762</v>
      </c>
      <c r="G48" s="28" t="n">
        <f aca="false">(Result!$B$29+(F48*Inputs!$B$7-Residents!$B$189)*Occupancy!$B$11)/12</f>
        <v>117724.710934484</v>
      </c>
      <c r="H48" s="28" t="n">
        <f aca="false">MAX(0,-G48)</f>
        <v>0</v>
      </c>
      <c r="I48" s="28" t="n">
        <f aca="false">IF(G48&lt;$G$5*0.995,$G$5-G48,0)</f>
        <v>9674.46404851864</v>
      </c>
      <c r="K48" s="39" t="n">
        <v>12</v>
      </c>
      <c r="L48" s="37" t="n">
        <f aca="false">INDEX($F$8:$F$188,K48+1)</f>
        <v>0.572334511552574</v>
      </c>
      <c r="M48" s="28" t="n">
        <f aca="false">Inputs!$B$53*12*INDEX($G$8:$G$188,K48+1)</f>
        <v>5598765.33922716</v>
      </c>
      <c r="N48" s="28" t="n">
        <f aca="false">SUMPRODUCT(($A$8:$A$188&gt;=K48)*$I$8:$I$188)</f>
        <v>1128490.66683432</v>
      </c>
      <c r="O48" s="28" t="n">
        <f aca="false">Result!$B$39-N48</f>
        <v>15688200.4309221</v>
      </c>
    </row>
    <row r="49" customFormat="false" ht="15" hidden="false" customHeight="false" outlineLevel="0" collapsed="false">
      <c r="A49" s="39" t="n">
        <v>41</v>
      </c>
      <c r="B49" s="31" t="n">
        <f aca="false">IF(SUM(C49:E49)&lt;Inputs!$B$7,MIN(Inputs!$B$8+(Inputs!$B$9-Inputs!$B$8)*MAX(0,($G$4-SUM(C49:E49)/Inputs!$B$7)/$G$4),Inputs!$B$7-SUM(C49:E49)),0)</f>
        <v>2.88984807964577</v>
      </c>
      <c r="C49" s="31" t="n">
        <f aca="false">B48*(1-Inputs!$B$10)</f>
        <v>2.56468239892948</v>
      </c>
      <c r="D49" s="31" t="n">
        <f aca="false">C48*(1-Inputs!$B$11)</f>
        <v>2.43094229768486</v>
      </c>
      <c r="E49" s="31" t="n">
        <f aca="false">D48*(1-Inputs!$B$11)+E48*(1-Inputs!$B$12)</f>
        <v>52.4124160937507</v>
      </c>
      <c r="F49" s="37" t="n">
        <f aca="false">MIN(SUM(B49:E49),Inputs!$B$7)/Inputs!$B$7</f>
        <v>0.861398412428727</v>
      </c>
      <c r="G49" s="28" t="n">
        <f aca="false">(Result!$B$29+(F49*Inputs!$B$7-Residents!$B$189)*Occupancy!$B$11)/12</f>
        <v>118450.490024926</v>
      </c>
      <c r="H49" s="28" t="n">
        <f aca="false">MAX(0,-G49)</f>
        <v>0</v>
      </c>
      <c r="I49" s="28" t="n">
        <f aca="false">IF(G49&lt;$G$5*0.995,$G$5-G49,0)</f>
        <v>8948.68495807705</v>
      </c>
      <c r="K49" s="39" t="n">
        <v>24</v>
      </c>
      <c r="L49" s="37" t="n">
        <f aca="false">INDEX($F$8:$F$188,K49+1)</f>
        <v>0.767907048119979</v>
      </c>
      <c r="M49" s="28" t="n">
        <f aca="false">Inputs!$B$53*12*INDEX($G$8:$G$188,K49+1)</f>
        <v>12389314.9150589</v>
      </c>
      <c r="N49" s="28" t="n">
        <f aca="false">SUMPRODUCT(($A$8:$A$188&gt;=K49)*$I$8:$I$188)</f>
        <v>438373.255061455</v>
      </c>
      <c r="O49" s="28" t="n">
        <f aca="false">Result!$B$39-N49</f>
        <v>16378317.8426949</v>
      </c>
    </row>
    <row r="50" customFormat="false" ht="15" hidden="false" customHeight="false" outlineLevel="0" collapsed="false">
      <c r="A50" s="39" t="n">
        <v>42</v>
      </c>
      <c r="B50" s="31" t="n">
        <f aca="false">IF(SUM(C50:E50)&lt;Inputs!$B$7,MIN(Inputs!$B$8+(Inputs!$B$9-Inputs!$B$8)*MAX(0,($G$4-SUM(C50:E50)/Inputs!$B$7)/$G$4),Inputs!$B$7-SUM(C50:E50)),0)</f>
        <v>2.88235282553939</v>
      </c>
      <c r="C50" s="31" t="n">
        <f aca="false">B49*(1-Inputs!$B$10)</f>
        <v>2.55751555048651</v>
      </c>
      <c r="D50" s="31" t="n">
        <f aca="false">C49*(1-Inputs!$B$11)</f>
        <v>2.42362486698836</v>
      </c>
      <c r="E50" s="31" t="n">
        <f aca="false">D49*(1-Inputs!$B$11)+E49*(1-Inputs!$B$12)</f>
        <v>52.6131599213129</v>
      </c>
      <c r="F50" s="37" t="n">
        <f aca="false">MIN(SUM(B50:E50),Inputs!$B$7)/Inputs!$B$7</f>
        <v>0.863952188061817</v>
      </c>
      <c r="G50" s="28" t="n">
        <f aca="false">(Result!$B$29+(F50*Inputs!$B$7-Residents!$B$189)*Occupancy!$B$11)/12</f>
        <v>119122.237222435</v>
      </c>
      <c r="H50" s="28" t="n">
        <f aca="false">MAX(0,-G50)</f>
        <v>0</v>
      </c>
      <c r="I50" s="28" t="n">
        <f aca="false">IF(G50&lt;$G$5*0.995,$G$5-G50,0)</f>
        <v>8276.93776056814</v>
      </c>
      <c r="K50" s="39" t="n">
        <v>36</v>
      </c>
      <c r="L50" s="37" t="n">
        <f aca="false">INDEX($F$8:$F$188,K50+1)</f>
        <v>0.845197314204105</v>
      </c>
      <c r="M50" s="28" t="n">
        <f aca="false">Inputs!$B$53*12*INDEX($G$8:$G$188,K50+1)</f>
        <v>15072940.094674</v>
      </c>
      <c r="N50" s="28" t="n">
        <f aca="false">SUMPRODUCT(($A$8:$A$188&gt;=K50)*$I$8:$I$188)</f>
        <v>166179.587588995</v>
      </c>
      <c r="O50" s="28" t="n">
        <f aca="false">Result!$B$39-N50</f>
        <v>16650511.5101674</v>
      </c>
    </row>
    <row r="51" customFormat="false" ht="15" hidden="false" customHeight="false" outlineLevel="0" collapsed="false">
      <c r="A51" s="39" t="n">
        <v>43</v>
      </c>
      <c r="B51" s="31" t="n">
        <f aca="false">IF(SUM(C51:E51)&lt;Inputs!$B$7,MIN(Inputs!$B$8+(Inputs!$B$9-Inputs!$B$8)*MAX(0,($G$4-SUM(C51:E51)/Inputs!$B$7)/$G$4),Inputs!$B$7-SUM(C51:E51)),0)</f>
        <v>2.87541556872546</v>
      </c>
      <c r="C51" s="31" t="n">
        <f aca="false">B50*(1-Inputs!$B$10)</f>
        <v>2.55088225060236</v>
      </c>
      <c r="D51" s="31" t="n">
        <f aca="false">C50*(1-Inputs!$B$11)</f>
        <v>2.41685219520975</v>
      </c>
      <c r="E51" s="31" t="n">
        <f aca="false">D50*(1-Inputs!$B$11)+E50*(1-Inputs!$B$12)</f>
        <v>52.7989590237644</v>
      </c>
      <c r="F51" s="37" t="n">
        <f aca="false">MIN(SUM(B51:E51),Inputs!$B$7)/Inputs!$B$7</f>
        <v>0.866315843404314</v>
      </c>
      <c r="G51" s="28" t="n">
        <f aca="false">(Result!$B$29+(F51*Inputs!$B$7-Residents!$B$189)*Occupancy!$B$11)/12</f>
        <v>119743.97502572</v>
      </c>
      <c r="H51" s="28" t="n">
        <f aca="false">MAX(0,-G51)</f>
        <v>0</v>
      </c>
      <c r="I51" s="28" t="n">
        <f aca="false">IF(G51&lt;$G$5*0.995,$G$5-G51,0)</f>
        <v>7655.19995728352</v>
      </c>
    </row>
    <row r="52" customFormat="false" ht="15" hidden="false" customHeight="false" outlineLevel="0" collapsed="false">
      <c r="A52" s="39" t="n">
        <v>44</v>
      </c>
      <c r="B52" s="31" t="n">
        <f aca="false">IF(SUM(C52:E52)&lt;Inputs!$B$7,MIN(Inputs!$B$8+(Inputs!$B$9-Inputs!$B$8)*MAX(0,($G$4-SUM(C52:E52)/Inputs!$B$7)/$G$4),Inputs!$B$7-SUM(C52:E52)),0)</f>
        <v>2.86899476812025</v>
      </c>
      <c r="C52" s="31" t="n">
        <f aca="false">B51*(1-Inputs!$B$10)</f>
        <v>2.54474277832203</v>
      </c>
      <c r="D52" s="31" t="n">
        <f aca="false">C51*(1-Inputs!$B$11)</f>
        <v>2.41058372681923</v>
      </c>
      <c r="E52" s="31" t="n">
        <f aca="false">D51*(1-Inputs!$B$11)+E51*(1-Inputs!$B$12)</f>
        <v>52.970925987287</v>
      </c>
      <c r="F52" s="37" t="n">
        <f aca="false">MIN(SUM(B52:E52),Inputs!$B$7)/Inputs!$B$7</f>
        <v>0.868503532293551</v>
      </c>
      <c r="G52" s="28" t="n">
        <f aca="false">(Result!$B$29+(F52*Inputs!$B$7-Residents!$B$189)*Occupancy!$B$11)/12</f>
        <v>120319.426471541</v>
      </c>
      <c r="H52" s="28" t="n">
        <f aca="false">MAX(0,-G52)</f>
        <v>0</v>
      </c>
      <c r="I52" s="28" t="n">
        <f aca="false">IF(G52&lt;$G$5*0.995,$G$5-G52,0)</f>
        <v>7079.74851146172</v>
      </c>
    </row>
    <row r="53" customFormat="false" ht="15" hidden="false" customHeight="false" outlineLevel="0" collapsed="false">
      <c r="A53" s="39" t="n">
        <v>45</v>
      </c>
      <c r="B53" s="31" t="n">
        <f aca="false">IF(SUM(C53:E53)&lt;Inputs!$B$7,MIN(Inputs!$B$8+(Inputs!$B$9-Inputs!$B$8)*MAX(0,($G$4-SUM(C53:E53)/Inputs!$B$7)/$G$4),Inputs!$B$7-SUM(C53:E53)),0)</f>
        <v>2.86305197523861</v>
      </c>
      <c r="C53" s="31" t="n">
        <f aca="false">B52*(1-Inputs!$B$10)</f>
        <v>2.53906036978642</v>
      </c>
      <c r="D53" s="31" t="n">
        <f aca="false">C52*(1-Inputs!$B$11)</f>
        <v>2.40478192551432</v>
      </c>
      <c r="E53" s="31" t="n">
        <f aca="false">D52*(1-Inputs!$B$11)+E52*(1-Inputs!$B$12)</f>
        <v>53.1300905696397</v>
      </c>
      <c r="F53" s="37" t="n">
        <f aca="false">MIN(SUM(B53:E53),Inputs!$B$7)/Inputs!$B$7</f>
        <v>0.870528354859701</v>
      </c>
      <c r="G53" s="28" t="n">
        <f aca="false">(Result!$B$29+(F53*Inputs!$B$7-Residents!$B$189)*Occupancy!$B$11)/12</f>
        <v>120852.037428683</v>
      </c>
      <c r="H53" s="28" t="n">
        <f aca="false">MAX(0,-G53)</f>
        <v>0</v>
      </c>
      <c r="I53" s="28" t="n">
        <f aca="false">IF(G53&lt;$G$5*0.995,$G$5-G53,0)</f>
        <v>6547.13755432039</v>
      </c>
    </row>
    <row r="54" customFormat="false" ht="15" hidden="false" customHeight="false" outlineLevel="0" collapsed="false">
      <c r="A54" s="39" t="n">
        <v>46</v>
      </c>
      <c r="B54" s="31" t="n">
        <f aca="false">IF(SUM(C54:E54)&lt;Inputs!$B$7,MIN(Inputs!$B$8+(Inputs!$B$9-Inputs!$B$8)*MAX(0,($G$4-SUM(C54:E54)/Inputs!$B$7)/$G$4),Inputs!$B$7-SUM(C54:E54)),0)</f>
        <v>2.85755160396009</v>
      </c>
      <c r="C54" s="31" t="n">
        <f aca="false">B53*(1-Inputs!$B$10)</f>
        <v>2.53380099808617</v>
      </c>
      <c r="D54" s="31" t="n">
        <f aca="false">C53*(1-Inputs!$B$11)</f>
        <v>2.39941204944817</v>
      </c>
      <c r="E54" s="31" t="n">
        <f aca="false">D53*(1-Inputs!$B$11)+E53*(1-Inputs!$B$12)</f>
        <v>53.2774058664652</v>
      </c>
      <c r="F54" s="37" t="n">
        <f aca="false">MIN(SUM(B54:E54),Inputs!$B$7)/Inputs!$B$7</f>
        <v>0.872402435970851</v>
      </c>
      <c r="G54" s="28" t="n">
        <f aca="false">(Result!$B$29+(F54*Inputs!$B$7-Residents!$B$189)*Occupancy!$B$11)/12</f>
        <v>121344.997232202</v>
      </c>
      <c r="H54" s="28" t="n">
        <f aca="false">MAX(0,-G54)</f>
        <v>0</v>
      </c>
      <c r="I54" s="28" t="n">
        <f aca="false">IF(G54&lt;$G$5*0.995,$G$5-G54,0)</f>
        <v>6054.17775080141</v>
      </c>
    </row>
    <row r="55" customFormat="false" ht="15" hidden="false" customHeight="false" outlineLevel="0" collapsed="false">
      <c r="A55" s="39" t="n">
        <v>47</v>
      </c>
      <c r="B55" s="31" t="n">
        <f aca="false">IF(SUM(C55:E55)&lt;Inputs!$B$7,MIN(Inputs!$B$8+(Inputs!$B$9-Inputs!$B$8)*MAX(0,($G$4-SUM(C55:E55)/Inputs!$B$7)/$G$4),Inputs!$B$7-SUM(C55:E55)),0)</f>
        <v>2.85246071743517</v>
      </c>
      <c r="C55" s="31" t="n">
        <f aca="false">B54*(1-Inputs!$B$10)</f>
        <v>2.52893316950468</v>
      </c>
      <c r="D55" s="31" t="n">
        <f aca="false">C54*(1-Inputs!$B$11)</f>
        <v>2.39444194319143</v>
      </c>
      <c r="E55" s="31" t="n">
        <f aca="false">D54*(1-Inputs!$B$11)+E54*(1-Inputs!$B$12)</f>
        <v>53.4137540185351</v>
      </c>
      <c r="F55" s="37" t="n">
        <f aca="false">MIN(SUM(B55:E55),Inputs!$B$7)/Inputs!$B$7</f>
        <v>0.874136997838091</v>
      </c>
      <c r="G55" s="28" t="n">
        <f aca="false">(Result!$B$29+(F55*Inputs!$B$7-Residents!$B$189)*Occupancy!$B$11)/12</f>
        <v>121801.257781533</v>
      </c>
      <c r="H55" s="28" t="n">
        <f aca="false">MAX(0,-G55)</f>
        <v>0</v>
      </c>
      <c r="I55" s="28" t="n">
        <f aca="false">IF(G55&lt;$G$5*0.995,$G$5-G55,0)</f>
        <v>5597.91720146961</v>
      </c>
    </row>
    <row r="56" customFormat="false" ht="15" hidden="false" customHeight="false" outlineLevel="0" collapsed="false">
      <c r="A56" s="39" t="n">
        <v>48</v>
      </c>
      <c r="B56" s="31" t="n">
        <f aca="false">IF(SUM(C56:E56)&lt;Inputs!$B$7,MIN(Inputs!$B$8+(Inputs!$B$9-Inputs!$B$8)*MAX(0,($G$4-SUM(C56:E56)/Inputs!$B$7)/$G$4),Inputs!$B$7-SUM(C56:E56)),0)</f>
        <v>2.84774883085563</v>
      </c>
      <c r="C56" s="31" t="n">
        <f aca="false">B55*(1-Inputs!$B$10)</f>
        <v>2.52442773493012</v>
      </c>
      <c r="D56" s="31" t="n">
        <f aca="false">C55*(1-Inputs!$B$11)</f>
        <v>2.38984184518193</v>
      </c>
      <c r="E56" s="31" t="n">
        <f aca="false">D55*(1-Inputs!$B$11)+E55*(1-Inputs!$B$12)</f>
        <v>53.5399514941096</v>
      </c>
      <c r="F56" s="37" t="n">
        <f aca="false">MIN(SUM(B56:E56),Inputs!$B$7)/Inputs!$B$7</f>
        <v>0.875742427215389</v>
      </c>
      <c r="G56" s="28" t="n">
        <f aca="false">(Result!$B$29+(F56*Inputs!$B$7-Residents!$B$189)*Occupancy!$B$11)/12</f>
        <v>122223.5512168</v>
      </c>
      <c r="H56" s="28" t="n">
        <f aca="false">MAX(0,-G56)</f>
        <v>0</v>
      </c>
      <c r="I56" s="28" t="n">
        <f aca="false">IF(G56&lt;$G$5*0.995,$G$5-G56,0)</f>
        <v>5175.62376620265</v>
      </c>
    </row>
    <row r="57" customFormat="false" ht="15" hidden="false" customHeight="false" outlineLevel="0" collapsed="false">
      <c r="A57" s="39" t="n">
        <v>49</v>
      </c>
      <c r="B57" s="31" t="n">
        <f aca="false">IF(SUM(C57:E57)&lt;Inputs!$B$7,MIN(Inputs!$B$8+(Inputs!$B$9-Inputs!$B$8)*MAX(0,($G$4-SUM(C57:E57)/Inputs!$B$7)/$G$4),Inputs!$B$7-SUM(C57:E57)),0)</f>
        <v>2.84338772890813</v>
      </c>
      <c r="C57" s="31" t="n">
        <f aca="false">B56*(1-Inputs!$B$10)</f>
        <v>2.52025771530724</v>
      </c>
      <c r="D57" s="31" t="n">
        <f aca="false">C56*(1-Inputs!$B$11)</f>
        <v>2.38558420950896</v>
      </c>
      <c r="E57" s="31" t="n">
        <f aca="false">D56*(1-Inputs!$B$11)+E56*(1-Inputs!$B$12)</f>
        <v>53.6567539780421</v>
      </c>
      <c r="F57" s="37" t="n">
        <f aca="false">MIN(SUM(B57:E57),Inputs!$B$7)/Inputs!$B$7</f>
        <v>0.877228337596663</v>
      </c>
      <c r="G57" s="28" t="n">
        <f aca="false">(Result!$B$29+(F57*Inputs!$B$7-Residents!$B$189)*Occupancy!$B$11)/12</f>
        <v>122614.406279178</v>
      </c>
      <c r="H57" s="28" t="n">
        <f aca="false">MAX(0,-G57)</f>
        <v>0</v>
      </c>
      <c r="I57" s="28" t="n">
        <f aca="false">IF(G57&lt;$G$5*0.995,$G$5-G57,0)</f>
        <v>4784.76870382487</v>
      </c>
    </row>
    <row r="58" customFormat="false" ht="15" hidden="false" customHeight="false" outlineLevel="0" collapsed="false">
      <c r="A58" s="39" t="n">
        <v>50</v>
      </c>
      <c r="B58" s="31" t="n">
        <f aca="false">IF(SUM(C58:E58)&lt;Inputs!$B$7,MIN(Inputs!$B$8+(Inputs!$B$9-Inputs!$B$8)*MAX(0,($G$4-SUM(C58:E58)/Inputs!$B$7)/$G$4),Inputs!$B$7-SUM(C58:E58)),0)</f>
        <v>2.83935129681761</v>
      </c>
      <c r="C58" s="31" t="n">
        <f aca="false">B57*(1-Inputs!$B$10)</f>
        <v>2.5163981400837</v>
      </c>
      <c r="D58" s="31" t="n">
        <f aca="false">C57*(1-Inputs!$B$11)</f>
        <v>2.38164354096534</v>
      </c>
      <c r="E58" s="31" t="n">
        <f aca="false">D57*(1-Inputs!$B$11)+E57*(1-Inputs!$B$12)</f>
        <v>53.7648608969064</v>
      </c>
      <c r="F58" s="37" t="n">
        <f aca="false">MIN(SUM(B58:E58),Inputs!$B$7)/Inputs!$B$7</f>
        <v>0.878603626782472</v>
      </c>
      <c r="G58" s="28" t="n">
        <f aca="false">(Result!$B$29+(F58*Inputs!$B$7-Residents!$B$189)*Occupancy!$B$11)/12</f>
        <v>122976.163453286</v>
      </c>
      <c r="H58" s="28" t="n">
        <f aca="false">MAX(0,-G58)</f>
        <v>0</v>
      </c>
      <c r="I58" s="28" t="n">
        <f aca="false">IF(G58&lt;$G$5*0.995,$G$5-G58,0)</f>
        <v>4423.01152971738</v>
      </c>
    </row>
    <row r="59" customFormat="false" ht="15" hidden="false" customHeight="false" outlineLevel="0" collapsed="false">
      <c r="A59" s="39" t="n">
        <v>51</v>
      </c>
      <c r="B59" s="31" t="n">
        <f aca="false">IF(SUM(C59:E59)&lt;Inputs!$B$7,MIN(Inputs!$B$8+(Inputs!$B$9-Inputs!$B$8)*MAX(0,($G$4-SUM(C59:E59)/Inputs!$B$7)/$G$4),Inputs!$B$7-SUM(C59:E59)),0)</f>
        <v>2.83561536396911</v>
      </c>
      <c r="C59" s="31" t="n">
        <f aca="false">B58*(1-Inputs!$B$10)</f>
        <v>2.51282589768359</v>
      </c>
      <c r="D59" s="31" t="n">
        <f aca="false">C58*(1-Inputs!$B$11)</f>
        <v>2.37799624237909</v>
      </c>
      <c r="E59" s="31" t="n">
        <f aca="false">D58*(1-Inputs!$B$11)+E58*(1-Inputs!$B$12)</f>
        <v>53.8649196072424</v>
      </c>
      <c r="F59" s="37" t="n">
        <f aca="false">MIN(SUM(B59:E59),Inputs!$B$7)/Inputs!$B$7</f>
        <v>0.87987653016106</v>
      </c>
      <c r="G59" s="28" t="n">
        <f aca="false">(Result!$B$29+(F59*Inputs!$B$7-Residents!$B$189)*Occupancy!$B$11)/12</f>
        <v>123310.988982274</v>
      </c>
      <c r="H59" s="28" t="n">
        <f aca="false">MAX(0,-G59)</f>
        <v>0</v>
      </c>
      <c r="I59" s="28" t="n">
        <f aca="false">IF(G59&lt;$G$5*0.995,$G$5-G59,0)</f>
        <v>4088.1860007295</v>
      </c>
    </row>
    <row r="60" customFormat="false" ht="15" hidden="false" customHeight="false" outlineLevel="0" collapsed="false">
      <c r="A60" s="39" t="n">
        <v>52</v>
      </c>
      <c r="B60" s="31" t="n">
        <f aca="false">IF(SUM(C60:E60)&lt;Inputs!$B$7,MIN(Inputs!$B$8+(Inputs!$B$9-Inputs!$B$8)*MAX(0,($G$4-SUM(C60:E60)/Inputs!$B$7)/$G$4),Inputs!$B$7-SUM(C60:E60)),0)</f>
        <v>2.83215755917131</v>
      </c>
      <c r="C60" s="31" t="n">
        <f aca="false">B59*(1-Inputs!$B$10)</f>
        <v>2.50951959711266</v>
      </c>
      <c r="D60" s="31" t="n">
        <f aca="false">C59*(1-Inputs!$B$11)</f>
        <v>2.37462047331099</v>
      </c>
      <c r="E60" s="31" t="n">
        <f aca="false">D59*(1-Inputs!$B$11)+E59*(1-Inputs!$B$12)</f>
        <v>53.9575292720009</v>
      </c>
      <c r="F60" s="37" t="n">
        <f aca="false">MIN(SUM(B60:E60),Inputs!$B$7)/Inputs!$B$7</f>
        <v>0.881054670022798</v>
      </c>
      <c r="G60" s="28" t="n">
        <f aca="false">(Result!$B$29+(F60*Inputs!$B$7-Residents!$B$189)*Occupancy!$B$11)/12</f>
        <v>123620.887839535</v>
      </c>
      <c r="H60" s="28" t="n">
        <f aca="false">MAX(0,-G60)</f>
        <v>0</v>
      </c>
      <c r="I60" s="28" t="n">
        <f aca="false">IF(G60&lt;$G$5*0.995,$G$5-G60,0)</f>
        <v>3778.28714346811</v>
      </c>
    </row>
    <row r="61" customFormat="false" ht="15" hidden="false" customHeight="false" outlineLevel="0" collapsed="false">
      <c r="A61" s="39" t="n">
        <v>53</v>
      </c>
      <c r="B61" s="31" t="n">
        <f aca="false">IF(SUM(C61:E61)&lt;Inputs!$B$7,MIN(Inputs!$B$8+(Inputs!$B$9-Inputs!$B$8)*MAX(0,($G$4-SUM(C61:E61)/Inputs!$B$7)/$G$4),Inputs!$B$7-SUM(C61:E61)),0)</f>
        <v>2.82895717669538</v>
      </c>
      <c r="C61" s="31" t="n">
        <f aca="false">B60*(1-Inputs!$B$10)</f>
        <v>2.50645943986661</v>
      </c>
      <c r="D61" s="31" t="n">
        <f aca="false">C60*(1-Inputs!$B$11)</f>
        <v>2.37149601927146</v>
      </c>
      <c r="E61" s="31" t="n">
        <f aca="false">D60*(1-Inputs!$B$11)+E60*(1-Inputs!$B$12)</f>
        <v>54.0432444483998</v>
      </c>
      <c r="F61" s="37" t="n">
        <f aca="false">MIN(SUM(B61:E61),Inputs!$B$7)/Inputs!$B$7</f>
        <v>0.882145101203332</v>
      </c>
      <c r="G61" s="28" t="n">
        <f aca="false">(Result!$B$29+(F61*Inputs!$B$7-Residents!$B$189)*Occupancy!$B$11)/12</f>
        <v>123907.715734714</v>
      </c>
      <c r="H61" s="28" t="n">
        <f aca="false">MAX(0,-G61)</f>
        <v>0</v>
      </c>
      <c r="I61" s="28" t="n">
        <f aca="false">IF(G61&lt;$G$5*0.995,$G$5-G61,0)</f>
        <v>3491.45924828871</v>
      </c>
    </row>
    <row r="62" customFormat="false" ht="15" hidden="false" customHeight="false" outlineLevel="0" collapsed="false">
      <c r="A62" s="39" t="n">
        <v>54</v>
      </c>
      <c r="B62" s="31" t="n">
        <f aca="false">IF(SUM(C62:E62)&lt;Inputs!$B$7,MIN(Inputs!$B$8+(Inputs!$B$9-Inputs!$B$8)*MAX(0,($G$4-SUM(C62:E62)/Inputs!$B$7)/$G$4),Inputs!$B$7-SUM(C62:E62)),0)</f>
        <v>2.82599505228662</v>
      </c>
      <c r="C62" s="31" t="n">
        <f aca="false">B61*(1-Inputs!$B$10)</f>
        <v>2.50362710137541</v>
      </c>
      <c r="D62" s="31" t="n">
        <f aca="false">C61*(1-Inputs!$B$11)</f>
        <v>2.36860417067395</v>
      </c>
      <c r="E62" s="31" t="n">
        <f aca="false">D61*(1-Inputs!$B$11)+E61*(1-Inputs!$B$12)</f>
        <v>54.1225784086753</v>
      </c>
      <c r="F62" s="37" t="n">
        <f aca="false">MIN(SUM(B62:E62),Inputs!$B$7)/Inputs!$B$7</f>
        <v>0.883154353328733</v>
      </c>
      <c r="G62" s="28" t="n">
        <f aca="false">(Result!$B$29+(F62*Inputs!$B$7-Residents!$B$189)*Occupancy!$B$11)/12</f>
        <v>124173.190225908</v>
      </c>
      <c r="H62" s="28" t="n">
        <f aca="false">MAX(0,-G62)</f>
        <v>0</v>
      </c>
      <c r="I62" s="28" t="n">
        <f aca="false">IF(G62&lt;$G$5*0.995,$G$5-G62,0)</f>
        <v>3225.98475709485</v>
      </c>
    </row>
    <row r="63" customFormat="false" ht="15" hidden="false" customHeight="false" outlineLevel="0" collapsed="false">
      <c r="A63" s="39" t="n">
        <v>55</v>
      </c>
      <c r="B63" s="31" t="n">
        <f aca="false">IF(SUM(C63:E63)&lt;Inputs!$B$7,MIN(Inputs!$B$8+(Inputs!$B$9-Inputs!$B$8)*MAX(0,($G$4-SUM(C63:E63)/Inputs!$B$7)/$G$4),Inputs!$B$7-SUM(C63:E63)),0)</f>
        <v>2.82325344840678</v>
      </c>
      <c r="C63" s="31" t="n">
        <f aca="false">B62*(1-Inputs!$B$10)</f>
        <v>2.50100562127366</v>
      </c>
      <c r="D63" s="31" t="n">
        <f aca="false">C62*(1-Inputs!$B$11)</f>
        <v>2.36592761079976</v>
      </c>
      <c r="E63" s="31" t="n">
        <f aca="false">D62*(1-Inputs!$B$11)+E62*(1-Inputs!$B$12)</f>
        <v>54.1960062136152</v>
      </c>
      <c r="F63" s="37" t="n">
        <f aca="false">MIN(SUM(B63:E63),Inputs!$B$7)/Inputs!$B$7</f>
        <v>0.884088469915648</v>
      </c>
      <c r="G63" s="28" t="n">
        <f aca="false">(Result!$B$29+(F63*Inputs!$B$7-Residents!$B$189)*Occupancy!$B$11)/12</f>
        <v>124418.901004599</v>
      </c>
      <c r="H63" s="28" t="n">
        <f aca="false">MAX(0,-G63)</f>
        <v>0</v>
      </c>
      <c r="I63" s="28" t="n">
        <f aca="false">IF(G63&lt;$G$5*0.995,$G$5-G63,0)</f>
        <v>2980.27397840447</v>
      </c>
    </row>
    <row r="64" customFormat="false" ht="15" hidden="false" customHeight="false" outlineLevel="0" collapsed="false">
      <c r="A64" s="39" t="n">
        <v>56</v>
      </c>
      <c r="B64" s="31" t="n">
        <f aca="false">IF(SUM(C64:E64)&lt;Inputs!$B$7,MIN(Inputs!$B$8+(Inputs!$B$9-Inputs!$B$8)*MAX(0,($G$4-SUM(C64:E64)/Inputs!$B$7)/$G$4),Inputs!$B$7-SUM(C64:E64)),0)</f>
        <v>2.82071594801966</v>
      </c>
      <c r="C64" s="31" t="n">
        <f aca="false">B63*(1-Inputs!$B$10)</f>
        <v>2.49857930184</v>
      </c>
      <c r="D64" s="31" t="n">
        <f aca="false">C63*(1-Inputs!$B$11)</f>
        <v>2.3634503121036</v>
      </c>
      <c r="E64" s="31" t="n">
        <f aca="false">D63*(1-Inputs!$B$11)+E63*(1-Inputs!$B$12)</f>
        <v>54.2639675572763</v>
      </c>
      <c r="F64" s="37" t="n">
        <f aca="false">MIN(SUM(B64:E64),Inputs!$B$7)/Inputs!$B$7</f>
        <v>0.884953044560566</v>
      </c>
      <c r="G64" s="28" t="n">
        <f aca="false">(Result!$B$29+(F64*Inputs!$B$7-Residents!$B$189)*Occupancy!$B$11)/12</f>
        <v>124646.319414907</v>
      </c>
      <c r="H64" s="28" t="n">
        <f aca="false">MAX(0,-G64)</f>
        <v>0</v>
      </c>
      <c r="I64" s="28" t="n">
        <f aca="false">IF(G64&lt;$G$5*0.995,$G$5-G64,0)</f>
        <v>2752.85556809646</v>
      </c>
    </row>
    <row r="65" customFormat="false" ht="15" hidden="false" customHeight="false" outlineLevel="0" collapsed="false">
      <c r="A65" s="39" t="n">
        <v>57</v>
      </c>
      <c r="B65" s="31" t="n">
        <f aca="false">IF(SUM(C65:E65)&lt;Inputs!$B$7,MIN(Inputs!$B$8+(Inputs!$B$9-Inputs!$B$8)*MAX(0,($G$4-SUM(C65:E65)/Inputs!$B$7)/$G$4),Inputs!$B$7-SUM(C65:E65)),0)</f>
        <v>2.818367356284</v>
      </c>
      <c r="C65" s="31" t="n">
        <f aca="false">B64*(1-Inputs!$B$10)</f>
        <v>2.4963336139974</v>
      </c>
      <c r="D65" s="31" t="n">
        <f aca="false">C64*(1-Inputs!$B$11)</f>
        <v>2.3611574402388</v>
      </c>
      <c r="E65" s="31" t="n">
        <f aca="false">D64*(1-Inputs!$B$11)+E64*(1-Inputs!$B$12)</f>
        <v>54.3268693999232</v>
      </c>
      <c r="F65" s="37" t="n">
        <f aca="false">MIN(SUM(B65:E65),Inputs!$B$7)/Inputs!$B$7</f>
        <v>0.885753254434906</v>
      </c>
      <c r="G65" s="28" t="n">
        <f aca="false">(Result!$B$29+(F65*Inputs!$B$7-Residents!$B$189)*Occupancy!$B$11)/12</f>
        <v>124856.807264168</v>
      </c>
      <c r="H65" s="28" t="n">
        <f aca="false">MAX(0,-G65)</f>
        <v>0</v>
      </c>
      <c r="I65" s="28" t="n">
        <f aca="false">IF(G65&lt;$G$5*0.995,$G$5-G65,0)</f>
        <v>2542.36771883455</v>
      </c>
    </row>
    <row r="66" customFormat="false" ht="15" hidden="false" customHeight="false" outlineLevel="0" collapsed="false">
      <c r="A66" s="39" t="n">
        <v>58</v>
      </c>
      <c r="B66" s="31" t="n">
        <f aca="false">IF(SUM(C66:E66)&lt;Inputs!$B$7,MIN(Inputs!$B$8+(Inputs!$B$9-Inputs!$B$8)*MAX(0,($G$4-SUM(C66:E66)/Inputs!$B$7)/$G$4),Inputs!$B$7-SUM(C66:E66)),0)</f>
        <v>2.81619360956506</v>
      </c>
      <c r="C66" s="31" t="n">
        <f aca="false">B65*(1-Inputs!$B$10)</f>
        <v>2.49425511031134</v>
      </c>
      <c r="D66" s="31" t="n">
        <f aca="false">C65*(1-Inputs!$B$11)</f>
        <v>2.35903526522754</v>
      </c>
      <c r="E66" s="31" t="n">
        <f aca="false">D65*(1-Inputs!$B$11)+E65*(1-Inputs!$B$12)</f>
        <v>54.3850884049519</v>
      </c>
      <c r="F66" s="37" t="n">
        <f aca="false">MIN(SUM(B66:E66),Inputs!$B$7)/Inputs!$B$7</f>
        <v>0.886493891286512</v>
      </c>
      <c r="G66" s="28" t="n">
        <f aca="false">(Result!$B$29+(F66*Inputs!$B$7-Residents!$B$189)*Occupancy!$B$11)/12</f>
        <v>125051.624977593</v>
      </c>
      <c r="H66" s="28" t="n">
        <f aca="false">MAX(0,-G66)</f>
        <v>0</v>
      </c>
      <c r="I66" s="28" t="n">
        <f aca="false">IF(G66&lt;$G$5*0.995,$G$5-G66,0)</f>
        <v>2347.55000540969</v>
      </c>
    </row>
    <row r="67" customFormat="false" ht="15" hidden="false" customHeight="false" outlineLevel="0" collapsed="false">
      <c r="A67" s="39" t="n">
        <v>59</v>
      </c>
      <c r="B67" s="31" t="n">
        <f aca="false">IF(SUM(C67:E67)&lt;Inputs!$B$7,MIN(Inputs!$B$8+(Inputs!$B$9-Inputs!$B$8)*MAX(0,($G$4-SUM(C67:E67)/Inputs!$B$7)/$G$4),Inputs!$B$7-SUM(C67:E67)),0)</f>
        <v>2.81418169121997</v>
      </c>
      <c r="C67" s="31" t="n">
        <f aca="false">B66*(1-Inputs!$B$10)</f>
        <v>2.49233134446508</v>
      </c>
      <c r="D67" s="31" t="n">
        <f aca="false">C66*(1-Inputs!$B$11)</f>
        <v>2.35707107924421</v>
      </c>
      <c r="E67" s="31" t="n">
        <f aca="false">D66*(1-Inputs!$B$11)+E66*(1-Inputs!$B$12)</f>
        <v>54.4389731943939</v>
      </c>
      <c r="F67" s="37" t="n">
        <f aca="false">MIN(SUM(B67:E67),Inputs!$B$7)/Inputs!$B$7</f>
        <v>0.887179390133188</v>
      </c>
      <c r="G67" s="28" t="n">
        <f aca="false">(Result!$B$29+(F67*Inputs!$B$7-Residents!$B$189)*Occupancy!$B$11)/12</f>
        <v>125231.939145832</v>
      </c>
      <c r="H67" s="28" t="n">
        <f aca="false">MAX(0,-G67)</f>
        <v>0</v>
      </c>
      <c r="I67" s="28" t="n">
        <f aca="false">IF(G67&lt;$G$5*0.995,$G$5-G67,0)</f>
        <v>2167.23583717069</v>
      </c>
    </row>
    <row r="68" customFormat="false" ht="15" hidden="false" customHeight="false" outlineLevel="0" collapsed="false">
      <c r="A68" s="39" t="n">
        <v>60</v>
      </c>
      <c r="B68" s="31" t="n">
        <f aca="false">IF(SUM(C68:E68)&lt;Inputs!$B$7,MIN(Inputs!$B$8+(Inputs!$B$9-Inputs!$B$8)*MAX(0,($G$4-SUM(C68:E68)/Inputs!$B$7)/$G$4),Inputs!$B$7-SUM(C68:E68)),0)</f>
        <v>2.81231955365259</v>
      </c>
      <c r="C68" s="31" t="n">
        <f aca="false">B67*(1-Inputs!$B$10)</f>
        <v>2.49055079672967</v>
      </c>
      <c r="D68" s="31" t="n">
        <f aca="false">C67*(1-Inputs!$B$11)</f>
        <v>2.3552531205195</v>
      </c>
      <c r="E68" s="31" t="n">
        <f aca="false">D67*(1-Inputs!$B$11)+E67*(1-Inputs!$B$12)</f>
        <v>54.4888464365039</v>
      </c>
      <c r="F68" s="37" t="n">
        <f aca="false">MIN(SUM(B68:E68),Inputs!$B$7)/Inputs!$B$7</f>
        <v>0.887813855820081</v>
      </c>
      <c r="G68" s="28" t="n">
        <f aca="false">(Result!$B$29+(F68*Inputs!$B$7-Residents!$B$189)*Occupancy!$B$11)/12</f>
        <v>125398.829510657</v>
      </c>
      <c r="H68" s="28" t="n">
        <f aca="false">MAX(0,-G68)</f>
        <v>0</v>
      </c>
      <c r="I68" s="28" t="n">
        <f aca="false">IF(G68&lt;$G$5*0.995,$G$5-G68,0)</f>
        <v>2000.34547234631</v>
      </c>
    </row>
    <row r="69" customFormat="false" ht="15" hidden="false" customHeight="false" outlineLevel="0" collapsed="false">
      <c r="A69" s="39" t="n">
        <v>61</v>
      </c>
      <c r="B69" s="31" t="n">
        <f aca="false">IF(SUM(C69:E69)&lt;Inputs!$B$7,MIN(Inputs!$B$8+(Inputs!$B$9-Inputs!$B$8)*MAX(0,($G$4-SUM(C69:E69)/Inputs!$B$7)/$G$4),Inputs!$B$7-SUM(C69:E69)),0)</f>
        <v>2.81059604617112</v>
      </c>
      <c r="C69" s="31" t="n">
        <f aca="false">B68*(1-Inputs!$B$10)</f>
        <v>2.48890280498254</v>
      </c>
      <c r="D69" s="31" t="n">
        <f aca="false">C68*(1-Inputs!$B$11)</f>
        <v>2.35357050290954</v>
      </c>
      <c r="E69" s="31" t="n">
        <f aca="false">D68*(1-Inputs!$B$11)+E68*(1-Inputs!$B$12)</f>
        <v>54.5350067779347</v>
      </c>
      <c r="F69" s="37" t="n">
        <f aca="false">MIN(SUM(B69:E69),Inputs!$B$7)/Inputs!$B$7</f>
        <v>0.88840108759997</v>
      </c>
      <c r="G69" s="28" t="n">
        <f aca="false">(Result!$B$29+(F69*Inputs!$B$7-Residents!$B$189)*Occupancy!$B$11)/12</f>
        <v>125553.295430574</v>
      </c>
      <c r="H69" s="28" t="n">
        <f aca="false">MAX(0,-G69)</f>
        <v>0</v>
      </c>
      <c r="I69" s="28" t="n">
        <f aca="false">IF(G69&lt;$G$5*0.995,$G$5-G69,0)</f>
        <v>1845.87955242868</v>
      </c>
    </row>
    <row r="70" customFormat="false" ht="15" hidden="false" customHeight="false" outlineLevel="0" collapsed="false">
      <c r="A70" s="39" t="n">
        <v>62</v>
      </c>
      <c r="B70" s="31" t="n">
        <f aca="false">IF(SUM(C70:E70)&lt;Inputs!$B$7,MIN(Inputs!$B$8+(Inputs!$B$9-Inputs!$B$8)*MAX(0,($G$4-SUM(C70:E70)/Inputs!$B$7)/$G$4),Inputs!$B$7-SUM(C70:E70)),0)</f>
        <v>2.80900084821653</v>
      </c>
      <c r="C70" s="31" t="n">
        <f aca="false">B69*(1-Inputs!$B$10)</f>
        <v>2.48737750086144</v>
      </c>
      <c r="D70" s="31" t="n">
        <f aca="false">C69*(1-Inputs!$B$11)</f>
        <v>2.3520131507085</v>
      </c>
      <c r="E70" s="31" t="n">
        <f aca="false">D69*(1-Inputs!$B$11)+E69*(1-Inputs!$B$12)</f>
        <v>54.5777306320668</v>
      </c>
      <c r="F70" s="37" t="n">
        <f aca="false">MIN(SUM(B70:E70),Inputs!$B$7)/Inputs!$B$7</f>
        <v>0.888944601883618</v>
      </c>
      <c r="G70" s="28" t="n">
        <f aca="false">(Result!$B$29+(F70*Inputs!$B$7-Residents!$B$189)*Occupancy!$B$11)/12</f>
        <v>125696.261865102</v>
      </c>
      <c r="H70" s="28" t="n">
        <f aca="false">MAX(0,-G70)</f>
        <v>0</v>
      </c>
      <c r="I70" s="28" t="n">
        <f aca="false">IF(G70&lt;$G$5*0.995,$G$5-G70,0)</f>
        <v>1702.91311790084</v>
      </c>
    </row>
    <row r="71" customFormat="false" ht="15" hidden="false" customHeight="false" outlineLevel="0" collapsed="false">
      <c r="A71" s="39" t="n">
        <v>63</v>
      </c>
      <c r="B71" s="31" t="n">
        <f aca="false">IF(SUM(C71:E71)&lt;Inputs!$B$7,MIN(Inputs!$B$8+(Inputs!$B$9-Inputs!$B$8)*MAX(0,($G$4-SUM(C71:E71)/Inputs!$B$7)/$G$4),Inputs!$B$7-SUM(C71:E71)),0)</f>
        <v>2.80752440756182</v>
      </c>
      <c r="C71" s="31" t="n">
        <f aca="false">B70*(1-Inputs!$B$10)</f>
        <v>2.48596575067163</v>
      </c>
      <c r="D71" s="31" t="n">
        <f aca="false">C70*(1-Inputs!$B$11)</f>
        <v>2.35057173831406</v>
      </c>
      <c r="E71" s="31" t="n">
        <f aca="false">D70*(1-Inputs!$B$11)+E70*(1-Inputs!$B$12)</f>
        <v>54.6172738342037</v>
      </c>
      <c r="F71" s="37" t="n">
        <f aca="false">MIN(SUM(B71:E71),Inputs!$B$7)/Inputs!$B$7</f>
        <v>0.889447653296445</v>
      </c>
      <c r="G71" s="28" t="n">
        <f aca="false">(Result!$B$29+(F71*Inputs!$B$7-Residents!$B$189)*Occupancy!$B$11)/12</f>
        <v>125828.584913529</v>
      </c>
      <c r="H71" s="28" t="n">
        <f aca="false">MAX(0,-G71)</f>
        <v>0</v>
      </c>
      <c r="I71" s="28" t="n">
        <f aca="false">IF(G71&lt;$G$5*0.995,$G$5-G71,0)</f>
        <v>1570.59006947368</v>
      </c>
    </row>
    <row r="72" customFormat="false" ht="15" hidden="false" customHeight="false" outlineLevel="0" collapsed="false">
      <c r="A72" s="39" t="n">
        <v>64</v>
      </c>
      <c r="B72" s="31" t="n">
        <f aca="false">IF(SUM(C72:E72)&lt;Inputs!$B$7,MIN(Inputs!$B$8+(Inputs!$B$9-Inputs!$B$8)*MAX(0,($G$4-SUM(C72:E72)/Inputs!$B$7)/$G$4),Inputs!$B$7-SUM(C72:E72)),0)</f>
        <v>2.80615788311223</v>
      </c>
      <c r="C72" s="31" t="n">
        <f aca="false">B71*(1-Inputs!$B$10)</f>
        <v>2.48465910069221</v>
      </c>
      <c r="D72" s="31" t="n">
        <f aca="false">C71*(1-Inputs!$B$11)</f>
        <v>2.34923763438469</v>
      </c>
      <c r="E72" s="31" t="n">
        <f aca="false">D71*(1-Inputs!$B$11)+E71*(1-Inputs!$B$12)</f>
        <v>54.6538731735423</v>
      </c>
      <c r="F72" s="37" t="n">
        <f aca="false">MIN(SUM(B72:E72),Inputs!$B$7)/Inputs!$B$7</f>
        <v>0.889913254167592</v>
      </c>
      <c r="G72" s="28" t="n">
        <f aca="false">(Result!$B$29+(F72*Inputs!$B$7-Residents!$B$189)*Occupancy!$B$11)/12</f>
        <v>125951.056941337</v>
      </c>
      <c r="H72" s="28" t="n">
        <f aca="false">MAX(0,-G72)</f>
        <v>0</v>
      </c>
      <c r="I72" s="28" t="n">
        <f aca="false">IF(G72&lt;$G$5*0.995,$G$5-G72,0)</f>
        <v>1448.11804166601</v>
      </c>
    </row>
    <row r="73" customFormat="false" ht="15" hidden="false" customHeight="false" outlineLevel="0" collapsed="false">
      <c r="A73" s="39" t="n">
        <v>65</v>
      </c>
      <c r="B73" s="31" t="n">
        <f aca="false">IF(SUM(C73:E73)&lt;Inputs!$B$7,MIN(Inputs!$B$8+(Inputs!$B$9-Inputs!$B$8)*MAX(0,($G$4-SUM(C73:E73)/Inputs!$B$7)/$G$4),Inputs!$B$7-SUM(C73:E73)),0)</f>
        <v>2.80489309196375</v>
      </c>
      <c r="C73" s="31" t="n">
        <f aca="false">B72*(1-Inputs!$B$10)</f>
        <v>2.48344972655432</v>
      </c>
      <c r="D73" s="31" t="n">
        <f aca="false">C72*(1-Inputs!$B$11)</f>
        <v>2.34800285015414</v>
      </c>
      <c r="E73" s="31" t="n">
        <f aca="false">D72*(1-Inputs!$B$11)+E72*(1-Inputs!$B$12)</f>
        <v>54.6877478110941</v>
      </c>
      <c r="F73" s="37" t="n">
        <f aca="false">MIN(SUM(B73:E73),Inputs!$B$7)/Inputs!$B$7</f>
        <v>0.890344192568091</v>
      </c>
      <c r="G73" s="28" t="n">
        <f aca="false">(Result!$B$29+(F73*Inputs!$B$7-Residents!$B$189)*Occupancy!$B$11)/12</f>
        <v>126064.411324973</v>
      </c>
      <c r="H73" s="28" t="n">
        <f aca="false">MAX(0,-G73)</f>
        <v>0</v>
      </c>
      <c r="I73" s="28" t="n">
        <f aca="false">IF(G73&lt;$G$5*0.995,$G$5-G73,0)</f>
        <v>1334.7636580298</v>
      </c>
    </row>
    <row r="74" customFormat="false" ht="15" hidden="false" customHeight="false" outlineLevel="0" collapsed="false">
      <c r="A74" s="39" t="n">
        <v>66</v>
      </c>
      <c r="B74" s="31" t="n">
        <f aca="false">IF(SUM(C74:E74)&lt;Inputs!$B$7,MIN(Inputs!$B$8+(Inputs!$B$9-Inputs!$B$8)*MAX(0,($G$4-SUM(C74:E74)/Inputs!$B$7)/$G$4),Inputs!$B$7-SUM(C74:E74)),0)</f>
        <v>2.80372246040297</v>
      </c>
      <c r="C74" s="31" t="n">
        <f aca="false">B73*(1-Inputs!$B$10)</f>
        <v>2.48233038638792</v>
      </c>
      <c r="D74" s="31" t="n">
        <f aca="false">C73*(1-Inputs!$B$11)</f>
        <v>2.34685999159383</v>
      </c>
      <c r="E74" s="31" t="n">
        <f aca="false">D73*(1-Inputs!$B$11)+E73*(1-Inputs!$B$12)</f>
        <v>54.719100592046</v>
      </c>
      <c r="F74" s="37" t="n">
        <f aca="false">MIN(SUM(B74:E74),Inputs!$B$7)/Inputs!$B$7</f>
        <v>0.890743049006154</v>
      </c>
      <c r="G74" s="28" t="n">
        <f aca="false">(Result!$B$29+(F74*Inputs!$B$7-Residents!$B$189)*Occupancy!$B$11)/12</f>
        <v>126169.326843394</v>
      </c>
      <c r="H74" s="28" t="n">
        <f aca="false">MAX(0,-G74)</f>
        <v>0</v>
      </c>
      <c r="I74" s="28" t="n">
        <f aca="false">IF(G74&lt;$G$5*0.995,$G$5-G74,0)</f>
        <v>1229.8481396086</v>
      </c>
    </row>
    <row r="75" customFormat="false" ht="15" hidden="false" customHeight="false" outlineLevel="0" collapsed="false">
      <c r="A75" s="39" t="n">
        <v>67</v>
      </c>
      <c r="B75" s="31" t="n">
        <f aca="false">IF(SUM(C75:E75)&lt;Inputs!$B$7,MIN(Inputs!$B$8+(Inputs!$B$9-Inputs!$B$8)*MAX(0,($G$4-SUM(C75:E75)/Inputs!$B$7)/$G$4),Inputs!$B$7-SUM(C75:E75)),0)</f>
        <v>2.8026389785548</v>
      </c>
      <c r="C75" s="31" t="n">
        <f aca="false">B74*(1-Inputs!$B$10)</f>
        <v>2.48129437745663</v>
      </c>
      <c r="D75" s="31" t="n">
        <f aca="false">C74*(1-Inputs!$B$11)</f>
        <v>2.34580221513658</v>
      </c>
      <c r="E75" s="31" t="n">
        <f aca="false">D74*(1-Inputs!$B$11)+E74*(1-Inputs!$B$12)</f>
        <v>54.7481192604204</v>
      </c>
      <c r="F75" s="37" t="n">
        <f aca="false">MIN(SUM(B75:E75),Inputs!$B$7)/Inputs!$B$7</f>
        <v>0.891112211879548</v>
      </c>
      <c r="G75" s="28" t="n">
        <f aca="false">(Result!$B$29+(F75*Inputs!$B$7-Residents!$B$189)*Occupancy!$B$11)/12</f>
        <v>126266.431742671</v>
      </c>
      <c r="H75" s="28" t="n">
        <f aca="false">MAX(0,-G75)</f>
        <v>0</v>
      </c>
      <c r="I75" s="28" t="n">
        <f aca="false">IF(G75&lt;$G$5*0.995,$G$5-G75,0)</f>
        <v>1132.74324033162</v>
      </c>
    </row>
    <row r="76" customFormat="false" ht="15" hidden="false" customHeight="false" outlineLevel="0" collapsed="false">
      <c r="A76" s="39" t="n">
        <v>68</v>
      </c>
      <c r="B76" s="31" t="n">
        <f aca="false">IF(SUM(C76:E76)&lt;Inputs!$B$7,MIN(Inputs!$B$8+(Inputs!$B$9-Inputs!$B$8)*MAX(0,($G$4-SUM(C76:E76)/Inputs!$B$7)/$G$4),Inputs!$B$7-SUM(C76:E76)),0)</f>
        <v>2.80163615840658</v>
      </c>
      <c r="C76" s="31" t="n">
        <f aca="false">B75*(1-Inputs!$B$10)</f>
        <v>2.480335496021</v>
      </c>
      <c r="D76" s="31" t="n">
        <f aca="false">C75*(1-Inputs!$B$11)</f>
        <v>2.34482318669651</v>
      </c>
      <c r="E76" s="31" t="n">
        <f aca="false">D75*(1-Inputs!$B$11)+E75*(1-Inputs!$B$12)</f>
        <v>54.7749775833076</v>
      </c>
      <c r="F76" s="37" t="n">
        <f aca="false">MIN(SUM(B76:E76),Inputs!$B$7)/Inputs!$B$7</f>
        <v>0.891453891777596</v>
      </c>
      <c r="G76" s="28" t="n">
        <f aca="false">(Result!$B$29+(F76*Inputs!$B$7-Residents!$B$189)*Occupancy!$B$11)/12</f>
        <v>126356.307497998</v>
      </c>
      <c r="H76" s="28" t="n">
        <f aca="false">MAX(0,-G76)</f>
        <v>0</v>
      </c>
      <c r="I76" s="28" t="n">
        <f aca="false">IF(G76&lt;$G$5*0.995,$G$5-G76,0)</f>
        <v>1042.86748500503</v>
      </c>
    </row>
    <row r="77" customFormat="false" ht="15" hidden="false" customHeight="false" outlineLevel="0" collapsed="false">
      <c r="A77" s="39" t="n">
        <v>69</v>
      </c>
      <c r="B77" s="31" t="n">
        <f aca="false">IF(SUM(C77:E77)&lt;Inputs!$B$7,MIN(Inputs!$B$8+(Inputs!$B$9-Inputs!$B$8)*MAX(0,($G$4-SUM(C77:E77)/Inputs!$B$7)/$G$4),Inputs!$B$7-SUM(C77:E77)),0)</f>
        <v>2.80070799495706</v>
      </c>
      <c r="C77" s="31" t="n">
        <f aca="false">B76*(1-Inputs!$B$10)</f>
        <v>2.47944800018982</v>
      </c>
      <c r="D77" s="31" t="n">
        <f aca="false">C76*(1-Inputs!$B$11)</f>
        <v>2.34391704373985</v>
      </c>
      <c r="E77" s="31" t="n">
        <f aca="false">D76*(1-Inputs!$B$11)+E76*(1-Inputs!$B$12)</f>
        <v>54.7998363914035</v>
      </c>
      <c r="F77" s="37" t="n">
        <f aca="false">MIN(SUM(B77:E77),Inputs!$B$7)/Inputs!$B$7</f>
        <v>0.891770134718432</v>
      </c>
      <c r="G77" s="28" t="n">
        <f aca="false">(Result!$B$29+(F77*Inputs!$B$7-Residents!$B$189)*Occupancy!$B$11)/12</f>
        <v>126439.492295631</v>
      </c>
      <c r="H77" s="28" t="n">
        <f aca="false">MAX(0,-G77)</f>
        <v>0</v>
      </c>
      <c r="I77" s="28" t="n">
        <f aca="false">IF(G77&lt;$G$5*0.995,$G$5-G77,0)</f>
        <v>959.6826873721</v>
      </c>
    </row>
    <row r="78" customFormat="false" ht="15" hidden="false" customHeight="false" outlineLevel="0" collapsed="false">
      <c r="A78" s="39" t="n">
        <v>70</v>
      </c>
      <c r="B78" s="31" t="n">
        <f aca="false">IF(SUM(C78:E78)&lt;Inputs!$B$7,MIN(Inputs!$B$8+(Inputs!$B$9-Inputs!$B$8)*MAX(0,($G$4-SUM(C78:E78)/Inputs!$B$7)/$G$4),Inputs!$B$7-SUM(C78:E78)),0)</f>
        <v>2.79984893025782</v>
      </c>
      <c r="C78" s="31" t="n">
        <f aca="false">B77*(1-Inputs!$B$10)</f>
        <v>2.478626575537</v>
      </c>
      <c r="D78" s="31" t="n">
        <f aca="false">C77*(1-Inputs!$B$11)</f>
        <v>2.34307836017938</v>
      </c>
      <c r="E78" s="31" t="n">
        <f aca="false">D77*(1-Inputs!$B$11)+E77*(1-Inputs!$B$12)</f>
        <v>54.8228445420815</v>
      </c>
      <c r="F78" s="37" t="n">
        <f aca="false">MIN(SUM(B78:E78),Inputs!$B$7)/Inputs!$B$7</f>
        <v>0.892062834400796</v>
      </c>
      <c r="G78" s="28" t="n">
        <f aca="false">(Result!$B$29+(F78*Inputs!$B$7-Residents!$B$189)*Occupancy!$B$11)/12</f>
        <v>126516.484255611</v>
      </c>
      <c r="H78" s="28" t="n">
        <f aca="false">MAX(0,-G78)</f>
        <v>0</v>
      </c>
      <c r="I78" s="28" t="n">
        <f aca="false">IF(G78&lt;$G$5*0.995,$G$5-G78,0)</f>
        <v>882.690727392459</v>
      </c>
    </row>
    <row r="79" customFormat="false" ht="15" hidden="false" customHeight="false" outlineLevel="0" collapsed="false">
      <c r="A79" s="39" t="n">
        <v>71</v>
      </c>
      <c r="B79" s="31" t="n">
        <f aca="false">IF(SUM(C79:E79)&lt;Inputs!$B$7,MIN(Inputs!$B$8+(Inputs!$B$9-Inputs!$B$8)*MAX(0,($G$4-SUM(C79:E79)/Inputs!$B$7)/$G$4),Inputs!$B$7-SUM(C79:E79)),0)</f>
        <v>2.79905382013161</v>
      </c>
      <c r="C79" s="31" t="n">
        <f aca="false">B78*(1-Inputs!$B$10)</f>
        <v>2.47786630327817</v>
      </c>
      <c r="D79" s="31" t="n">
        <f aca="false">C78*(1-Inputs!$B$11)</f>
        <v>2.34230211388246</v>
      </c>
      <c r="E79" s="31" t="n">
        <f aca="false">D78*(1-Inputs!$B$11)+E78*(1-Inputs!$B$12)</f>
        <v>54.8441398107678</v>
      </c>
      <c r="F79" s="37" t="n">
        <f aca="false">MIN(SUM(B79:E79),Inputs!$B$7)/Inputs!$B$7</f>
        <v>0.892333743543715</v>
      </c>
      <c r="G79" s="28" t="n">
        <f aca="false">(Result!$B$29+(F79*Inputs!$B$7-Residents!$B$189)*Occupancy!$B$11)/12</f>
        <v>126587.74441456</v>
      </c>
      <c r="H79" s="28" t="n">
        <f aca="false">MAX(0,-G79)</f>
        <v>0</v>
      </c>
      <c r="I79" s="28" t="n">
        <f aca="false">IF(G79&lt;$G$5*0.995,$G$5-G79,0)</f>
        <v>811.430568443044</v>
      </c>
    </row>
    <row r="80" customFormat="false" ht="15" hidden="false" customHeight="false" outlineLevel="0" collapsed="false">
      <c r="A80" s="39" t="n">
        <v>72</v>
      </c>
      <c r="B80" s="31" t="n">
        <f aca="false">IF(SUM(C80:E80)&lt;Inputs!$B$7,MIN(Inputs!$B$8+(Inputs!$B$9-Inputs!$B$8)*MAX(0,($G$4-SUM(C80:E80)/Inputs!$B$7)/$G$4),Inputs!$B$7-SUM(C80:E80)),0)</f>
        <v>2.79831790336848</v>
      </c>
      <c r="C80" s="31" t="n">
        <f aca="false">B79*(1-Inputs!$B$10)</f>
        <v>2.47716263081648</v>
      </c>
      <c r="D80" s="31" t="n">
        <f aca="false">C79*(1-Inputs!$B$11)</f>
        <v>2.34158365659787</v>
      </c>
      <c r="E80" s="31" t="n">
        <f aca="false">D79*(1-Inputs!$B$11)+E79*(1-Inputs!$B$12)</f>
        <v>54.863849715956</v>
      </c>
      <c r="F80" s="37" t="n">
        <f aca="false">MIN(SUM(B80:E80),Inputs!$B$7)/Inputs!$B$7</f>
        <v>0.892584484381983</v>
      </c>
      <c r="G80" s="28" t="n">
        <f aca="false">(Result!$B$29+(F80*Inputs!$B$7-Residents!$B$189)*Occupancy!$B$11)/12</f>
        <v>126653.699486425</v>
      </c>
      <c r="H80" s="28" t="n">
        <f aca="false">MAX(0,-G80)</f>
        <v>0</v>
      </c>
      <c r="I80" s="28" t="n">
        <f aca="false">IF(G80&lt;$G$5*0.995,$G$5-G80,0)</f>
        <v>745.475496577885</v>
      </c>
    </row>
    <row r="81" customFormat="false" ht="15" hidden="false" customHeight="false" outlineLevel="0" collapsed="false">
      <c r="A81" s="39" t="n">
        <v>73</v>
      </c>
      <c r="B81" s="31" t="n">
        <f aca="false">IF(SUM(C81:E81)&lt;Inputs!$B$7,MIN(Inputs!$B$8+(Inputs!$B$9-Inputs!$B$8)*MAX(0,($G$4-SUM(C81:E81)/Inputs!$B$7)/$G$4),Inputs!$B$7-SUM(C81:E81)),0)</f>
        <v>2.79763677321505</v>
      </c>
      <c r="C81" s="31" t="n">
        <f aca="false">B80*(1-Inputs!$B$10)</f>
        <v>2.47651134448111</v>
      </c>
      <c r="D81" s="31" t="n">
        <f aca="false">C80*(1-Inputs!$B$11)</f>
        <v>2.34091868612157</v>
      </c>
      <c r="E81" s="31" t="n">
        <f aca="false">D80*(1-Inputs!$B$11)+E80*(1-Inputs!$B$12)</f>
        <v>54.8820922828027</v>
      </c>
      <c r="F81" s="37" t="n">
        <f aca="false">MIN(SUM(B81:E81),Inputs!$B$7)/Inputs!$B$7</f>
        <v>0.892816558380292</v>
      </c>
      <c r="G81" s="28" t="n">
        <f aca="false">(Result!$B$29+(F81*Inputs!$B$7-Residents!$B$189)*Occupancy!$B$11)/12</f>
        <v>126714.744417687</v>
      </c>
      <c r="H81" s="28" t="n">
        <f aca="false">MAX(0,-G81)</f>
        <v>0</v>
      </c>
      <c r="I81" s="28" t="n">
        <f aca="false">IF(G81&lt;$G$5*0.995,$G$5-G81,0)</f>
        <v>684.430565316521</v>
      </c>
    </row>
    <row r="82" customFormat="false" ht="15" hidden="false" customHeight="false" outlineLevel="0" collapsed="false">
      <c r="A82" s="39" t="n">
        <v>74</v>
      </c>
      <c r="B82" s="31" t="n">
        <f aca="false">IF(SUM(C82:E82)&lt;Inputs!$B$7,MIN(Inputs!$B$8+(Inputs!$B$9-Inputs!$B$8)*MAX(0,($G$4-SUM(C82:E82)/Inputs!$B$7)/$G$4),Inputs!$B$7-SUM(C82:E82)),0)</f>
        <v>2.79700635098639</v>
      </c>
      <c r="C82" s="31" t="n">
        <f aca="false">B81*(1-Inputs!$B$10)</f>
        <v>2.47590854429532</v>
      </c>
      <c r="D82" s="31" t="n">
        <f aca="false">C81*(1-Inputs!$B$11)</f>
        <v>2.34030322053465</v>
      </c>
      <c r="E82" s="31" t="n">
        <f aca="false">D81*(1-Inputs!$B$11)+E81*(1-Inputs!$B$12)</f>
        <v>54.8989767498755</v>
      </c>
      <c r="F82" s="37" t="n">
        <f aca="false">MIN(SUM(B82:E82),Inputs!$B$7)/Inputs!$B$7</f>
        <v>0.893031355224169</v>
      </c>
      <c r="G82" s="28" t="n">
        <f aca="false">(Result!$B$29+(F82*Inputs!$B$7-Residents!$B$189)*Occupancy!$B$11)/12</f>
        <v>126771.244752343</v>
      </c>
      <c r="H82" s="28" t="n">
        <f aca="false">MAX(0,-G82)</f>
        <v>0</v>
      </c>
      <c r="I82" s="28" t="n">
        <f aca="false">IF(G82&lt;$G$5*0.995,$G$5-G82,0)</f>
        <v>0</v>
      </c>
    </row>
    <row r="83" customFormat="false" ht="15" hidden="false" customHeight="false" outlineLevel="0" collapsed="false">
      <c r="A83" s="39" t="n">
        <v>75</v>
      </c>
      <c r="B83" s="31" t="n">
        <f aca="false">IF(SUM(C83:E83)&lt;Inputs!$B$7,MIN(Inputs!$B$8+(Inputs!$B$9-Inputs!$B$8)*MAX(0,($G$4-SUM(C83:E83)/Inputs!$B$7)/$G$4),Inputs!$B$7-SUM(C83:E83)),0)</f>
        <v>2.79642286164242</v>
      </c>
      <c r="C83" s="31" t="n">
        <f aca="false">B82*(1-Inputs!$B$10)</f>
        <v>2.47535062062295</v>
      </c>
      <c r="D83" s="31" t="n">
        <f aca="false">C82*(1-Inputs!$B$11)</f>
        <v>2.33973357435907</v>
      </c>
      <c r="E83" s="31" t="n">
        <f aca="false">D82*(1-Inputs!$B$11)+E82*(1-Inputs!$B$12)</f>
        <v>54.9146042232857</v>
      </c>
      <c r="F83" s="37" t="n">
        <f aca="false">MIN(SUM(B83:E83),Inputs!$B$7)/Inputs!$B$7</f>
        <v>0.893230161141574</v>
      </c>
      <c r="G83" s="28" t="n">
        <f aca="false">(Result!$B$29+(F83*Inputs!$B$7-Residents!$B$189)*Occupancy!$B$11)/12</f>
        <v>126823.538820833</v>
      </c>
      <c r="H83" s="28" t="n">
        <f aca="false">MAX(0,-G83)</f>
        <v>0</v>
      </c>
      <c r="I83" s="28" t="n">
        <f aca="false">IF(G83&lt;$G$5*0.995,$G$5-G83,0)</f>
        <v>0</v>
      </c>
    </row>
    <row r="84" customFormat="false" ht="15" hidden="false" customHeight="false" outlineLevel="0" collapsed="false">
      <c r="A84" s="39" t="n">
        <v>76</v>
      </c>
      <c r="B84" s="31" t="n">
        <f aca="false">IF(SUM(C84:E84)&lt;Inputs!$B$7,MIN(Inputs!$B$8+(Inputs!$B$9-Inputs!$B$8)*MAX(0,($G$4-SUM(C84:E84)/Inputs!$B$7)/$G$4),Inputs!$B$7-SUM(C84:E84)),0)</f>
        <v>2.79588281118251</v>
      </c>
      <c r="C84" s="31" t="n">
        <f aca="false">B83*(1-Inputs!$B$10)</f>
        <v>2.47483423255354</v>
      </c>
      <c r="D84" s="31" t="n">
        <f aca="false">C83*(1-Inputs!$B$11)</f>
        <v>2.33920633648869</v>
      </c>
      <c r="E84" s="31" t="n">
        <f aca="false">D83*(1-Inputs!$B$11)+E83*(1-Inputs!$B$12)</f>
        <v>54.9290682821236</v>
      </c>
      <c r="F84" s="37" t="n">
        <f aca="false">MIN(SUM(B84:E84),Inputs!$B$7)/Inputs!$B$7</f>
        <v>0.893414166604977</v>
      </c>
      <c r="G84" s="28" t="n">
        <f aca="false">(Result!$B$29+(F84*Inputs!$B$7-Residents!$B$189)*Occupancy!$B$11)/12</f>
        <v>126871.939765993</v>
      </c>
      <c r="H84" s="28" t="n">
        <f aca="false">MAX(0,-G84)</f>
        <v>0</v>
      </c>
      <c r="I84" s="28" t="n">
        <f aca="false">IF(G84&lt;$G$5*0.995,$G$5-G84,0)</f>
        <v>0</v>
      </c>
    </row>
    <row r="85" customFormat="false" ht="15" hidden="false" customHeight="false" outlineLevel="0" collapsed="false">
      <c r="A85" s="39" t="n">
        <v>77</v>
      </c>
      <c r="B85" s="31" t="n">
        <f aca="false">IF(SUM(C85:E85)&lt;Inputs!$B$7,MIN(Inputs!$B$8+(Inputs!$B$9-Inputs!$B$8)*MAX(0,($G$4-SUM(C85:E85)/Inputs!$B$7)/$G$4),Inputs!$B$7-SUM(C85:E85)),0)</f>
        <v>2.795382965723</v>
      </c>
      <c r="C85" s="31" t="n">
        <f aca="false">B84*(1-Inputs!$B$10)</f>
        <v>2.47435628789652</v>
      </c>
      <c r="D85" s="31" t="n">
        <f aca="false">C84*(1-Inputs!$B$11)</f>
        <v>2.33871834976309</v>
      </c>
      <c r="E85" s="31" t="n">
        <f aca="false">D84*(1-Inputs!$B$11)+E84*(1-Inputs!$B$12)</f>
        <v>54.9424555388205</v>
      </c>
      <c r="F85" s="37" t="n">
        <f aca="false">MIN(SUM(B85:E85),Inputs!$B$7)/Inputs!$B$7</f>
        <v>0.893584473460044</v>
      </c>
      <c r="G85" s="28" t="n">
        <f aca="false">(Result!$B$29+(F85*Inputs!$B$7-Residents!$B$189)*Occupancy!$B$11)/12</f>
        <v>126916.737418193</v>
      </c>
      <c r="H85" s="28" t="n">
        <f aca="false">MAX(0,-G85)</f>
        <v>0</v>
      </c>
      <c r="I85" s="28" t="n">
        <f aca="false">IF(G85&lt;$G$5*0.995,$G$5-G85,0)</f>
        <v>0</v>
      </c>
    </row>
    <row r="86" customFormat="false" ht="15" hidden="false" customHeight="false" outlineLevel="0" collapsed="false">
      <c r="A86" s="39" t="n">
        <v>78</v>
      </c>
      <c r="B86" s="31" t="n">
        <f aca="false">IF(SUM(C86:E86)&lt;Inputs!$B$7,MIN(Inputs!$B$8+(Inputs!$B$9-Inputs!$B$8)*MAX(0,($G$4-SUM(C86:E86)/Inputs!$B$7)/$G$4),Inputs!$B$7-SUM(C86:E86)),0)</f>
        <v>2.79492033213238</v>
      </c>
      <c r="C86" s="31" t="n">
        <f aca="false">B85*(1-Inputs!$B$10)</f>
        <v>2.47391392466486</v>
      </c>
      <c r="D86" s="31" t="n">
        <f aca="false">C85*(1-Inputs!$B$11)</f>
        <v>2.33826669206221</v>
      </c>
      <c r="E86" s="31" t="n">
        <f aca="false">D85*(1-Inputs!$B$11)+E85*(1-Inputs!$B$12)</f>
        <v>54.9548461577938</v>
      </c>
      <c r="F86" s="37" t="n">
        <f aca="false">MIN(SUM(B86:E86),Inputs!$B$7)/Inputs!$B$7</f>
        <v>0.893742101523618</v>
      </c>
      <c r="G86" s="28" t="n">
        <f aca="false">(Result!$B$29+(F86*Inputs!$B$7-Residents!$B$189)*Occupancy!$B$11)/12</f>
        <v>126958.200030876</v>
      </c>
      <c r="H86" s="28" t="n">
        <f aca="false">MAX(0,-G86)</f>
        <v>0</v>
      </c>
      <c r="I86" s="28" t="n">
        <f aca="false">IF(G86&lt;$G$5*0.995,$G$5-G86,0)</f>
        <v>0</v>
      </c>
    </row>
    <row r="87" customFormat="false" ht="15" hidden="false" customHeight="false" outlineLevel="0" collapsed="false">
      <c r="A87" s="39" t="n">
        <v>79</v>
      </c>
      <c r="B87" s="31" t="n">
        <f aca="false">IF(SUM(C87:E87)&lt;Inputs!$B$7,MIN(Inputs!$B$8+(Inputs!$B$9-Inputs!$B$8)*MAX(0,($G$4-SUM(C87:E87)/Inputs!$B$7)/$G$4),Inputs!$B$7-SUM(C87:E87)),0)</f>
        <v>2.79449214010802</v>
      </c>
      <c r="C87" s="31" t="n">
        <f aca="false">B86*(1-Inputs!$B$10)</f>
        <v>2.47350449393716</v>
      </c>
      <c r="D87" s="31" t="n">
        <f aca="false">C86*(1-Inputs!$B$11)</f>
        <v>2.33784865880829</v>
      </c>
      <c r="E87" s="31" t="n">
        <f aca="false">D86*(1-Inputs!$B$11)+E86*(1-Inputs!$B$12)</f>
        <v>54.9663143354808</v>
      </c>
      <c r="F87" s="37" t="n">
        <f aca="false">MIN(SUM(B87:E87),Inputs!$B$7)/Inputs!$B$7</f>
        <v>0.89388799469049</v>
      </c>
      <c r="G87" s="28" t="n">
        <f aca="false">(Result!$B$29+(F87*Inputs!$B$7-Residents!$B$189)*Occupancy!$B$11)/12</f>
        <v>126996.575886888</v>
      </c>
      <c r="H87" s="28" t="n">
        <f aca="false">MAX(0,-G87)</f>
        <v>0</v>
      </c>
      <c r="I87" s="28" t="n">
        <f aca="false">IF(G87&lt;$G$5*0.995,$G$5-G87,0)</f>
        <v>0</v>
      </c>
    </row>
    <row r="88" customFormat="false" ht="15" hidden="false" customHeight="false" outlineLevel="0" collapsed="false">
      <c r="A88" s="39" t="n">
        <v>80</v>
      </c>
      <c r="B88" s="31" t="n">
        <f aca="false">IF(SUM(C88:E88)&lt;Inputs!$B$7,MIN(Inputs!$B$8+(Inputs!$B$9-Inputs!$B$8)*MAX(0,($G$4-SUM(C88:E88)/Inputs!$B$7)/$G$4),Inputs!$B$7-SUM(C88:E88)),0)</f>
        <v>2.79409582558733</v>
      </c>
      <c r="C88" s="31" t="n">
        <f aca="false">B87*(1-Inputs!$B$10)</f>
        <v>2.4731255439956</v>
      </c>
      <c r="D88" s="31" t="n">
        <f aca="false">C87*(1-Inputs!$B$11)</f>
        <v>2.33746174677061</v>
      </c>
      <c r="E88" s="31" t="n">
        <f aca="false">D87*(1-Inputs!$B$11)+E87*(1-Inputs!$B$12)</f>
        <v>54.9769287446354</v>
      </c>
      <c r="F88" s="37" t="n">
        <f aca="false">MIN(SUM(B88:E88),Inputs!$B$7)/Inputs!$B$7</f>
        <v>0.894023026585557</v>
      </c>
      <c r="G88" s="28" t="n">
        <f aca="false">(Result!$B$29+(F88*Inputs!$B$7-Residents!$B$189)*Occupancy!$B$11)/12</f>
        <v>127032.094785224</v>
      </c>
      <c r="H88" s="28" t="n">
        <f aca="false">MAX(0,-G88)</f>
        <v>0</v>
      </c>
      <c r="I88" s="28" t="n">
        <f aca="false">IF(G88&lt;$G$5*0.995,$G$5-G88,0)</f>
        <v>0</v>
      </c>
    </row>
    <row r="89" customFormat="false" ht="15" hidden="false" customHeight="false" outlineLevel="0" collapsed="false">
      <c r="A89" s="39" t="n">
        <v>81</v>
      </c>
      <c r="B89" s="31" t="n">
        <f aca="false">IF(SUM(C89:E89)&lt;Inputs!$B$7,MIN(Inputs!$B$8+(Inputs!$B$9-Inputs!$B$8)*MAX(0,($G$4-SUM(C89:E89)/Inputs!$B$7)/$G$4),Inputs!$B$7-SUM(C89:E89)),0)</f>
        <v>2.79372901539382</v>
      </c>
      <c r="C89" s="31" t="n">
        <f aca="false">B88*(1-Inputs!$B$10)</f>
        <v>2.47277480564478</v>
      </c>
      <c r="D89" s="31" t="n">
        <f aca="false">C88*(1-Inputs!$B$11)</f>
        <v>2.33710363907584</v>
      </c>
      <c r="E89" s="31" t="n">
        <f aca="false">D88*(1-Inputs!$B$11)+E88*(1-Inputs!$B$12)</f>
        <v>54.9867529455482</v>
      </c>
      <c r="F89" s="37" t="n">
        <f aca="false">MIN(SUM(B89:E89),Inputs!$B$7)/Inputs!$B$7</f>
        <v>0.894148005795181</v>
      </c>
      <c r="G89" s="28" t="n">
        <f aca="false">(Result!$B$29+(F89*Inputs!$B$7-Residents!$B$189)*Occupancy!$B$11)/12</f>
        <v>127064.969417092</v>
      </c>
      <c r="H89" s="28" t="n">
        <f aca="false">MAX(0,-G89)</f>
        <v>0</v>
      </c>
      <c r="I89" s="28" t="n">
        <f aca="false">IF(G89&lt;$G$5*0.995,$G$5-G89,0)</f>
        <v>0</v>
      </c>
    </row>
    <row r="90" customFormat="false" ht="15" hidden="false" customHeight="false" outlineLevel="0" collapsed="false">
      <c r="A90" s="39" t="n">
        <v>82</v>
      </c>
      <c r="B90" s="31" t="n">
        <f aca="false">IF(SUM(C90:E90)&lt;Inputs!$B$7,MIN(Inputs!$B$8+(Inputs!$B$9-Inputs!$B$8)*MAX(0,($G$4-SUM(C90:E90)/Inputs!$B$7)/$G$4),Inputs!$B$7-SUM(C90:E90)),0)</f>
        <v>2.79338951302629</v>
      </c>
      <c r="C90" s="31" t="n">
        <f aca="false">B89*(1-Inputs!$B$10)</f>
        <v>2.47245017862353</v>
      </c>
      <c r="D90" s="31" t="n">
        <f aca="false">C89*(1-Inputs!$B$11)</f>
        <v>2.33677219133432</v>
      </c>
      <c r="E90" s="31" t="n">
        <f aca="false">D89*(1-Inputs!$B$11)+E89*(1-Inputs!$B$12)</f>
        <v>54.995845766653</v>
      </c>
      <c r="F90" s="37" t="n">
        <f aca="false">MIN(SUM(B90:E90),Inputs!$B$7)/Inputs!$B$7</f>
        <v>0.894263680709102</v>
      </c>
      <c r="G90" s="28" t="n">
        <f aca="false">(Result!$B$29+(F90*Inputs!$B$7-Residents!$B$189)*Occupancy!$B$11)/12</f>
        <v>127095.396639532</v>
      </c>
      <c r="H90" s="28" t="n">
        <f aca="false">MAX(0,-G90)</f>
        <v>0</v>
      </c>
      <c r="I90" s="28" t="n">
        <f aca="false">IF(G90&lt;$G$5*0.995,$G$5-G90,0)</f>
        <v>0</v>
      </c>
    </row>
    <row r="91" customFormat="false" ht="15" hidden="false" customHeight="false" outlineLevel="0" collapsed="false">
      <c r="A91" s="39" t="n">
        <v>83</v>
      </c>
      <c r="B91" s="31" t="n">
        <f aca="false">IF(SUM(C91:E91)&lt;Inputs!$B$7,MIN(Inputs!$B$8+(Inputs!$B$9-Inputs!$B$8)*MAX(0,($G$4-SUM(C91:E91)/Inputs!$B$7)/$G$4),Inputs!$B$7-SUM(C91:E91)),0)</f>
        <v>2.79307528550591</v>
      </c>
      <c r="C91" s="31" t="n">
        <f aca="false">B90*(1-Inputs!$B$10)</f>
        <v>2.47214971902827</v>
      </c>
      <c r="D91" s="31" t="n">
        <f aca="false">C90*(1-Inputs!$B$11)</f>
        <v>2.33646541879924</v>
      </c>
      <c r="E91" s="31" t="n">
        <f aca="false">D90*(1-Inputs!$B$11)+E90*(1-Inputs!$B$12)</f>
        <v>55.0042616567978</v>
      </c>
      <c r="F91" s="37" t="n">
        <f aca="false">MIN(SUM(B91:E91),Inputs!$B$7)/Inputs!$B$7</f>
        <v>0.894370744001874</v>
      </c>
      <c r="G91" s="28" t="n">
        <f aca="false">(Result!$B$29+(F91*Inputs!$B$7-Residents!$B$189)*Occupancy!$B$11)/12</f>
        <v>127123.558654215</v>
      </c>
      <c r="H91" s="28" t="n">
        <f aca="false">MAX(0,-G91)</f>
        <v>0</v>
      </c>
      <c r="I91" s="28" t="n">
        <f aca="false">IF(G91&lt;$G$5*0.995,$G$5-G91,0)</f>
        <v>0</v>
      </c>
    </row>
    <row r="92" customFormat="false" ht="15" hidden="false" customHeight="false" outlineLevel="0" collapsed="false">
      <c r="A92" s="39" t="n">
        <v>84</v>
      </c>
      <c r="B92" s="31" t="n">
        <f aca="false">IF(SUM(C92:E92)&lt;Inputs!$B$7,MIN(Inputs!$B$8+(Inputs!$B$9-Inputs!$B$8)*MAX(0,($G$4-SUM(C92:E92)/Inputs!$B$7)/$G$4),Inputs!$B$7-SUM(C92:E92)),0)</f>
        <v>2.7927844512025</v>
      </c>
      <c r="C92" s="31" t="n">
        <f aca="false">B91*(1-Inputs!$B$10)</f>
        <v>2.47187162767273</v>
      </c>
      <c r="D92" s="31" t="n">
        <f aca="false">C91*(1-Inputs!$B$11)</f>
        <v>2.33618148448171</v>
      </c>
      <c r="E92" s="31" t="n">
        <f aca="false">D91*(1-Inputs!$B$11)+E91*(1-Inputs!$B$12)</f>
        <v>55.0120510112911</v>
      </c>
      <c r="F92" s="37" t="n">
        <f aca="false">MIN(SUM(B92:E92),Inputs!$B$7)/Inputs!$B$7</f>
        <v>0.894469836780687</v>
      </c>
      <c r="G92" s="28" t="n">
        <f aca="false">(Result!$B$29+(F92*Inputs!$B$7-Residents!$B$189)*Occupancy!$B$11)/12</f>
        <v>127149.624098492</v>
      </c>
      <c r="H92" s="28" t="n">
        <f aca="false">MAX(0,-G92)</f>
        <v>0</v>
      </c>
      <c r="I92" s="28" t="n">
        <f aca="false">IF(G92&lt;$G$5*0.995,$G$5-G92,0)</f>
        <v>0</v>
      </c>
    </row>
    <row r="93" customFormat="false" ht="15" hidden="false" customHeight="false" outlineLevel="0" collapsed="false">
      <c r="A93" s="39" t="n">
        <v>85</v>
      </c>
      <c r="B93" s="31" t="n">
        <f aca="false">IF(SUM(C93:E93)&lt;Inputs!$B$7,MIN(Inputs!$B$8+(Inputs!$B$9-Inputs!$B$8)*MAX(0,($G$4-SUM(C93:E93)/Inputs!$B$7)/$G$4),Inputs!$B$7-SUM(C93:E93)),0)</f>
        <v>2.79251526856714</v>
      </c>
      <c r="C93" s="31" t="n">
        <f aca="false">B92*(1-Inputs!$B$10)</f>
        <v>2.47161423931421</v>
      </c>
      <c r="D93" s="31" t="n">
        <f aca="false">C92*(1-Inputs!$B$11)</f>
        <v>2.33591868815073</v>
      </c>
      <c r="E93" s="31" t="n">
        <f aca="false">D92*(1-Inputs!$B$11)+E92*(1-Inputs!$B$12)</f>
        <v>55.0192604736747</v>
      </c>
      <c r="F93" s="37" t="n">
        <f aca="false">MIN(SUM(B93:E93),Inputs!$B$7)/Inputs!$B$7</f>
        <v>0.894561552424383</v>
      </c>
      <c r="G93" s="28" t="n">
        <f aca="false">(Result!$B$29+(F93*Inputs!$B$7-Residents!$B$189)*Occupancy!$B$11)/12</f>
        <v>127173.749055212</v>
      </c>
      <c r="H93" s="28" t="n">
        <f aca="false">MAX(0,-G93)</f>
        <v>0</v>
      </c>
      <c r="I93" s="28" t="n">
        <f aca="false">IF(G93&lt;$G$5*0.995,$G$5-G93,0)</f>
        <v>0</v>
      </c>
    </row>
    <row r="94" customFormat="false" ht="15" hidden="false" customHeight="false" outlineLevel="0" collapsed="false">
      <c r="A94" s="39" t="n">
        <v>86</v>
      </c>
      <c r="B94" s="31" t="n">
        <f aca="false">IF(SUM(C94:E94)&lt;Inputs!$B$7,MIN(Inputs!$B$8+(Inputs!$B$9-Inputs!$B$8)*MAX(0,($G$4-SUM(C94:E94)/Inputs!$B$7)/$G$4),Inputs!$B$7-SUM(C94:E94)),0)</f>
        <v>2.79226612570356</v>
      </c>
      <c r="C94" s="31" t="n">
        <f aca="false">B93*(1-Inputs!$B$10)</f>
        <v>2.47137601268192</v>
      </c>
      <c r="D94" s="31" t="n">
        <f aca="false">C93*(1-Inputs!$B$11)</f>
        <v>2.33567545615193</v>
      </c>
      <c r="E94" s="31" t="n">
        <f aca="false">D93*(1-Inputs!$B$11)+E93*(1-Inputs!$B$12)</f>
        <v>55.0259332150302</v>
      </c>
      <c r="F94" s="37" t="n">
        <f aca="false">MIN(SUM(B94:E94),Inputs!$B$7)/Inputs!$B$7</f>
        <v>0.89464644013668</v>
      </c>
      <c r="G94" s="28" t="n">
        <f aca="false">(Result!$B$29+(F94*Inputs!$B$7-Residents!$B$189)*Occupancy!$B$11)/12</f>
        <v>127196.077987362</v>
      </c>
      <c r="H94" s="28" t="n">
        <f aca="false">MAX(0,-G94)</f>
        <v>0</v>
      </c>
      <c r="I94" s="28" t="n">
        <f aca="false">IF(G94&lt;$G$5*0.995,$G$5-G94,0)</f>
        <v>0</v>
      </c>
    </row>
    <row r="95" customFormat="false" ht="15" hidden="false" customHeight="false" outlineLevel="0" collapsed="false">
      <c r="A95" s="39" t="n">
        <v>87</v>
      </c>
      <c r="B95" s="31" t="n">
        <f aca="false">IF(SUM(C95:E95)&lt;Inputs!$B$7,MIN(Inputs!$B$8+(Inputs!$B$9-Inputs!$B$8)*MAX(0,($G$4-SUM(C95:E95)/Inputs!$B$7)/$G$4),Inputs!$B$7-SUM(C95:E95)),0)</f>
        <v>2.79203553071592</v>
      </c>
      <c r="C95" s="31" t="n">
        <f aca="false">B94*(1-Inputs!$B$10)</f>
        <v>2.47115552124765</v>
      </c>
      <c r="D95" s="31" t="n">
        <f aca="false">C94*(1-Inputs!$B$11)</f>
        <v>2.33545033198442</v>
      </c>
      <c r="E95" s="31" t="n">
        <f aca="false">D94*(1-Inputs!$B$11)+E94*(1-Inputs!$B$12)</f>
        <v>55.0321091924925</v>
      </c>
      <c r="F95" s="37" t="n">
        <f aca="false">MIN(SUM(B95:E95),Inputs!$B$7)/Inputs!$B$7</f>
        <v>0.894725008234865</v>
      </c>
      <c r="G95" s="28" t="n">
        <f aca="false">(Result!$B$29+(F95*Inputs!$B$7-Residents!$B$189)*Occupancy!$B$11)/12</f>
        <v>127216.744603131</v>
      </c>
      <c r="H95" s="28" t="n">
        <f aca="false">MAX(0,-G95)</f>
        <v>0</v>
      </c>
      <c r="I95" s="28" t="n">
        <f aca="false">IF(G95&lt;$G$5*0.995,$G$5-G95,0)</f>
        <v>0</v>
      </c>
    </row>
    <row r="96" customFormat="false" ht="15" hidden="false" customHeight="false" outlineLevel="0" collapsed="false">
      <c r="A96" s="39" t="n">
        <v>88</v>
      </c>
      <c r="B96" s="31" t="n">
        <f aca="false">IF(SUM(C96:E96)&lt;Inputs!$B$7,MIN(Inputs!$B$8+(Inputs!$B$9-Inputs!$B$8)*MAX(0,($G$4-SUM(C96:E96)/Inputs!$B$7)/$G$4),Inputs!$B$7-SUM(C96:E96)),0)</f>
        <v>2.79182210277518</v>
      </c>
      <c r="C96" s="31" t="n">
        <f aca="false">B95*(1-Inputs!$B$10)</f>
        <v>2.47095144468359</v>
      </c>
      <c r="D96" s="31" t="n">
        <f aca="false">C95*(1-Inputs!$B$11)</f>
        <v>2.33524196757903</v>
      </c>
      <c r="E96" s="31" t="n">
        <f aca="false">D95*(1-Inputs!$B$11)+E95*(1-Inputs!$B$12)</f>
        <v>55.0378253885181</v>
      </c>
      <c r="F96" s="37" t="n">
        <f aca="false">MIN(SUM(B96:E96),Inputs!$B$7)/Inputs!$B$7</f>
        <v>0.894797727193656</v>
      </c>
      <c r="G96" s="28" t="n">
        <f aca="false">(Result!$B$29+(F96*Inputs!$B$7-Residents!$B$189)*Occupancy!$B$11)/12</f>
        <v>127235.872656567</v>
      </c>
      <c r="H96" s="28" t="n">
        <f aca="false">MAX(0,-G96)</f>
        <v>0</v>
      </c>
      <c r="I96" s="28" t="n">
        <f aca="false">IF(G96&lt;$G$5*0.995,$G$5-G96,0)</f>
        <v>0</v>
      </c>
    </row>
    <row r="97" customFormat="false" ht="15" hidden="false" customHeight="false" outlineLevel="0" collapsed="false">
      <c r="A97" s="39" t="n">
        <v>89</v>
      </c>
      <c r="B97" s="31" t="n">
        <f aca="false">IF(SUM(C97:E97)&lt;Inputs!$B$7,MIN(Inputs!$B$8+(Inputs!$B$9-Inputs!$B$8)*MAX(0,($G$4-SUM(C97:E97)/Inputs!$B$7)/$G$4),Inputs!$B$7-SUM(C97:E97)),0)</f>
        <v>2.79162456385052</v>
      </c>
      <c r="C97" s="31" t="n">
        <f aca="false">B96*(1-Inputs!$B$10)</f>
        <v>2.47076256095603</v>
      </c>
      <c r="D97" s="31" t="n">
        <f aca="false">C96*(1-Inputs!$B$11)</f>
        <v>2.33504911522599</v>
      </c>
      <c r="E97" s="31" t="n">
        <f aca="false">D96*(1-Inputs!$B$11)+E96*(1-Inputs!$B$12)</f>
        <v>55.0431160323396</v>
      </c>
      <c r="F97" s="37" t="n">
        <f aca="false">MIN(SUM(B97:E97),Inputs!$B$7)/Inputs!$B$7</f>
        <v>0.894865032462459</v>
      </c>
      <c r="G97" s="28" t="n">
        <f aca="false">(Result!$B$29+(F97*Inputs!$B$7-Residents!$B$189)*Occupancy!$B$11)/12</f>
        <v>127253.576688633</v>
      </c>
      <c r="H97" s="28" t="n">
        <f aca="false">MAX(0,-G97)</f>
        <v>0</v>
      </c>
      <c r="I97" s="28" t="n">
        <f aca="false">IF(G97&lt;$G$5*0.995,$G$5-G97,0)</f>
        <v>0</v>
      </c>
    </row>
    <row r="98" customFormat="false" ht="15" hidden="false" customHeight="false" outlineLevel="0" collapsed="false">
      <c r="A98" s="39" t="n">
        <v>90</v>
      </c>
      <c r="B98" s="31" t="n">
        <f aca="false">IF(SUM(C98:E98)&lt;Inputs!$B$7,MIN(Inputs!$B$8+(Inputs!$B$9-Inputs!$B$8)*MAX(0,($G$4-SUM(C98:E98)/Inputs!$B$7)/$G$4),Inputs!$B$7-SUM(C98:E98)),0)</f>
        <v>2.79144173105638</v>
      </c>
      <c r="C98" s="31" t="n">
        <f aca="false">B97*(1-Inputs!$B$10)</f>
        <v>2.47058773900771</v>
      </c>
      <c r="D98" s="31" t="n">
        <f aca="false">C97*(1-Inputs!$B$11)</f>
        <v>2.33487062010345</v>
      </c>
      <c r="E98" s="31" t="n">
        <f aca="false">D97*(1-Inputs!$B$11)+E97*(1-Inputs!$B$12)</f>
        <v>55.0480128049345</v>
      </c>
      <c r="F98" s="37" t="n">
        <f aca="false">MIN(SUM(B98:E98),Inputs!$B$7)/Inputs!$B$7</f>
        <v>0.894927327072887</v>
      </c>
      <c r="G98" s="28" t="n">
        <f aca="false">(Result!$B$29+(F98*Inputs!$B$7-Residents!$B$189)*Occupancy!$B$11)/12</f>
        <v>127269.962713087</v>
      </c>
      <c r="H98" s="28" t="n">
        <f aca="false">MAX(0,-G98)</f>
        <v>0</v>
      </c>
      <c r="I98" s="28" t="n">
        <f aca="false">IF(G98&lt;$G$5*0.995,$G$5-G98,0)</f>
        <v>0</v>
      </c>
    </row>
    <row r="99" customFormat="false" ht="15" hidden="false" customHeight="false" outlineLevel="0" collapsed="false">
      <c r="A99" s="39" t="n">
        <v>91</v>
      </c>
      <c r="B99" s="31" t="n">
        <f aca="false">IF(SUM(C99:E99)&lt;Inputs!$B$7,MIN(Inputs!$B$8+(Inputs!$B$9-Inputs!$B$8)*MAX(0,($G$4-SUM(C99:E99)/Inputs!$B$7)/$G$4),Inputs!$B$7-SUM(C99:E99)),0)</f>
        <v>2.79127250956915</v>
      </c>
      <c r="C99" s="31" t="n">
        <f aca="false">B98*(1-Inputs!$B$10)</f>
        <v>2.47042593198489</v>
      </c>
      <c r="D99" s="31" t="n">
        <f aca="false">C98*(1-Inputs!$B$11)</f>
        <v>2.33470541336229</v>
      </c>
      <c r="E99" s="31" t="n">
        <f aca="false">D98*(1-Inputs!$B$11)+E98*(1-Inputs!$B$12)</f>
        <v>55.0525450287349</v>
      </c>
      <c r="F99" s="37" t="n">
        <f aca="false">MIN(SUM(B99:E99),Inputs!$B$7)/Inputs!$B$7</f>
        <v>0.894984984052161</v>
      </c>
      <c r="G99" s="28" t="n">
        <f aca="false">(Result!$B$29+(F99*Inputs!$B$7-Residents!$B$189)*Occupancy!$B$11)/12</f>
        <v>127285.128851311</v>
      </c>
      <c r="H99" s="28" t="n">
        <f aca="false">MAX(0,-G99)</f>
        <v>0</v>
      </c>
      <c r="I99" s="28" t="n">
        <f aca="false">IF(G99&lt;$G$5*0.995,$G$5-G99,0)</f>
        <v>0</v>
      </c>
    </row>
    <row r="100" customFormat="false" ht="15" hidden="false" customHeight="false" outlineLevel="0" collapsed="false">
      <c r="A100" s="39" t="n">
        <v>92</v>
      </c>
      <c r="B100" s="31" t="n">
        <f aca="false">IF(SUM(C100:E100)&lt;Inputs!$B$7,MIN(Inputs!$B$8+(Inputs!$B$9-Inputs!$B$8)*MAX(0,($G$4-SUM(C100:E100)/Inputs!$B$7)/$G$4),Inputs!$B$7-SUM(C100:E100)),0)</f>
        <v>2.79111588607132</v>
      </c>
      <c r="C100" s="31" t="n">
        <f aca="false">B99*(1-Inputs!$B$10)</f>
        <v>2.4702761709687</v>
      </c>
      <c r="D100" s="31" t="n">
        <f aca="false">C99*(1-Inputs!$B$11)</f>
        <v>2.33455250572572</v>
      </c>
      <c r="E100" s="31" t="n">
        <f aca="false">D99*(1-Inputs!$B$11)+E99*(1-Inputs!$B$12)</f>
        <v>55.0567398432129</v>
      </c>
      <c r="F100" s="37" t="n">
        <f aca="false">MIN(SUM(B100:E100),Inputs!$B$7)/Inputs!$B$7</f>
        <v>0.895038348656837</v>
      </c>
      <c r="G100" s="28" t="n">
        <f aca="false">(Result!$B$29+(F100*Inputs!$B$7-Residents!$B$189)*Occupancy!$B$11)/12</f>
        <v>127299.165919867</v>
      </c>
      <c r="H100" s="28" t="n">
        <f aca="false">MAX(0,-G100)</f>
        <v>0</v>
      </c>
      <c r="I100" s="28" t="n">
        <f aca="false">IF(G100&lt;$G$5*0.995,$G$5-G100,0)</f>
        <v>0</v>
      </c>
    </row>
    <row r="101" customFormat="false" ht="15" hidden="false" customHeight="false" outlineLevel="0" collapsed="false">
      <c r="A101" s="39" t="n">
        <v>93</v>
      </c>
      <c r="B101" s="31" t="n">
        <f aca="false">IF(SUM(C101:E101)&lt;Inputs!$B$7,MIN(Inputs!$B$8+(Inputs!$B$9-Inputs!$B$8)*MAX(0,($G$4-SUM(C101:E101)/Inputs!$B$7)/$G$4),Inputs!$B$7-SUM(C101:E101)),0)</f>
        <v>2.79097092268353</v>
      </c>
      <c r="C101" s="31" t="n">
        <f aca="false">B100*(1-Inputs!$B$10)</f>
        <v>2.47013755917312</v>
      </c>
      <c r="D101" s="31" t="n">
        <f aca="false">C100*(1-Inputs!$B$11)</f>
        <v>2.33441098156542</v>
      </c>
      <c r="E101" s="31" t="n">
        <f aca="false">D100*(1-Inputs!$B$11)+E100*(1-Inputs!$B$12)</f>
        <v>55.0606223673952</v>
      </c>
      <c r="F101" s="37" t="n">
        <f aca="false">MIN(SUM(B101:E101),Inputs!$B$7)/Inputs!$B$7</f>
        <v>0.895087740440246</v>
      </c>
      <c r="G101" s="28" t="n">
        <f aca="false">(Result!$B$29+(F101*Inputs!$B$7-Residents!$B$189)*Occupancy!$B$11)/12</f>
        <v>127312.157974319</v>
      </c>
      <c r="H101" s="28" t="n">
        <f aca="false">MAX(0,-G101)</f>
        <v>0</v>
      </c>
      <c r="I101" s="28" t="n">
        <f aca="false">IF(G101&lt;$G$5*0.995,$G$5-G101,0)</f>
        <v>0</v>
      </c>
    </row>
    <row r="102" customFormat="false" ht="15" hidden="false" customHeight="false" outlineLevel="0" collapsed="false">
      <c r="A102" s="39" t="n">
        <v>94</v>
      </c>
      <c r="B102" s="31" t="n">
        <f aca="false">IF(SUM(C102:E102)&lt;Inputs!$B$7,MIN(Inputs!$B$8+(Inputs!$B$9-Inputs!$B$8)*MAX(0,($G$4-SUM(C102:E102)/Inputs!$B$7)/$G$4),Inputs!$B$7-SUM(C102:E102)),0)</f>
        <v>2.79083675134852</v>
      </c>
      <c r="C102" s="31" t="n">
        <f aca="false">B101*(1-Inputs!$B$10)</f>
        <v>2.47000926657493</v>
      </c>
      <c r="D102" s="31" t="n">
        <f aca="false">C101*(1-Inputs!$B$11)</f>
        <v>2.3342799934186</v>
      </c>
      <c r="E102" s="31" t="n">
        <f aca="false">D101*(1-Inputs!$B$11)+E101*(1-Inputs!$B$12)</f>
        <v>55.0642158502787</v>
      </c>
      <c r="F102" s="37" t="n">
        <f aca="false">MIN(SUM(B102:E102),Inputs!$B$7)/Inputs!$B$7</f>
        <v>0.895133455166011</v>
      </c>
      <c r="G102" s="28" t="n">
        <f aca="false">(Result!$B$29+(F102*Inputs!$B$7-Residents!$B$189)*Occupancy!$B$11)/12</f>
        <v>127324.18281257</v>
      </c>
      <c r="H102" s="28" t="n">
        <f aca="false">MAX(0,-G102)</f>
        <v>0</v>
      </c>
      <c r="I102" s="28" t="n">
        <f aca="false">IF(G102&lt;$G$5*0.995,$G$5-G102,0)</f>
        <v>0</v>
      </c>
    </row>
    <row r="103" customFormat="false" ht="15" hidden="false" customHeight="false" outlineLevel="0" collapsed="false">
      <c r="A103" s="39" t="n">
        <v>95</v>
      </c>
      <c r="B103" s="31" t="n">
        <f aca="false">IF(SUM(C103:E103)&lt;Inputs!$B$7,MIN(Inputs!$B$8+(Inputs!$B$9-Inputs!$B$8)*MAX(0,($G$4-SUM(C103:E103)/Inputs!$B$7)/$G$4),Inputs!$B$7-SUM(C103:E103)),0)</f>
        <v>2.79071256863306</v>
      </c>
      <c r="C103" s="31" t="n">
        <f aca="false">B102*(1-Inputs!$B$10)</f>
        <v>2.46989052494344</v>
      </c>
      <c r="D103" s="31" t="n">
        <f aca="false">C102*(1-Inputs!$B$11)</f>
        <v>2.33415875691331</v>
      </c>
      <c r="E103" s="31" t="n">
        <f aca="false">D102*(1-Inputs!$B$11)+E102*(1-Inputs!$B$12)</f>
        <v>55.0675418100481</v>
      </c>
      <c r="F103" s="37" t="n">
        <f aca="false">MIN(SUM(B103:E103),Inputs!$B$7)/Inputs!$B$7</f>
        <v>0.895175766579113</v>
      </c>
      <c r="G103" s="28" t="n">
        <f aca="false">(Result!$B$29+(F103*Inputs!$B$7-Residents!$B$189)*Occupancy!$B$11)/12</f>
        <v>127335.31244072</v>
      </c>
      <c r="H103" s="28" t="n">
        <f aca="false">MAX(0,-G103)</f>
        <v>0</v>
      </c>
      <c r="I103" s="28" t="n">
        <f aca="false">IF(G103&lt;$G$5*0.995,$G$5-G103,0)</f>
        <v>0</v>
      </c>
    </row>
    <row r="104" customFormat="false" ht="15" hidden="false" customHeight="false" outlineLevel="0" collapsed="false">
      <c r="A104" s="39" t="n">
        <v>96</v>
      </c>
      <c r="B104" s="31" t="n">
        <f aca="false">IF(SUM(C104:E104)&lt;Inputs!$B$7,MIN(Inputs!$B$8+(Inputs!$B$9-Inputs!$B$8)*MAX(0,($G$4-SUM(C104:E104)/Inputs!$B$7)/$G$4),Inputs!$B$7-SUM(C104:E104)),0)</f>
        <v>2.7905976309169</v>
      </c>
      <c r="C104" s="31" t="n">
        <f aca="false">B103*(1-Inputs!$B$10)</f>
        <v>2.46978062324026</v>
      </c>
      <c r="D104" s="31" t="n">
        <f aca="false">C103*(1-Inputs!$B$11)</f>
        <v>2.33404654607155</v>
      </c>
      <c r="E104" s="31" t="n">
        <f aca="false">D103*(1-Inputs!$B$11)+E103*(1-Inputs!$B$12)</f>
        <v>55.0706201629293</v>
      </c>
      <c r="F104" s="37" t="n">
        <f aca="false">MIN(SUM(B104:E104),Inputs!$B$7)/Inputs!$B$7</f>
        <v>0.895214928045114</v>
      </c>
      <c r="G104" s="28" t="n">
        <f aca="false">(Result!$B$29+(F104*Inputs!$B$7-Residents!$B$189)*Occupancy!$B$11)/12</f>
        <v>127345.613504249</v>
      </c>
      <c r="H104" s="28" t="n">
        <f aca="false">MAX(0,-G104)</f>
        <v>0</v>
      </c>
      <c r="I104" s="28" t="n">
        <f aca="false">IF(G104&lt;$G$5*0.995,$G$5-G104,0)</f>
        <v>0</v>
      </c>
    </row>
    <row r="105" customFormat="false" ht="15" hidden="false" customHeight="false" outlineLevel="0" collapsed="false">
      <c r="A105" s="39" t="n">
        <v>97</v>
      </c>
      <c r="B105" s="31" t="n">
        <f aca="false">IF(SUM(C105:E105)&lt;Inputs!$B$7,MIN(Inputs!$B$8+(Inputs!$B$9-Inputs!$B$8)*MAX(0,($G$4-SUM(C105:E105)/Inputs!$B$7)/$G$4),Inputs!$B$7-SUM(C105:E105)),0)</f>
        <v>2.79049124993991</v>
      </c>
      <c r="C105" s="31" t="n">
        <f aca="false">B104*(1-Inputs!$B$10)</f>
        <v>2.46967890336146</v>
      </c>
      <c r="D105" s="31" t="n">
        <f aca="false">C104*(1-Inputs!$B$11)</f>
        <v>2.33394268896204</v>
      </c>
      <c r="E105" s="31" t="n">
        <f aca="false">D104*(1-Inputs!$B$11)+E104*(1-Inputs!$B$12)</f>
        <v>55.0734693424497</v>
      </c>
      <c r="F105" s="37" t="n">
        <f aca="false">MIN(SUM(B105:E105),Inputs!$B$7)/Inputs!$B$7</f>
        <v>0.89525117406733</v>
      </c>
      <c r="G105" s="28" t="n">
        <f aca="false">(Result!$B$29+(F105*Inputs!$B$7-Residents!$B$189)*Occupancy!$B$11)/12</f>
        <v>127355.1476871</v>
      </c>
      <c r="H105" s="28" t="n">
        <f aca="false">MAX(0,-G105)</f>
        <v>0</v>
      </c>
      <c r="I105" s="28" t="n">
        <f aca="false">IF(G105&lt;$G$5*0.995,$G$5-G105,0)</f>
        <v>0</v>
      </c>
    </row>
    <row r="106" customFormat="false" ht="15" hidden="false" customHeight="false" outlineLevel="0" collapsed="false">
      <c r="A106" s="39" t="n">
        <v>98</v>
      </c>
      <c r="B106" s="31" t="n">
        <f aca="false">IF(SUM(C106:E106)&lt;Inputs!$B$7,MIN(Inputs!$B$8+(Inputs!$B$9-Inputs!$B$8)*MAX(0,($G$4-SUM(C106:E106)/Inputs!$B$7)/$G$4),Inputs!$B$7-SUM(C106:E106)),0)</f>
        <v>2.79039278868069</v>
      </c>
      <c r="C106" s="31" t="n">
        <f aca="false">B105*(1-Inputs!$B$10)</f>
        <v>2.46958475619682</v>
      </c>
      <c r="D106" s="31" t="n">
        <f aca="false">C105*(1-Inputs!$B$11)</f>
        <v>2.33384656367658</v>
      </c>
      <c r="E106" s="31" t="n">
        <f aca="false">D105*(1-Inputs!$B$11)+E105*(1-Inputs!$B$12)</f>
        <v>55.0761064098208</v>
      </c>
      <c r="F106" s="37" t="n">
        <f aca="false">MIN(SUM(B106:E106),Inputs!$B$7)/Inputs!$B$7</f>
        <v>0.89528472169107</v>
      </c>
      <c r="G106" s="28" t="n">
        <f aca="false">(Result!$B$29+(F106*Inputs!$B$7-Residents!$B$189)*Occupancy!$B$11)/12</f>
        <v>127363.972081044</v>
      </c>
      <c r="H106" s="28" t="n">
        <f aca="false">MAX(0,-G106)</f>
        <v>0</v>
      </c>
      <c r="I106" s="28" t="n">
        <f aca="false">IF(G106&lt;$G$5*0.995,$G$5-G106,0)</f>
        <v>0</v>
      </c>
    </row>
    <row r="107" customFormat="false" ht="15" hidden="false" customHeight="false" outlineLevel="0" collapsed="false">
      <c r="A107" s="39" t="n">
        <v>99</v>
      </c>
      <c r="B107" s="31" t="n">
        <f aca="false">IF(SUM(C107:E107)&lt;Inputs!$B$7,MIN(Inputs!$B$8+(Inputs!$B$9-Inputs!$B$8)*MAX(0,($G$4-SUM(C107:E107)/Inputs!$B$7)/$G$4),Inputs!$B$7-SUM(C107:E107)),0)</f>
        <v>2.79030165754201</v>
      </c>
      <c r="C107" s="31" t="n">
        <f aca="false">B106*(1-Inputs!$B$10)</f>
        <v>2.46949761798241</v>
      </c>
      <c r="D107" s="31" t="n">
        <f aca="false">C106*(1-Inputs!$B$11)</f>
        <v>2.333757594606</v>
      </c>
      <c r="E107" s="31" t="n">
        <f aca="false">D106*(1-Inputs!$B$11)+E106*(1-Inputs!$B$12)</f>
        <v>55.0785471561024</v>
      </c>
      <c r="F107" s="37" t="n">
        <f aca="false">MIN(SUM(B107:E107),Inputs!$B$7)/Inputs!$B$7</f>
        <v>0.895315771803326</v>
      </c>
      <c r="G107" s="28" t="n">
        <f aca="false">(Result!$B$29+(F107*Inputs!$B$7-Residents!$B$189)*Occupancy!$B$11)/12</f>
        <v>127372.139527557</v>
      </c>
      <c r="H107" s="28" t="n">
        <f aca="false">MAX(0,-G107)</f>
        <v>0</v>
      </c>
      <c r="I107" s="28" t="n">
        <f aca="false">IF(G107&lt;$G$5*0.995,$G$5-G107,0)</f>
        <v>0</v>
      </c>
    </row>
    <row r="108" customFormat="false" ht="15" hidden="false" customHeight="false" outlineLevel="0" collapsed="false">
      <c r="A108" s="39" t="n">
        <v>100</v>
      </c>
      <c r="B108" s="31" t="n">
        <f aca="false">IF(SUM(C108:E108)&lt;Inputs!$B$7,MIN(Inputs!$B$8+(Inputs!$B$9-Inputs!$B$8)*MAX(0,($G$4-SUM(C108:E108)/Inputs!$B$7)/$G$4),Inputs!$B$7-SUM(C108:E108)),0)</f>
        <v>2.79021731082023</v>
      </c>
      <c r="C108" s="31" t="n">
        <f aca="false">B107*(1-Inputs!$B$10)</f>
        <v>2.46941696692468</v>
      </c>
      <c r="D108" s="31" t="n">
        <f aca="false">C107*(1-Inputs!$B$11)</f>
        <v>2.33367524899338</v>
      </c>
      <c r="E108" s="31" t="n">
        <f aca="false">D107*(1-Inputs!$B$11)+E107*(1-Inputs!$B$12)</f>
        <v>55.0808061967609</v>
      </c>
      <c r="F108" s="37" t="n">
        <f aca="false">MIN(SUM(B108:E108),Inputs!$B$7)/Inputs!$B$7</f>
        <v>0.895344510335703</v>
      </c>
      <c r="G108" s="28" t="n">
        <f aca="false">(Result!$B$29+(F108*Inputs!$B$7-Residents!$B$189)*Occupancy!$B$11)/12</f>
        <v>127379.698934239</v>
      </c>
      <c r="H108" s="28" t="n">
        <f aca="false">MAX(0,-G108)</f>
        <v>0</v>
      </c>
      <c r="I108" s="28" t="n">
        <f aca="false">IF(G108&lt;$G$5*0.995,$G$5-G108,0)</f>
        <v>0</v>
      </c>
    </row>
    <row r="109" customFormat="false" ht="15" hidden="false" customHeight="false" outlineLevel="0" collapsed="false">
      <c r="A109" s="39" t="n">
        <v>101</v>
      </c>
      <c r="B109" s="31" t="n">
        <f aca="false">IF(SUM(C109:E109)&lt;Inputs!$B$7,MIN(Inputs!$B$8+(Inputs!$B$9-Inputs!$B$8)*MAX(0,($G$4-SUM(C109:E109)/Inputs!$B$7)/$G$4),Inputs!$B$7-SUM(C109:E109)),0)</f>
        <v>2.79013924343757</v>
      </c>
      <c r="C109" s="31" t="n">
        <f aca="false">B108*(1-Inputs!$B$10)</f>
        <v>2.4693423200759</v>
      </c>
      <c r="D109" s="31" t="n">
        <f aca="false">C108*(1-Inputs!$B$11)</f>
        <v>2.33359903374382</v>
      </c>
      <c r="E109" s="31" t="n">
        <f aca="false">D108*(1-Inputs!$B$11)+E108*(1-Inputs!$B$12)</f>
        <v>55.0828970591893</v>
      </c>
      <c r="F109" s="37" t="n">
        <f aca="false">MIN(SUM(B109:E109),Inputs!$B$7)/Inputs!$B$7</f>
        <v>0.895371109377808</v>
      </c>
      <c r="G109" s="28" t="n">
        <f aca="false">(Result!$B$29+(F109*Inputs!$B$7-Residents!$B$189)*Occupancy!$B$11)/12</f>
        <v>127386.695567678</v>
      </c>
      <c r="H109" s="28" t="n">
        <f aca="false">MAX(0,-G109)</f>
        <v>0</v>
      </c>
      <c r="I109" s="28" t="n">
        <f aca="false">IF(G109&lt;$G$5*0.995,$G$5-G109,0)</f>
        <v>0</v>
      </c>
    </row>
    <row r="110" customFormat="false" ht="15" hidden="false" customHeight="false" outlineLevel="0" collapsed="false">
      <c r="A110" s="39" t="n">
        <v>102</v>
      </c>
      <c r="B110" s="31" t="n">
        <f aca="false">IF(SUM(C110:E110)&lt;Inputs!$B$7,MIN(Inputs!$B$8+(Inputs!$B$9-Inputs!$B$8)*MAX(0,($G$4-SUM(C110:E110)/Inputs!$B$7)/$G$4),Inputs!$B$7-SUM(C110:E110)),0)</f>
        <v>2.79006698791767</v>
      </c>
      <c r="C110" s="31" t="n">
        <f aca="false">B109*(1-Inputs!$B$10)</f>
        <v>2.46927323044225</v>
      </c>
      <c r="D110" s="31" t="n">
        <f aca="false">C109*(1-Inputs!$B$11)</f>
        <v>2.33352849247173</v>
      </c>
      <c r="E110" s="31" t="n">
        <f aca="false">D109*(1-Inputs!$B$11)+E109*(1-Inputs!$B$12)</f>
        <v>55.0848322637096</v>
      </c>
      <c r="F110" s="37" t="n">
        <f aca="false">MIN(SUM(B110:E110),Inputs!$B$7)/Inputs!$B$7</f>
        <v>0.895395728207732</v>
      </c>
      <c r="G110" s="28" t="n">
        <f aca="false">(Result!$B$29+(F110*Inputs!$B$7-Residents!$B$189)*Occupancy!$B$11)/12</f>
        <v>127393.171324511</v>
      </c>
      <c r="H110" s="28" t="n">
        <f aca="false">MAX(0,-G110)</f>
        <v>0</v>
      </c>
      <c r="I110" s="28" t="n">
        <f aca="false">IF(G110&lt;$G$5*0.995,$G$5-G110,0)</f>
        <v>0</v>
      </c>
    </row>
    <row r="111" customFormat="false" ht="15" hidden="false" customHeight="false" outlineLevel="0" collapsed="false">
      <c r="A111" s="39" t="n">
        <v>103</v>
      </c>
      <c r="B111" s="31" t="n">
        <f aca="false">IF(SUM(C111:E111)&lt;Inputs!$B$7,MIN(Inputs!$B$8+(Inputs!$B$9-Inputs!$B$8)*MAX(0,($G$4-SUM(C111:E111)/Inputs!$B$7)/$G$4),Inputs!$B$7-SUM(C111:E111)),0)</f>
        <v>2.79000011158624</v>
      </c>
      <c r="C111" s="31" t="n">
        <f aca="false">B110*(1-Inputs!$B$10)</f>
        <v>2.46920928430714</v>
      </c>
      <c r="D111" s="31" t="n">
        <f aca="false">C110*(1-Inputs!$B$11)</f>
        <v>2.33346320276793</v>
      </c>
      <c r="E111" s="31" t="n">
        <f aca="false">D110*(1-Inputs!$B$11)+E110*(1-Inputs!$B$12)</f>
        <v>55.086623398547</v>
      </c>
      <c r="F111" s="37" t="n">
        <f aca="false">MIN(SUM(B111:E111),Inputs!$B$7)/Inputs!$B$7</f>
        <v>0.895418514245833</v>
      </c>
      <c r="G111" s="28" t="n">
        <f aca="false">(Result!$B$29+(F111*Inputs!$B$7-Residents!$B$189)*Occupancy!$B$11)/12</f>
        <v>127399.164982309</v>
      </c>
      <c r="H111" s="28" t="n">
        <f aca="false">MAX(0,-G111)</f>
        <v>0</v>
      </c>
      <c r="I111" s="28" t="n">
        <f aca="false">IF(G111&lt;$G$5*0.995,$G$5-G111,0)</f>
        <v>0</v>
      </c>
    </row>
    <row r="112" customFormat="false" ht="15" hidden="false" customHeight="false" outlineLevel="0" collapsed="false">
      <c r="A112" s="39" t="n">
        <v>104</v>
      </c>
      <c r="B112" s="31" t="n">
        <f aca="false">IF(SUM(C112:E112)&lt;Inputs!$B$7,MIN(Inputs!$B$8+(Inputs!$B$9-Inputs!$B$8)*MAX(0,($G$4-SUM(C112:E112)/Inputs!$B$7)/$G$4),Inputs!$B$7-SUM(C112:E112)),0)</f>
        <v>2.79</v>
      </c>
      <c r="C112" s="31" t="n">
        <f aca="false">B111*(1-Inputs!$B$10)</f>
        <v>2.46915009875382</v>
      </c>
      <c r="D112" s="31" t="n">
        <f aca="false">C111*(1-Inputs!$B$11)</f>
        <v>2.33340277367025</v>
      </c>
      <c r="E112" s="31" t="n">
        <f aca="false">D111*(1-Inputs!$B$11)+E111*(1-Inputs!$B$12)</f>
        <v>55.0882811892208</v>
      </c>
      <c r="F112" s="37" t="n">
        <f aca="false">MIN(SUM(B112:E112),Inputs!$B$7)/Inputs!$B$7</f>
        <v>0.895440486594927</v>
      </c>
      <c r="G112" s="28" t="n">
        <f aca="false">(Result!$B$29+(F112*Inputs!$B$7-Residents!$B$189)*Occupancy!$B$11)/12</f>
        <v>127404.944606695</v>
      </c>
      <c r="H112" s="28" t="n">
        <f aca="false">MAX(0,-G112)</f>
        <v>0</v>
      </c>
      <c r="I112" s="28" t="n">
        <f aca="false">IF(G112&lt;$G$5*0.995,$G$5-G112,0)</f>
        <v>0</v>
      </c>
    </row>
    <row r="113" customFormat="false" ht="15" hidden="false" customHeight="false" outlineLevel="0" collapsed="false">
      <c r="A113" s="39" t="n">
        <v>105</v>
      </c>
      <c r="B113" s="31" t="n">
        <f aca="false">IF(SUM(C113:E113)&lt;Inputs!$B$7,MIN(Inputs!$B$8+(Inputs!$B$9-Inputs!$B$8)*MAX(0,($G$4-SUM(C113:E113)/Inputs!$B$7)/$G$4),Inputs!$B$7-SUM(C113:E113)),0)</f>
        <v>2.79</v>
      </c>
      <c r="C113" s="31" t="n">
        <f aca="false">B112*(1-Inputs!$B$10)</f>
        <v>2.46915</v>
      </c>
      <c r="D113" s="31" t="n">
        <f aca="false">C112*(1-Inputs!$B$11)</f>
        <v>2.33334684332236</v>
      </c>
      <c r="E113" s="31" t="n">
        <f aca="false">D112*(1-Inputs!$B$11)+E112*(1-Inputs!$B$12)</f>
        <v>55.0898155627704</v>
      </c>
      <c r="F113" s="37" t="n">
        <f aca="false">MIN(SUM(B113:E113),Inputs!$B$7)/Inputs!$B$7</f>
        <v>0.895461605801324</v>
      </c>
      <c r="G113" s="28" t="n">
        <f aca="false">(Result!$B$29+(F113*Inputs!$B$7-Residents!$B$189)*Occupancy!$B$11)/12</f>
        <v>127410.499819741</v>
      </c>
      <c r="H113" s="28" t="n">
        <f aca="false">MAX(0,-G113)</f>
        <v>0</v>
      </c>
      <c r="I113" s="28" t="n">
        <f aca="false">IF(G113&lt;$G$5*0.995,$G$5-G113,0)</f>
        <v>0</v>
      </c>
    </row>
    <row r="114" customFormat="false" ht="15" hidden="false" customHeight="false" outlineLevel="0" collapsed="false">
      <c r="A114" s="39" t="n">
        <v>106</v>
      </c>
      <c r="B114" s="31" t="n">
        <f aca="false">IF(SUM(C114:E114)&lt;Inputs!$B$7,MIN(Inputs!$B$8+(Inputs!$B$9-Inputs!$B$8)*MAX(0,($G$4-SUM(C114:E114)/Inputs!$B$7)/$G$4),Inputs!$B$7-SUM(C114:E114)),0)</f>
        <v>2.79</v>
      </c>
      <c r="C114" s="31" t="n">
        <f aca="false">B113*(1-Inputs!$B$10)</f>
        <v>2.46915</v>
      </c>
      <c r="D114" s="31" t="n">
        <f aca="false">C113*(1-Inputs!$B$11)</f>
        <v>2.33334675</v>
      </c>
      <c r="E114" s="31" t="n">
        <f aca="false">D113*(1-Inputs!$B$11)+E113*(1-Inputs!$B$12)</f>
        <v>55.0912357071992</v>
      </c>
      <c r="F114" s="37" t="n">
        <f aca="false">MIN(SUM(B114:E114),Inputs!$B$7)/Inputs!$B$7</f>
        <v>0.895481892245702</v>
      </c>
      <c r="G114" s="28" t="n">
        <f aca="false">(Result!$B$29+(F114*Inputs!$B$7-Residents!$B$189)*Occupancy!$B$11)/12</f>
        <v>127415.835982394</v>
      </c>
      <c r="H114" s="28" t="n">
        <f aca="false">MAX(0,-G114)</f>
        <v>0</v>
      </c>
      <c r="I114" s="28" t="n">
        <f aca="false">IF(G114&lt;$G$5*0.995,$G$5-G114,0)</f>
        <v>0</v>
      </c>
    </row>
    <row r="115" customFormat="false" ht="15" hidden="false" customHeight="false" outlineLevel="0" collapsed="false">
      <c r="A115" s="39" t="n">
        <v>107</v>
      </c>
      <c r="B115" s="31" t="n">
        <f aca="false">IF(SUM(C115:E115)&lt;Inputs!$B$7,MIN(Inputs!$B$8+(Inputs!$B$9-Inputs!$B$8)*MAX(0,($G$4-SUM(C115:E115)/Inputs!$B$7)/$G$4),Inputs!$B$7-SUM(C115:E115)),0)</f>
        <v>2.79</v>
      </c>
      <c r="C115" s="31" t="n">
        <f aca="false">B114*(1-Inputs!$B$10)</f>
        <v>2.46915</v>
      </c>
      <c r="D115" s="31" t="n">
        <f aca="false">C114*(1-Inputs!$B$11)</f>
        <v>2.33334675</v>
      </c>
      <c r="E115" s="31" t="n">
        <f aca="false">D114*(1-Inputs!$B$11)+E114*(1-Inputs!$B$12)</f>
        <v>55.0925989576612</v>
      </c>
      <c r="F115" s="37" t="n">
        <f aca="false">MIN(SUM(B115:E115),Inputs!$B$7)/Inputs!$B$7</f>
        <v>0.895501367252303</v>
      </c>
      <c r="G115" s="28" t="n">
        <f aca="false">(Result!$B$29+(F115*Inputs!$B$7-Residents!$B$189)*Occupancy!$B$11)/12</f>
        <v>127420.958703801</v>
      </c>
      <c r="H115" s="28" t="n">
        <f aca="false">MAX(0,-G115)</f>
        <v>0</v>
      </c>
      <c r="I115" s="28" t="n">
        <f aca="false">IF(G115&lt;$G$5*0.995,$G$5-G115,0)</f>
        <v>0</v>
      </c>
    </row>
    <row r="116" customFormat="false" ht="15" hidden="false" customHeight="false" outlineLevel="0" collapsed="false">
      <c r="A116" s="39" t="n">
        <v>108</v>
      </c>
      <c r="B116" s="31" t="n">
        <f aca="false">IF(SUM(C116:E116)&lt;Inputs!$B$7,MIN(Inputs!$B$8+(Inputs!$B$9-Inputs!$B$8)*MAX(0,($G$4-SUM(C116:E116)/Inputs!$B$7)/$G$4),Inputs!$B$7-SUM(C116:E116)),0)</f>
        <v>2.79</v>
      </c>
      <c r="C116" s="31" t="n">
        <f aca="false">B115*(1-Inputs!$B$10)</f>
        <v>2.46915</v>
      </c>
      <c r="D116" s="31" t="n">
        <f aca="false">C115*(1-Inputs!$B$11)</f>
        <v>2.33334675</v>
      </c>
      <c r="E116" s="31" t="n">
        <f aca="false">D115*(1-Inputs!$B$11)+E115*(1-Inputs!$B$12)</f>
        <v>55.0939076781048</v>
      </c>
      <c r="F116" s="37" t="n">
        <f aca="false">MIN(SUM(B116:E116),Inputs!$B$7)/Inputs!$B$7</f>
        <v>0.895520063258639</v>
      </c>
      <c r="G116" s="28" t="n">
        <f aca="false">(Result!$B$29+(F116*Inputs!$B$7-Residents!$B$189)*Occupancy!$B$11)/12</f>
        <v>127425.876516352</v>
      </c>
      <c r="H116" s="28" t="n">
        <f aca="false">MAX(0,-G116)</f>
        <v>0</v>
      </c>
      <c r="I116" s="28" t="n">
        <f aca="false">IF(G116&lt;$G$5*0.995,$G$5-G116,0)</f>
        <v>0</v>
      </c>
    </row>
    <row r="117" customFormat="false" ht="15" hidden="false" customHeight="false" outlineLevel="0" collapsed="false">
      <c r="A117" s="39" t="n">
        <v>109</v>
      </c>
      <c r="B117" s="31" t="n">
        <f aca="false">IF(SUM(C117:E117)&lt;Inputs!$B$7,MIN(Inputs!$B$8+(Inputs!$B$9-Inputs!$B$8)*MAX(0,($G$4-SUM(C117:E117)/Inputs!$B$7)/$G$4),Inputs!$B$7-SUM(C117:E117)),0)</f>
        <v>2.79</v>
      </c>
      <c r="C117" s="31" t="n">
        <f aca="false">B116*(1-Inputs!$B$10)</f>
        <v>2.46915</v>
      </c>
      <c r="D117" s="31" t="n">
        <f aca="false">C116*(1-Inputs!$B$11)</f>
        <v>2.33334675</v>
      </c>
      <c r="E117" s="31" t="n">
        <f aca="false">D116*(1-Inputs!$B$11)+E116*(1-Inputs!$B$12)</f>
        <v>55.0951640497306</v>
      </c>
      <c r="F117" s="37" t="n">
        <f aca="false">MIN(SUM(B117:E117),Inputs!$B$7)/Inputs!$B$7</f>
        <v>0.895538011424722</v>
      </c>
      <c r="G117" s="28" t="n">
        <f aca="false">(Result!$B$29+(F117*Inputs!$B$7-Residents!$B$189)*Occupancy!$B$11)/12</f>
        <v>127430.597616401</v>
      </c>
      <c r="H117" s="28" t="n">
        <f aca="false">MAX(0,-G117)</f>
        <v>0</v>
      </c>
      <c r="I117" s="28" t="n">
        <f aca="false">IF(G117&lt;$G$5*0.995,$G$5-G117,0)</f>
        <v>0</v>
      </c>
    </row>
    <row r="118" customFormat="false" ht="15" hidden="false" customHeight="false" outlineLevel="0" collapsed="false">
      <c r="A118" s="39" t="n">
        <v>110</v>
      </c>
      <c r="B118" s="31" t="n">
        <f aca="false">IF(SUM(C118:E118)&lt;Inputs!$B$7,MIN(Inputs!$B$8+(Inputs!$B$9-Inputs!$B$8)*MAX(0,($G$4-SUM(C118:E118)/Inputs!$B$7)/$G$4),Inputs!$B$7-SUM(C118:E118)),0)</f>
        <v>2.79</v>
      </c>
      <c r="C118" s="31" t="n">
        <f aca="false">B117*(1-Inputs!$B$10)</f>
        <v>2.46915</v>
      </c>
      <c r="D118" s="31" t="n">
        <f aca="false">C117*(1-Inputs!$B$11)</f>
        <v>2.33334675</v>
      </c>
      <c r="E118" s="31" t="n">
        <f aca="false">D117*(1-Inputs!$B$11)+E117*(1-Inputs!$B$12)</f>
        <v>55.0963701664913</v>
      </c>
      <c r="F118" s="37" t="n">
        <f aca="false">MIN(SUM(B118:E118),Inputs!$B$7)/Inputs!$B$7</f>
        <v>0.895555241664162</v>
      </c>
      <c r="G118" s="28" t="n">
        <f aca="false">(Result!$B$29+(F118*Inputs!$B$7-Residents!$B$189)*Occupancy!$B$11)/12</f>
        <v>127435.129872449</v>
      </c>
      <c r="H118" s="28" t="n">
        <f aca="false">MAX(0,-G118)</f>
        <v>0</v>
      </c>
      <c r="I118" s="28" t="n">
        <f aca="false">IF(G118&lt;$G$5*0.995,$G$5-G118,0)</f>
        <v>0</v>
      </c>
    </row>
    <row r="119" customFormat="false" ht="15" hidden="false" customHeight="false" outlineLevel="0" collapsed="false">
      <c r="A119" s="39" t="n">
        <v>111</v>
      </c>
      <c r="B119" s="31" t="n">
        <f aca="false">IF(SUM(C119:E119)&lt;Inputs!$B$7,MIN(Inputs!$B$8+(Inputs!$B$9-Inputs!$B$8)*MAX(0,($G$4-SUM(C119:E119)/Inputs!$B$7)/$G$4),Inputs!$B$7-SUM(C119:E119)),0)</f>
        <v>2.79</v>
      </c>
      <c r="C119" s="31" t="n">
        <f aca="false">B118*(1-Inputs!$B$10)</f>
        <v>2.46915</v>
      </c>
      <c r="D119" s="31" t="n">
        <f aca="false">C118*(1-Inputs!$B$11)</f>
        <v>2.33334675</v>
      </c>
      <c r="E119" s="31" t="n">
        <f aca="false">D118*(1-Inputs!$B$11)+E118*(1-Inputs!$B$12)</f>
        <v>55.0975280385817</v>
      </c>
      <c r="F119" s="37" t="n">
        <f aca="false">MIN(SUM(B119:E119),Inputs!$B$7)/Inputs!$B$7</f>
        <v>0.895571782694024</v>
      </c>
      <c r="G119" s="28" t="n">
        <f aca="false">(Result!$B$29+(F119*Inputs!$B$7-Residents!$B$189)*Occupancy!$B$11)/12</f>
        <v>127439.480838254</v>
      </c>
      <c r="H119" s="28" t="n">
        <f aca="false">MAX(0,-G119)</f>
        <v>0</v>
      </c>
      <c r="I119" s="28" t="n">
        <f aca="false">IF(G119&lt;$G$5*0.995,$G$5-G119,0)</f>
        <v>0</v>
      </c>
    </row>
    <row r="120" customFormat="false" ht="15" hidden="false" customHeight="false" outlineLevel="0" collapsed="false">
      <c r="A120" s="39" t="n">
        <v>112</v>
      </c>
      <c r="B120" s="31" t="n">
        <f aca="false">IF(SUM(C120:E120)&lt;Inputs!$B$7,MIN(Inputs!$B$8+(Inputs!$B$9-Inputs!$B$8)*MAX(0,($G$4-SUM(C120:E120)/Inputs!$B$7)/$G$4),Inputs!$B$7-SUM(C120:E120)),0)</f>
        <v>2.79</v>
      </c>
      <c r="C120" s="31" t="n">
        <f aca="false">B119*(1-Inputs!$B$10)</f>
        <v>2.46915</v>
      </c>
      <c r="D120" s="31" t="n">
        <f aca="false">C119*(1-Inputs!$B$11)</f>
        <v>2.33334675</v>
      </c>
      <c r="E120" s="31" t="n">
        <f aca="false">D119*(1-Inputs!$B$11)+E119*(1-Inputs!$B$12)</f>
        <v>55.0986395957884</v>
      </c>
      <c r="F120" s="37" t="n">
        <f aca="false">MIN(SUM(B120:E120),Inputs!$B$7)/Inputs!$B$7</f>
        <v>0.895587662082692</v>
      </c>
      <c r="G120" s="28" t="n">
        <f aca="false">(Result!$B$29+(F120*Inputs!$B$7-Residents!$B$189)*Occupancy!$B$11)/12</f>
        <v>127443.657765427</v>
      </c>
      <c r="H120" s="28" t="n">
        <f aca="false">MAX(0,-G120)</f>
        <v>0</v>
      </c>
      <c r="I120" s="28" t="n">
        <f aca="false">IF(G120&lt;$G$5*0.995,$G$5-G120,0)</f>
        <v>0</v>
      </c>
    </row>
    <row r="121" customFormat="false" ht="15" hidden="false" customHeight="false" outlineLevel="0" collapsed="false">
      <c r="A121" s="39" t="n">
        <v>113</v>
      </c>
      <c r="B121" s="31" t="n">
        <f aca="false">IF(SUM(C121:E121)&lt;Inputs!$B$7,MIN(Inputs!$B$8+(Inputs!$B$9-Inputs!$B$8)*MAX(0,($G$4-SUM(C121:E121)/Inputs!$B$7)/$G$4),Inputs!$B$7-SUM(C121:E121)),0)</f>
        <v>2.79</v>
      </c>
      <c r="C121" s="31" t="n">
        <f aca="false">B120*(1-Inputs!$B$10)</f>
        <v>2.46915</v>
      </c>
      <c r="D121" s="31" t="n">
        <f aca="false">C120*(1-Inputs!$B$11)</f>
        <v>2.33334675</v>
      </c>
      <c r="E121" s="31" t="n">
        <f aca="false">D120*(1-Inputs!$B$11)+E120*(1-Inputs!$B$12)</f>
        <v>55.0997066907069</v>
      </c>
      <c r="F121" s="37" t="n">
        <f aca="false">MIN(SUM(B121:E121),Inputs!$B$7)/Inputs!$B$7</f>
        <v>0.895602906295813</v>
      </c>
      <c r="G121" s="28" t="n">
        <f aca="false">(Result!$B$29+(F121*Inputs!$B$7-Residents!$B$189)*Occupancy!$B$11)/12</f>
        <v>127447.667615513</v>
      </c>
      <c r="H121" s="28" t="n">
        <f aca="false">MAX(0,-G121)</f>
        <v>0</v>
      </c>
      <c r="I121" s="28" t="n">
        <f aca="false">IF(G121&lt;$G$5*0.995,$G$5-G121,0)</f>
        <v>0</v>
      </c>
    </row>
    <row r="122" customFormat="false" ht="15" hidden="false" customHeight="false" outlineLevel="0" collapsed="false">
      <c r="A122" s="39" t="n">
        <v>114</v>
      </c>
      <c r="B122" s="31" t="n">
        <f aca="false">IF(SUM(C122:E122)&lt;Inputs!$B$7,MIN(Inputs!$B$8+(Inputs!$B$9-Inputs!$B$8)*MAX(0,($G$4-SUM(C122:E122)/Inputs!$B$7)/$G$4),Inputs!$B$7-SUM(C122:E122)),0)</f>
        <v>2.79</v>
      </c>
      <c r="C122" s="31" t="n">
        <f aca="false">B121*(1-Inputs!$B$10)</f>
        <v>2.46915</v>
      </c>
      <c r="D122" s="31" t="n">
        <f aca="false">C121*(1-Inputs!$B$11)</f>
        <v>2.33334675</v>
      </c>
      <c r="E122" s="31" t="n">
        <f aca="false">D121*(1-Inputs!$B$11)+E121*(1-Inputs!$B$12)</f>
        <v>55.1007311018286</v>
      </c>
      <c r="F122" s="37" t="n">
        <f aca="false">MIN(SUM(B122:E122),Inputs!$B$7)/Inputs!$B$7</f>
        <v>0.895617540740409</v>
      </c>
      <c r="G122" s="28" t="n">
        <f aca="false">(Result!$B$29+(F122*Inputs!$B$7-Residents!$B$189)*Occupancy!$B$11)/12</f>
        <v>127451.517071595</v>
      </c>
      <c r="H122" s="28" t="n">
        <f aca="false">MAX(0,-G122)</f>
        <v>0</v>
      </c>
      <c r="I122" s="28" t="n">
        <f aca="false">IF(G122&lt;$G$5*0.995,$G$5-G122,0)</f>
        <v>0</v>
      </c>
    </row>
    <row r="123" customFormat="false" ht="15" hidden="false" customHeight="false" outlineLevel="0" collapsed="false">
      <c r="A123" s="39" t="n">
        <v>115</v>
      </c>
      <c r="B123" s="31" t="n">
        <f aca="false">IF(SUM(C123:E123)&lt;Inputs!$B$7,MIN(Inputs!$B$8+(Inputs!$B$9-Inputs!$B$8)*MAX(0,($G$4-SUM(C123:E123)/Inputs!$B$7)/$G$4),Inputs!$B$7-SUM(C123:E123)),0)</f>
        <v>2.79</v>
      </c>
      <c r="C123" s="31" t="n">
        <f aca="false">B122*(1-Inputs!$B$10)</f>
        <v>2.46915</v>
      </c>
      <c r="D123" s="31" t="n">
        <f aca="false">C122*(1-Inputs!$B$11)</f>
        <v>2.33334675</v>
      </c>
      <c r="E123" s="31" t="n">
        <f aca="false">D122*(1-Inputs!$B$11)+E122*(1-Inputs!$B$12)</f>
        <v>55.1017145365055</v>
      </c>
      <c r="F123" s="37" t="n">
        <f aca="false">MIN(SUM(B123:E123),Inputs!$B$7)/Inputs!$B$7</f>
        <v>0.895631589807221</v>
      </c>
      <c r="G123" s="28" t="n">
        <f aca="false">(Result!$B$29+(F123*Inputs!$B$7-Residents!$B$189)*Occupancy!$B$11)/12</f>
        <v>127455.212549435</v>
      </c>
      <c r="H123" s="28" t="n">
        <f aca="false">MAX(0,-G123)</f>
        <v>0</v>
      </c>
      <c r="I123" s="28" t="n">
        <f aca="false">IF(G123&lt;$G$5*0.995,$G$5-G123,0)</f>
        <v>0</v>
      </c>
    </row>
    <row r="124" customFormat="false" ht="15" hidden="false" customHeight="false" outlineLevel="0" collapsed="false">
      <c r="A124" s="39" t="n">
        <v>116</v>
      </c>
      <c r="B124" s="31" t="n">
        <f aca="false">IF(SUM(C124:E124)&lt;Inputs!$B$7,MIN(Inputs!$B$8+(Inputs!$B$9-Inputs!$B$8)*MAX(0,($G$4-SUM(C124:E124)/Inputs!$B$7)/$G$4),Inputs!$B$7-SUM(C124:E124)),0)</f>
        <v>2.79</v>
      </c>
      <c r="C124" s="31" t="n">
        <f aca="false">B123*(1-Inputs!$B$10)</f>
        <v>2.46915</v>
      </c>
      <c r="D124" s="31" t="n">
        <f aca="false">C123*(1-Inputs!$B$11)</f>
        <v>2.33334675</v>
      </c>
      <c r="E124" s="31" t="n">
        <f aca="false">D123*(1-Inputs!$B$11)+E123*(1-Inputs!$B$12)</f>
        <v>55.1026586337952</v>
      </c>
      <c r="F124" s="37" t="n">
        <f aca="false">MIN(SUM(B124:E124),Inputs!$B$7)/Inputs!$B$7</f>
        <v>0.895645076911361</v>
      </c>
      <c r="G124" s="28" t="n">
        <f aca="false">(Result!$B$29+(F124*Inputs!$B$7-Residents!$B$189)*Occupancy!$B$11)/12</f>
        <v>127458.760208161</v>
      </c>
      <c r="H124" s="28" t="n">
        <f aca="false">MAX(0,-G124)</f>
        <v>0</v>
      </c>
      <c r="I124" s="28" t="n">
        <f aca="false">IF(G124&lt;$G$5*0.995,$G$5-G124,0)</f>
        <v>0</v>
      </c>
    </row>
    <row r="125" customFormat="false" ht="15" hidden="false" customHeight="false" outlineLevel="0" collapsed="false">
      <c r="A125" s="39" t="n">
        <v>117</v>
      </c>
      <c r="B125" s="31" t="n">
        <f aca="false">IF(SUM(C125:E125)&lt;Inputs!$B$7,MIN(Inputs!$B$8+(Inputs!$B$9-Inputs!$B$8)*MAX(0,($G$4-SUM(C125:E125)/Inputs!$B$7)/$G$4),Inputs!$B$7-SUM(C125:E125)),0)</f>
        <v>2.79</v>
      </c>
      <c r="C125" s="31" t="n">
        <f aca="false">B124*(1-Inputs!$B$10)</f>
        <v>2.46915</v>
      </c>
      <c r="D125" s="31" t="n">
        <f aca="false">C124*(1-Inputs!$B$11)</f>
        <v>2.33334675</v>
      </c>
      <c r="E125" s="31" t="n">
        <f aca="false">D124*(1-Inputs!$B$11)+E124*(1-Inputs!$B$12)</f>
        <v>55.1035649671934</v>
      </c>
      <c r="F125" s="37" t="n">
        <f aca="false">MIN(SUM(B125:E125),Inputs!$B$7)/Inputs!$B$7</f>
        <v>0.895658024531335</v>
      </c>
      <c r="G125" s="28" t="n">
        <f aca="false">(Result!$B$29+(F125*Inputs!$B$7-Residents!$B$189)*Occupancy!$B$11)/12</f>
        <v>127462.165960537</v>
      </c>
      <c r="H125" s="28" t="n">
        <f aca="false">MAX(0,-G125)</f>
        <v>0</v>
      </c>
      <c r="I125" s="28" t="n">
        <f aca="false">IF(G125&lt;$G$5*0.995,$G$5-G125,0)</f>
        <v>0</v>
      </c>
    </row>
    <row r="126" customFormat="false" ht="15" hidden="false" customHeight="false" outlineLevel="0" collapsed="false">
      <c r="A126" s="39" t="n">
        <v>118</v>
      </c>
      <c r="B126" s="31" t="n">
        <f aca="false">IF(SUM(C126:E126)&lt;Inputs!$B$7,MIN(Inputs!$B$8+(Inputs!$B$9-Inputs!$B$8)*MAX(0,($G$4-SUM(C126:E126)/Inputs!$B$7)/$G$4),Inputs!$B$7-SUM(C126:E126)),0)</f>
        <v>2.79</v>
      </c>
      <c r="C126" s="31" t="n">
        <f aca="false">B125*(1-Inputs!$B$10)</f>
        <v>2.46915</v>
      </c>
      <c r="D126" s="31" t="n">
        <f aca="false">C125*(1-Inputs!$B$11)</f>
        <v>2.33334675</v>
      </c>
      <c r="E126" s="31" t="n">
        <f aca="false">D125*(1-Inputs!$B$11)+E125*(1-Inputs!$B$12)</f>
        <v>55.1044350472557</v>
      </c>
      <c r="F126" s="37" t="n">
        <f aca="false">MIN(SUM(B126:E126),Inputs!$B$7)/Inputs!$B$7</f>
        <v>0.89567045424651</v>
      </c>
      <c r="G126" s="28" t="n">
        <f aca="false">(Result!$B$29+(F126*Inputs!$B$7-Residents!$B$189)*Occupancy!$B$11)/12</f>
        <v>127465.435482819</v>
      </c>
      <c r="H126" s="28" t="n">
        <f aca="false">MAX(0,-G126)</f>
        <v>0</v>
      </c>
      <c r="I126" s="28" t="n">
        <f aca="false">IF(G126&lt;$G$5*0.995,$G$5-G126,0)</f>
        <v>0</v>
      </c>
    </row>
    <row r="127" customFormat="false" ht="15" hidden="false" customHeight="false" outlineLevel="0" collapsed="false">
      <c r="A127" s="39" t="n">
        <v>119</v>
      </c>
      <c r="B127" s="31" t="n">
        <f aca="false">IF(SUM(C127:E127)&lt;Inputs!$B$7,MIN(Inputs!$B$8+(Inputs!$B$9-Inputs!$B$8)*MAX(0,($G$4-SUM(C127:E127)/Inputs!$B$7)/$G$4),Inputs!$B$7-SUM(C127:E127)),0)</f>
        <v>2.79</v>
      </c>
      <c r="C127" s="31" t="n">
        <f aca="false">B126*(1-Inputs!$B$10)</f>
        <v>2.46915</v>
      </c>
      <c r="D127" s="31" t="n">
        <f aca="false">C126*(1-Inputs!$B$11)</f>
        <v>2.33334675</v>
      </c>
      <c r="E127" s="31" t="n">
        <f aca="false">D126*(1-Inputs!$B$11)+E126*(1-Inputs!$B$12)</f>
        <v>55.1052703241155</v>
      </c>
      <c r="F127" s="37" t="n">
        <f aca="false">MIN(SUM(B127:E127),Inputs!$B$7)/Inputs!$B$7</f>
        <v>0.895682386773078</v>
      </c>
      <c r="G127" s="28" t="n">
        <f aca="false">(Result!$B$29+(F127*Inputs!$B$7-Residents!$B$189)*Occupancy!$B$11)/12</f>
        <v>127468.574224209</v>
      </c>
      <c r="H127" s="28" t="n">
        <f aca="false">MAX(0,-G127)</f>
        <v>0</v>
      </c>
      <c r="I127" s="28" t="n">
        <f aca="false">IF(G127&lt;$G$5*0.995,$G$5-G127,0)</f>
        <v>0</v>
      </c>
    </row>
    <row r="128" customFormat="false" ht="15" hidden="false" customHeight="false" outlineLevel="0" collapsed="false">
      <c r="A128" s="39" t="n">
        <v>120</v>
      </c>
      <c r="B128" s="31" t="n">
        <f aca="false">IF(SUM(C128:E128)&lt;Inputs!$B$7,MIN(Inputs!$B$8+(Inputs!$B$9-Inputs!$B$8)*MAX(0,($G$4-SUM(C128:E128)/Inputs!$B$7)/$G$4),Inputs!$B$7-SUM(C128:E128)),0)</f>
        <v>2.79</v>
      </c>
      <c r="C128" s="31" t="n">
        <f aca="false">B127*(1-Inputs!$B$10)</f>
        <v>2.46915</v>
      </c>
      <c r="D128" s="31" t="n">
        <f aca="false">C127*(1-Inputs!$B$11)</f>
        <v>2.33334675</v>
      </c>
      <c r="E128" s="31" t="n">
        <f aca="false">D127*(1-Inputs!$B$11)+E127*(1-Inputs!$B$12)</f>
        <v>55.1060721899009</v>
      </c>
      <c r="F128" s="37" t="n">
        <f aca="false">MIN(SUM(B128:E128),Inputs!$B$7)/Inputs!$B$7</f>
        <v>0.895693841998584</v>
      </c>
      <c r="G128" s="28" t="n">
        <f aca="false">(Result!$B$29+(F128*Inputs!$B$7-Residents!$B$189)*Occupancy!$B$11)/12</f>
        <v>127471.587415944</v>
      </c>
      <c r="H128" s="28" t="n">
        <f aca="false">MAX(0,-G128)</f>
        <v>0</v>
      </c>
      <c r="I128" s="28" t="n">
        <f aca="false">IF(G128&lt;$G$5*0.995,$G$5-G128,0)</f>
        <v>0</v>
      </c>
    </row>
    <row r="129" customFormat="false" ht="15" hidden="false" customHeight="false" outlineLevel="0" collapsed="false">
      <c r="A129" s="39" t="n">
        <v>121</v>
      </c>
      <c r="B129" s="31" t="n">
        <f aca="false">IF(SUM(C129:E129)&lt;Inputs!$B$7,MIN(Inputs!$B$8+(Inputs!$B$9-Inputs!$B$8)*MAX(0,($G$4-SUM(C129:E129)/Inputs!$B$7)/$G$4),Inputs!$B$7-SUM(C129:E129)),0)</f>
        <v>2.79</v>
      </c>
      <c r="C129" s="31" t="n">
        <f aca="false">B128*(1-Inputs!$B$10)</f>
        <v>2.46915</v>
      </c>
      <c r="D129" s="31" t="n">
        <f aca="false">C128*(1-Inputs!$B$11)</f>
        <v>2.33334675</v>
      </c>
      <c r="E129" s="31" t="n">
        <f aca="false">D128*(1-Inputs!$B$11)+E128*(1-Inputs!$B$12)</f>
        <v>55.1068419810548</v>
      </c>
      <c r="F129" s="37" t="n">
        <f aca="false">MIN(SUM(B129:E129),Inputs!$B$7)/Inputs!$B$7</f>
        <v>0.895704839015069</v>
      </c>
      <c r="G129" s="28" t="n">
        <f aca="false">(Result!$B$29+(F129*Inputs!$B$7-Residents!$B$189)*Occupancy!$B$11)/12</f>
        <v>127474.48008001</v>
      </c>
      <c r="H129" s="28" t="n">
        <f aca="false">MAX(0,-G129)</f>
        <v>0</v>
      </c>
      <c r="I129" s="28" t="n">
        <f aca="false">IF(G129&lt;$G$5*0.995,$G$5-G129,0)</f>
        <v>0</v>
      </c>
    </row>
    <row r="130" customFormat="false" ht="15" hidden="false" customHeight="false" outlineLevel="0" collapsed="false">
      <c r="A130" s="39" t="n">
        <v>122</v>
      </c>
      <c r="B130" s="31" t="n">
        <f aca="false">IF(SUM(C130:E130)&lt;Inputs!$B$7,MIN(Inputs!$B$8+(Inputs!$B$9-Inputs!$B$8)*MAX(0,($G$4-SUM(C130:E130)/Inputs!$B$7)/$G$4),Inputs!$B$7-SUM(C130:E130)),0)</f>
        <v>2.79</v>
      </c>
      <c r="C130" s="31" t="n">
        <f aca="false">B129*(1-Inputs!$B$10)</f>
        <v>2.46915</v>
      </c>
      <c r="D130" s="31" t="n">
        <f aca="false">C129*(1-Inputs!$B$11)</f>
        <v>2.33334675</v>
      </c>
      <c r="E130" s="31" t="n">
        <f aca="false">D129*(1-Inputs!$B$11)+E129*(1-Inputs!$B$12)</f>
        <v>55.1075809805626</v>
      </c>
      <c r="F130" s="37" t="n">
        <f aca="false">MIN(SUM(B130:E130),Inputs!$B$7)/Inputs!$B$7</f>
        <v>0.895715396150895</v>
      </c>
      <c r="G130" s="28" t="n">
        <f aca="false">(Result!$B$29+(F130*Inputs!$B$7-Residents!$B$189)*Occupancy!$B$11)/12</f>
        <v>127477.257037512</v>
      </c>
      <c r="H130" s="28" t="n">
        <f aca="false">MAX(0,-G130)</f>
        <v>0</v>
      </c>
      <c r="I130" s="28" t="n">
        <f aca="false">IF(G130&lt;$G$5*0.995,$G$5-G130,0)</f>
        <v>0</v>
      </c>
    </row>
    <row r="131" customFormat="false" ht="15" hidden="false" customHeight="false" outlineLevel="0" collapsed="false">
      <c r="A131" s="39" t="n">
        <v>123</v>
      </c>
      <c r="B131" s="31" t="n">
        <f aca="false">IF(SUM(C131:E131)&lt;Inputs!$B$7,MIN(Inputs!$B$8+(Inputs!$B$9-Inputs!$B$8)*MAX(0,($G$4-SUM(C131:E131)/Inputs!$B$7)/$G$4),Inputs!$B$7-SUM(C131:E131)),0)</f>
        <v>2.79</v>
      </c>
      <c r="C131" s="31" t="n">
        <f aca="false">B130*(1-Inputs!$B$10)</f>
        <v>2.46915</v>
      </c>
      <c r="D131" s="31" t="n">
        <f aca="false">C130*(1-Inputs!$B$11)</f>
        <v>2.33334675</v>
      </c>
      <c r="E131" s="31" t="n">
        <f aca="false">D130*(1-Inputs!$B$11)+E130*(1-Inputs!$B$12)</f>
        <v>55.1082904200901</v>
      </c>
      <c r="F131" s="37" t="n">
        <f aca="false">MIN(SUM(B131:E131),Inputs!$B$7)/Inputs!$B$7</f>
        <v>0.895725531001288</v>
      </c>
      <c r="G131" s="28" t="n">
        <f aca="false">(Result!$B$29+(F131*Inputs!$B$7-Residents!$B$189)*Occupancy!$B$11)/12</f>
        <v>127479.922916715</v>
      </c>
      <c r="H131" s="28" t="n">
        <f aca="false">MAX(0,-G131)</f>
        <v>0</v>
      </c>
      <c r="I131" s="28" t="n">
        <f aca="false">IF(G131&lt;$G$5*0.995,$G$5-G131,0)</f>
        <v>0</v>
      </c>
    </row>
    <row r="132" customFormat="false" ht="15" hidden="false" customHeight="false" outlineLevel="0" collapsed="false">
      <c r="A132" s="39" t="n">
        <v>124</v>
      </c>
      <c r="B132" s="31" t="n">
        <f aca="false">IF(SUM(C132:E132)&lt;Inputs!$B$7,MIN(Inputs!$B$8+(Inputs!$B$9-Inputs!$B$8)*MAX(0,($G$4-SUM(C132:E132)/Inputs!$B$7)/$G$4),Inputs!$B$7-SUM(C132:E132)),0)</f>
        <v>2.79</v>
      </c>
      <c r="C132" s="31" t="n">
        <f aca="false">B131*(1-Inputs!$B$10)</f>
        <v>2.46915</v>
      </c>
      <c r="D132" s="31" t="n">
        <f aca="false">C131*(1-Inputs!$B$11)</f>
        <v>2.33334675</v>
      </c>
      <c r="E132" s="31" t="n">
        <f aca="false">D131*(1-Inputs!$B$11)+E131*(1-Inputs!$B$12)</f>
        <v>55.1089714820365</v>
      </c>
      <c r="F132" s="37" t="n">
        <f aca="false">MIN(SUM(B132:E132),Inputs!$B$7)/Inputs!$B$7</f>
        <v>0.895735260457665</v>
      </c>
      <c r="G132" s="28" t="n">
        <f aca="false">(Result!$B$29+(F132*Inputs!$B$7-Residents!$B$189)*Occupancy!$B$11)/12</f>
        <v>127482.48216075</v>
      </c>
      <c r="H132" s="28" t="n">
        <f aca="false">MAX(0,-G132)</f>
        <v>0</v>
      </c>
      <c r="I132" s="28" t="n">
        <f aca="false">IF(G132&lt;$G$5*0.995,$G$5-G132,0)</f>
        <v>0</v>
      </c>
    </row>
    <row r="133" customFormat="false" ht="15" hidden="false" customHeight="false" outlineLevel="0" collapsed="false">
      <c r="A133" s="39" t="n">
        <v>125</v>
      </c>
      <c r="B133" s="31" t="n">
        <f aca="false">IF(SUM(C133:E133)&lt;Inputs!$B$7,MIN(Inputs!$B$8+(Inputs!$B$9-Inputs!$B$8)*MAX(0,($G$4-SUM(C133:E133)/Inputs!$B$7)/$G$4),Inputs!$B$7-SUM(C133:E133)),0)</f>
        <v>2.79</v>
      </c>
      <c r="C133" s="31" t="n">
        <f aca="false">B132*(1-Inputs!$B$10)</f>
        <v>2.46915</v>
      </c>
      <c r="D133" s="31" t="n">
        <f aca="false">C132*(1-Inputs!$B$11)</f>
        <v>2.33334675</v>
      </c>
      <c r="E133" s="31" t="n">
        <f aca="false">D132*(1-Inputs!$B$11)+E132*(1-Inputs!$B$12)</f>
        <v>55.1096253015051</v>
      </c>
      <c r="F133" s="37" t="n">
        <f aca="false">MIN(SUM(B133:E133),Inputs!$B$7)/Inputs!$B$7</f>
        <v>0.895744600735787</v>
      </c>
      <c r="G133" s="28" t="n">
        <f aca="false">(Result!$B$29+(F133*Inputs!$B$7-Residents!$B$189)*Occupancy!$B$11)/12</f>
        <v>127484.939035023</v>
      </c>
      <c r="H133" s="28" t="n">
        <f aca="false">MAX(0,-G133)</f>
        <v>0</v>
      </c>
      <c r="I133" s="28" t="n">
        <f aca="false">IF(G133&lt;$G$5*0.995,$G$5-G133,0)</f>
        <v>0</v>
      </c>
    </row>
    <row r="134" customFormat="false" ht="15" hidden="false" customHeight="false" outlineLevel="0" collapsed="false">
      <c r="A134" s="39" t="n">
        <v>126</v>
      </c>
      <c r="B134" s="31" t="n">
        <f aca="false">IF(SUM(C134:E134)&lt;Inputs!$B$7,MIN(Inputs!$B$8+(Inputs!$B$9-Inputs!$B$8)*MAX(0,($G$4-SUM(C134:E134)/Inputs!$B$7)/$G$4),Inputs!$B$7-SUM(C134:E134)),0)</f>
        <v>2.79</v>
      </c>
      <c r="C134" s="31" t="n">
        <f aca="false">B133*(1-Inputs!$B$10)</f>
        <v>2.46915</v>
      </c>
      <c r="D134" s="31" t="n">
        <f aca="false">C133*(1-Inputs!$B$11)</f>
        <v>2.33334675</v>
      </c>
      <c r="E134" s="31" t="n">
        <f aca="false">D133*(1-Inputs!$B$11)+E133*(1-Inputs!$B$12)</f>
        <v>55.1102529681949</v>
      </c>
      <c r="F134" s="37" t="n">
        <f aca="false">MIN(SUM(B134:E134),Inputs!$B$7)/Inputs!$B$7</f>
        <v>0.895753567402784</v>
      </c>
      <c r="G134" s="28" t="n">
        <f aca="false">(Result!$B$29+(F134*Inputs!$B$7-Residents!$B$189)*Occupancy!$B$11)/12</f>
        <v>127487.297634325</v>
      </c>
      <c r="H134" s="28" t="n">
        <f aca="false">MAX(0,-G134)</f>
        <v>0</v>
      </c>
      <c r="I134" s="28" t="n">
        <f aca="false">IF(G134&lt;$G$5*0.995,$G$5-G134,0)</f>
        <v>0</v>
      </c>
    </row>
    <row r="135" customFormat="false" ht="15" hidden="false" customHeight="false" outlineLevel="0" collapsed="false">
      <c r="A135" s="39" t="n">
        <v>127</v>
      </c>
      <c r="B135" s="31" t="n">
        <f aca="false">IF(SUM(C135:E135)&lt;Inputs!$B$7,MIN(Inputs!$B$8+(Inputs!$B$9-Inputs!$B$8)*MAX(0,($G$4-SUM(C135:E135)/Inputs!$B$7)/$G$4),Inputs!$B$7-SUM(C135:E135)),0)</f>
        <v>2.79</v>
      </c>
      <c r="C135" s="31" t="n">
        <f aca="false">B134*(1-Inputs!$B$10)</f>
        <v>2.46915</v>
      </c>
      <c r="D135" s="31" t="n">
        <f aca="false">C134*(1-Inputs!$B$11)</f>
        <v>2.33334675</v>
      </c>
      <c r="E135" s="31" t="n">
        <f aca="false">D134*(1-Inputs!$B$11)+E134*(1-Inputs!$B$12)</f>
        <v>55.1108555282171</v>
      </c>
      <c r="F135" s="37" t="n">
        <f aca="false">MIN(SUM(B135:E135),Inputs!$B$7)/Inputs!$B$7</f>
        <v>0.895762175403101</v>
      </c>
      <c r="G135" s="28" t="n">
        <f aca="false">(Result!$B$29+(F135*Inputs!$B$7-Residents!$B$189)*Occupancy!$B$11)/12</f>
        <v>127489.561889655</v>
      </c>
      <c r="H135" s="28" t="n">
        <f aca="false">MAX(0,-G135)</f>
        <v>0</v>
      </c>
      <c r="I135" s="28" t="n">
        <f aca="false">IF(G135&lt;$G$5*0.995,$G$5-G135,0)</f>
        <v>0</v>
      </c>
    </row>
    <row r="136" customFormat="false" ht="15" hidden="false" customHeight="false" outlineLevel="0" collapsed="false">
      <c r="A136" s="39" t="n">
        <v>128</v>
      </c>
      <c r="B136" s="31" t="n">
        <f aca="false">IF(SUM(C136:E136)&lt;Inputs!$B$7,MIN(Inputs!$B$8+(Inputs!$B$9-Inputs!$B$8)*MAX(0,($G$4-SUM(C136:E136)/Inputs!$B$7)/$G$4),Inputs!$B$7-SUM(C136:E136)),0)</f>
        <v>2.79</v>
      </c>
      <c r="C136" s="31" t="n">
        <f aca="false">B135*(1-Inputs!$B$10)</f>
        <v>2.46915</v>
      </c>
      <c r="D136" s="31" t="n">
        <f aca="false">C135*(1-Inputs!$B$11)</f>
        <v>2.33334675</v>
      </c>
      <c r="E136" s="31" t="n">
        <f aca="false">D135*(1-Inputs!$B$11)+E135*(1-Inputs!$B$12)</f>
        <v>55.1114339858384</v>
      </c>
      <c r="F136" s="37" t="n">
        <f aca="false">MIN(SUM(B136:E136),Inputs!$B$7)/Inputs!$B$7</f>
        <v>0.895770439083405</v>
      </c>
      <c r="G136" s="28" t="n">
        <f aca="false">(Result!$B$29+(F136*Inputs!$B$7-Residents!$B$189)*Occupancy!$B$11)/12</f>
        <v>127491.735574772</v>
      </c>
      <c r="H136" s="28" t="n">
        <f aca="false">MAX(0,-G136)</f>
        <v>0</v>
      </c>
      <c r="I136" s="28" t="n">
        <f aca="false">IF(G136&lt;$G$5*0.995,$G$5-G136,0)</f>
        <v>0</v>
      </c>
    </row>
    <row r="137" customFormat="false" ht="15" hidden="false" customHeight="false" outlineLevel="0" collapsed="false">
      <c r="A137" s="39" t="n">
        <v>129</v>
      </c>
      <c r="B137" s="31" t="n">
        <f aca="false">IF(SUM(C137:E137)&lt;Inputs!$B$7,MIN(Inputs!$B$8+(Inputs!$B$9-Inputs!$B$8)*MAX(0,($G$4-SUM(C137:E137)/Inputs!$B$7)/$G$4),Inputs!$B$7-SUM(C137:E137)),0)</f>
        <v>2.79</v>
      </c>
      <c r="C137" s="31" t="n">
        <f aca="false">B136*(1-Inputs!$B$10)</f>
        <v>2.46915</v>
      </c>
      <c r="D137" s="31" t="n">
        <f aca="false">C136*(1-Inputs!$B$11)</f>
        <v>2.33334675</v>
      </c>
      <c r="E137" s="31" t="n">
        <f aca="false">D136*(1-Inputs!$B$11)+E136*(1-Inputs!$B$12)</f>
        <v>55.1119893051548</v>
      </c>
      <c r="F137" s="37" t="n">
        <f aca="false">MIN(SUM(B137:E137),Inputs!$B$7)/Inputs!$B$7</f>
        <v>0.895778372216498</v>
      </c>
      <c r="G137" s="28" t="n">
        <f aca="false">(Result!$B$29+(F137*Inputs!$B$7-Residents!$B$189)*Occupancy!$B$11)/12</f>
        <v>127493.822312484</v>
      </c>
      <c r="H137" s="28" t="n">
        <f aca="false">MAX(0,-G137)</f>
        <v>0</v>
      </c>
      <c r="I137" s="28" t="n">
        <f aca="false">IF(G137&lt;$G$5*0.995,$G$5-G137,0)</f>
        <v>0</v>
      </c>
    </row>
    <row r="138" customFormat="false" ht="15" hidden="false" customHeight="false" outlineLevel="0" collapsed="false">
      <c r="A138" s="39" t="n">
        <v>130</v>
      </c>
      <c r="B138" s="31" t="n">
        <f aca="false">IF(SUM(C138:E138)&lt;Inputs!$B$7,MIN(Inputs!$B$8+(Inputs!$B$9-Inputs!$B$8)*MAX(0,($G$4-SUM(C138:E138)/Inputs!$B$7)/$G$4),Inputs!$B$7-SUM(C138:E138)),0)</f>
        <v>2.79</v>
      </c>
      <c r="C138" s="31" t="n">
        <f aca="false">B137*(1-Inputs!$B$10)</f>
        <v>2.46915</v>
      </c>
      <c r="D138" s="31" t="n">
        <f aca="false">C137*(1-Inputs!$B$11)</f>
        <v>2.33334675</v>
      </c>
      <c r="E138" s="31" t="n">
        <f aca="false">D137*(1-Inputs!$B$11)+E137*(1-Inputs!$B$12)</f>
        <v>55.1125224116986</v>
      </c>
      <c r="F138" s="37" t="n">
        <f aca="false">MIN(SUM(B138:E138),Inputs!$B$7)/Inputs!$B$7</f>
        <v>0.895785988024266</v>
      </c>
      <c r="G138" s="28" t="n">
        <f aca="false">(Result!$B$29+(F138*Inputs!$B$7-Residents!$B$189)*Occupancy!$B$11)/12</f>
        <v>127495.825580688</v>
      </c>
      <c r="H138" s="28" t="n">
        <f aca="false">MAX(0,-G138)</f>
        <v>0</v>
      </c>
      <c r="I138" s="28" t="n">
        <f aca="false">IF(G138&lt;$G$5*0.995,$G$5-G138,0)</f>
        <v>0</v>
      </c>
    </row>
    <row r="139" customFormat="false" ht="15" hidden="false" customHeight="false" outlineLevel="0" collapsed="false">
      <c r="A139" s="39" t="n">
        <v>131</v>
      </c>
      <c r="B139" s="31" t="n">
        <f aca="false">IF(SUM(C139:E139)&lt;Inputs!$B$7,MIN(Inputs!$B$8+(Inputs!$B$9-Inputs!$B$8)*MAX(0,($G$4-SUM(C139:E139)/Inputs!$B$7)/$G$4),Inputs!$B$7-SUM(C139:E139)),0)</f>
        <v>2.79</v>
      </c>
      <c r="C139" s="31" t="n">
        <f aca="false">B138*(1-Inputs!$B$10)</f>
        <v>2.46915</v>
      </c>
      <c r="D139" s="31" t="n">
        <f aca="false">C138*(1-Inputs!$B$11)</f>
        <v>2.33334675</v>
      </c>
      <c r="E139" s="31" t="n">
        <f aca="false">D138*(1-Inputs!$B$11)+E138*(1-Inputs!$B$12)</f>
        <v>55.1130341939807</v>
      </c>
      <c r="F139" s="37" t="n">
        <f aca="false">MIN(SUM(B139:E139),Inputs!$B$7)/Inputs!$B$7</f>
        <v>0.895793299199724</v>
      </c>
      <c r="G139" s="28" t="n">
        <f aca="false">(Result!$B$29+(F139*Inputs!$B$7-Residents!$B$189)*Occupancy!$B$11)/12</f>
        <v>127497.748718164</v>
      </c>
      <c r="H139" s="28" t="n">
        <f aca="false">MAX(0,-G139)</f>
        <v>0</v>
      </c>
      <c r="I139" s="28" t="n">
        <f aca="false">IF(G139&lt;$G$5*0.995,$G$5-G139,0)</f>
        <v>0</v>
      </c>
    </row>
    <row r="140" customFormat="false" ht="15" hidden="false" customHeight="false" outlineLevel="0" collapsed="false">
      <c r="A140" s="39" t="n">
        <v>132</v>
      </c>
      <c r="B140" s="31" t="n">
        <f aca="false">IF(SUM(C140:E140)&lt;Inputs!$B$7,MIN(Inputs!$B$8+(Inputs!$B$9-Inputs!$B$8)*MAX(0,($G$4-SUM(C140:E140)/Inputs!$B$7)/$G$4),Inputs!$B$7-SUM(C140:E140)),0)</f>
        <v>2.79</v>
      </c>
      <c r="C140" s="31" t="n">
        <f aca="false">B139*(1-Inputs!$B$10)</f>
        <v>2.46915</v>
      </c>
      <c r="D140" s="31" t="n">
        <f aca="false">C139*(1-Inputs!$B$11)</f>
        <v>2.33334675</v>
      </c>
      <c r="E140" s="31" t="n">
        <f aca="false">D139*(1-Inputs!$B$11)+E139*(1-Inputs!$B$12)</f>
        <v>55.1135255049715</v>
      </c>
      <c r="F140" s="37" t="n">
        <f aca="false">MIN(SUM(B140:E140),Inputs!$B$7)/Inputs!$B$7</f>
        <v>0.895800317928164</v>
      </c>
      <c r="G140" s="28" t="n">
        <f aca="false">(Result!$B$29+(F140*Inputs!$B$7-Residents!$B$189)*Occupancy!$B$11)/12</f>
        <v>127499.59493014</v>
      </c>
      <c r="H140" s="28" t="n">
        <f aca="false">MAX(0,-G140)</f>
        <v>0</v>
      </c>
      <c r="I140" s="28" t="n">
        <f aca="false">IF(G140&lt;$G$5*0.995,$G$5-G140,0)</f>
        <v>0</v>
      </c>
    </row>
    <row r="141" customFormat="false" ht="15" hidden="false" customHeight="false" outlineLevel="0" collapsed="false">
      <c r="A141" s="39" t="n">
        <v>133</v>
      </c>
      <c r="B141" s="31" t="n">
        <f aca="false">IF(SUM(C141:E141)&lt;Inputs!$B$7,MIN(Inputs!$B$8+(Inputs!$B$9-Inputs!$B$8)*MAX(0,($G$4-SUM(C141:E141)/Inputs!$B$7)/$G$4),Inputs!$B$7-SUM(C141:E141)),0)</f>
        <v>2.79</v>
      </c>
      <c r="C141" s="31" t="n">
        <f aca="false">B140*(1-Inputs!$B$10)</f>
        <v>2.46915</v>
      </c>
      <c r="D141" s="31" t="n">
        <f aca="false">C140*(1-Inputs!$B$11)</f>
        <v>2.33334675</v>
      </c>
      <c r="E141" s="31" t="n">
        <f aca="false">D140*(1-Inputs!$B$11)+E140*(1-Inputs!$B$12)</f>
        <v>55.1139971635226</v>
      </c>
      <c r="F141" s="37" t="n">
        <f aca="false">MIN(SUM(B141:E141),Inputs!$B$7)/Inputs!$B$7</f>
        <v>0.895807055907466</v>
      </c>
      <c r="G141" s="28" t="n">
        <f aca="false">(Result!$B$29+(F141*Inputs!$B$7-Residents!$B$189)*Occupancy!$B$11)/12</f>
        <v>127501.367293638</v>
      </c>
      <c r="H141" s="28" t="n">
        <f aca="false">MAX(0,-G141)</f>
        <v>0</v>
      </c>
      <c r="I141" s="28" t="n">
        <f aca="false">IF(G141&lt;$G$5*0.995,$G$5-G141,0)</f>
        <v>0</v>
      </c>
    </row>
    <row r="142" customFormat="false" ht="15" hidden="false" customHeight="false" outlineLevel="0" collapsed="false">
      <c r="A142" s="39" t="n">
        <v>134</v>
      </c>
      <c r="B142" s="31" t="n">
        <f aca="false">IF(SUM(C142:E142)&lt;Inputs!$B$7,MIN(Inputs!$B$8+(Inputs!$B$9-Inputs!$B$8)*MAX(0,($G$4-SUM(C142:E142)/Inputs!$B$7)/$G$4),Inputs!$B$7-SUM(C142:E142)),0)</f>
        <v>2.79</v>
      </c>
      <c r="C142" s="31" t="n">
        <f aca="false">B141*(1-Inputs!$B$10)</f>
        <v>2.46915</v>
      </c>
      <c r="D142" s="31" t="n">
        <f aca="false">C141*(1-Inputs!$B$11)</f>
        <v>2.33334675</v>
      </c>
      <c r="E142" s="31" t="n">
        <f aca="false">D141*(1-Inputs!$B$11)+E141*(1-Inputs!$B$12)</f>
        <v>55.1144499557317</v>
      </c>
      <c r="F142" s="37" t="n">
        <f aca="false">MIN(SUM(B142:E142),Inputs!$B$7)/Inputs!$B$7</f>
        <v>0.895813524367596</v>
      </c>
      <c r="G142" s="28" t="n">
        <f aca="false">(Result!$B$29+(F142*Inputs!$B$7-Residents!$B$189)*Occupancy!$B$11)/12</f>
        <v>127503.068762596</v>
      </c>
      <c r="H142" s="28" t="n">
        <f aca="false">MAX(0,-G142)</f>
        <v>0</v>
      </c>
      <c r="I142" s="28" t="n">
        <f aca="false">IF(G142&lt;$G$5*0.995,$G$5-G142,0)</f>
        <v>0</v>
      </c>
    </row>
    <row r="143" customFormat="false" ht="15" hidden="false" customHeight="false" outlineLevel="0" collapsed="false">
      <c r="A143" s="39" t="n">
        <v>135</v>
      </c>
      <c r="B143" s="31" t="n">
        <f aca="false">IF(SUM(C143:E143)&lt;Inputs!$B$7,MIN(Inputs!$B$8+(Inputs!$B$9-Inputs!$B$8)*MAX(0,($G$4-SUM(C143:E143)/Inputs!$B$7)/$G$4),Inputs!$B$7-SUM(C143:E143)),0)</f>
        <v>2.79</v>
      </c>
      <c r="C143" s="31" t="n">
        <f aca="false">B142*(1-Inputs!$B$10)</f>
        <v>2.46915</v>
      </c>
      <c r="D143" s="31" t="n">
        <f aca="false">C142*(1-Inputs!$B$11)</f>
        <v>2.33334675</v>
      </c>
      <c r="E143" s="31" t="n">
        <f aca="false">D142*(1-Inputs!$B$11)+E142*(1-Inputs!$B$12)</f>
        <v>55.1148846362524</v>
      </c>
      <c r="F143" s="37" t="n">
        <f aca="false">MIN(SUM(B143:E143),Inputs!$B$7)/Inputs!$B$7</f>
        <v>0.895819734089321</v>
      </c>
      <c r="G143" s="28" t="n">
        <f aca="false">(Result!$B$29+(F143*Inputs!$B$7-Residents!$B$189)*Occupancy!$B$11)/12</f>
        <v>127504.702172795</v>
      </c>
      <c r="H143" s="28" t="n">
        <f aca="false">MAX(0,-G143)</f>
        <v>0</v>
      </c>
      <c r="I143" s="28" t="n">
        <f aca="false">IF(G143&lt;$G$5*0.995,$G$5-G143,0)</f>
        <v>0</v>
      </c>
    </row>
    <row r="144" customFormat="false" ht="15" hidden="false" customHeight="false" outlineLevel="0" collapsed="false">
      <c r="A144" s="39" t="n">
        <v>136</v>
      </c>
      <c r="B144" s="31" t="n">
        <f aca="false">IF(SUM(C144:E144)&lt;Inputs!$B$7,MIN(Inputs!$B$8+(Inputs!$B$9-Inputs!$B$8)*MAX(0,($G$4-SUM(C144:E144)/Inputs!$B$7)/$G$4),Inputs!$B$7-SUM(C144:E144)),0)</f>
        <v>2.79</v>
      </c>
      <c r="C144" s="31" t="n">
        <f aca="false">B143*(1-Inputs!$B$10)</f>
        <v>2.46915</v>
      </c>
      <c r="D144" s="31" t="n">
        <f aca="false">C143*(1-Inputs!$B$11)</f>
        <v>2.33334675</v>
      </c>
      <c r="E144" s="31" t="n">
        <f aca="false">D143*(1-Inputs!$B$11)+E143*(1-Inputs!$B$12)</f>
        <v>55.1153019295523</v>
      </c>
      <c r="F144" s="37" t="n">
        <f aca="false">MIN(SUM(B144:E144),Inputs!$B$7)/Inputs!$B$7</f>
        <v>0.895825695422176</v>
      </c>
      <c r="G144" s="28" t="n">
        <f aca="false">(Result!$B$29+(F144*Inputs!$B$7-Residents!$B$189)*Occupancy!$B$11)/12</f>
        <v>127506.270246586</v>
      </c>
      <c r="H144" s="28" t="n">
        <f aca="false">MAX(0,-G144)</f>
        <v>0</v>
      </c>
      <c r="I144" s="28" t="n">
        <f aca="false">IF(G144&lt;$G$5*0.995,$G$5-G144,0)</f>
        <v>0</v>
      </c>
    </row>
    <row r="145" customFormat="false" ht="15" hidden="false" customHeight="false" outlineLevel="0" collapsed="false">
      <c r="A145" s="39" t="n">
        <v>137</v>
      </c>
      <c r="B145" s="31" t="n">
        <f aca="false">IF(SUM(C145:E145)&lt;Inputs!$B$7,MIN(Inputs!$B$8+(Inputs!$B$9-Inputs!$B$8)*MAX(0,($G$4-SUM(C145:E145)/Inputs!$B$7)/$G$4),Inputs!$B$7-SUM(C145:E145)),0)</f>
        <v>2.79</v>
      </c>
      <c r="C145" s="31" t="n">
        <f aca="false">B144*(1-Inputs!$B$10)</f>
        <v>2.46915</v>
      </c>
      <c r="D145" s="31" t="n">
        <f aca="false">C144*(1-Inputs!$B$11)</f>
        <v>2.33334675</v>
      </c>
      <c r="E145" s="31" t="n">
        <f aca="false">D144*(1-Inputs!$B$11)+E144*(1-Inputs!$B$12)</f>
        <v>55.1157025311203</v>
      </c>
      <c r="F145" s="37" t="n">
        <f aca="false">MIN(SUM(B145:E145),Inputs!$B$7)/Inputs!$B$7</f>
        <v>0.895831418301718</v>
      </c>
      <c r="G145" s="28" t="n">
        <f aca="false">(Result!$B$29+(F145*Inputs!$B$7-Residents!$B$189)*Occupancy!$B$11)/12</f>
        <v>127507.775597426</v>
      </c>
      <c r="H145" s="28" t="n">
        <f aca="false">MAX(0,-G145)</f>
        <v>0</v>
      </c>
      <c r="I145" s="28" t="n">
        <f aca="false">IF(G145&lt;$G$5*0.995,$G$5-G145,0)</f>
        <v>0</v>
      </c>
    </row>
    <row r="146" customFormat="false" ht="15" hidden="false" customHeight="false" outlineLevel="0" collapsed="false">
      <c r="A146" s="39" t="n">
        <v>138</v>
      </c>
      <c r="B146" s="31" t="n">
        <f aca="false">IF(SUM(C146:E146)&lt;Inputs!$B$7,MIN(Inputs!$B$8+(Inputs!$B$9-Inputs!$B$8)*MAX(0,($G$4-SUM(C146:E146)/Inputs!$B$7)/$G$4),Inputs!$B$7-SUM(C146:E146)),0)</f>
        <v>2.79</v>
      </c>
      <c r="C146" s="31" t="n">
        <f aca="false">B145*(1-Inputs!$B$10)</f>
        <v>2.46915</v>
      </c>
      <c r="D146" s="31" t="n">
        <f aca="false">C145*(1-Inputs!$B$11)</f>
        <v>2.33334675</v>
      </c>
      <c r="E146" s="31" t="n">
        <f aca="false">D145*(1-Inputs!$B$11)+E145*(1-Inputs!$B$12)</f>
        <v>55.1160871086254</v>
      </c>
      <c r="F146" s="37" t="n">
        <f aca="false">MIN(SUM(B146:E146),Inputs!$B$7)/Inputs!$B$7</f>
        <v>0.895836912266078</v>
      </c>
      <c r="G146" s="28" t="n">
        <f aca="false">(Result!$B$29+(F146*Inputs!$B$7-Residents!$B$189)*Occupancy!$B$11)/12</f>
        <v>127509.220734232</v>
      </c>
      <c r="H146" s="28" t="n">
        <f aca="false">MAX(0,-G146)</f>
        <v>0</v>
      </c>
      <c r="I146" s="28" t="n">
        <f aca="false">IF(G146&lt;$G$5*0.995,$G$5-G146,0)</f>
        <v>0</v>
      </c>
    </row>
    <row r="147" customFormat="false" ht="15" hidden="false" customHeight="false" outlineLevel="0" collapsed="false">
      <c r="A147" s="39" t="n">
        <v>139</v>
      </c>
      <c r="B147" s="31" t="n">
        <f aca="false">IF(SUM(C147:E147)&lt;Inputs!$B$7,MIN(Inputs!$B$8+(Inputs!$B$9-Inputs!$B$8)*MAX(0,($G$4-SUM(C147:E147)/Inputs!$B$7)/$G$4),Inputs!$B$7-SUM(C147:E147)),0)</f>
        <v>2.79</v>
      </c>
      <c r="C147" s="31" t="n">
        <f aca="false">B146*(1-Inputs!$B$10)</f>
        <v>2.46915</v>
      </c>
      <c r="D147" s="31" t="n">
        <f aca="false">C146*(1-Inputs!$B$11)</f>
        <v>2.33334675</v>
      </c>
      <c r="E147" s="31" t="n">
        <f aca="false">D146*(1-Inputs!$B$11)+E146*(1-Inputs!$B$12)</f>
        <v>55.1164563030304</v>
      </c>
      <c r="F147" s="37" t="n">
        <f aca="false">MIN(SUM(B147:E147),Inputs!$B$7)/Inputs!$B$7</f>
        <v>0.895842186471863</v>
      </c>
      <c r="G147" s="28" t="n">
        <f aca="false">(Result!$B$29+(F147*Inputs!$B$7-Residents!$B$189)*Occupancy!$B$11)/12</f>
        <v>127510.608065566</v>
      </c>
      <c r="H147" s="28" t="n">
        <f aca="false">MAX(0,-G147)</f>
        <v>0</v>
      </c>
      <c r="I147" s="28" t="n">
        <f aca="false">IF(G147&lt;$G$5*0.995,$G$5-G147,0)</f>
        <v>0</v>
      </c>
    </row>
    <row r="148" customFormat="false" ht="15" hidden="false" customHeight="false" outlineLevel="0" collapsed="false">
      <c r="A148" s="39" t="n">
        <v>140</v>
      </c>
      <c r="B148" s="31" t="n">
        <f aca="false">IF(SUM(C148:E148)&lt;Inputs!$B$7,MIN(Inputs!$B$8+(Inputs!$B$9-Inputs!$B$8)*MAX(0,($G$4-SUM(C148:E148)/Inputs!$B$7)/$G$4),Inputs!$B$7-SUM(C148:E148)),0)</f>
        <v>2.79</v>
      </c>
      <c r="C148" s="31" t="n">
        <f aca="false">B147*(1-Inputs!$B$10)</f>
        <v>2.46915</v>
      </c>
      <c r="D148" s="31" t="n">
        <f aca="false">C147*(1-Inputs!$B$11)</f>
        <v>2.33334675</v>
      </c>
      <c r="E148" s="31" t="n">
        <f aca="false">D147*(1-Inputs!$B$11)+E147*(1-Inputs!$B$12)</f>
        <v>55.1168107296592</v>
      </c>
      <c r="F148" s="37" t="n">
        <f aca="false">MIN(SUM(B148:E148),Inputs!$B$7)/Inputs!$B$7</f>
        <v>0.895847249709417</v>
      </c>
      <c r="G148" s="28" t="n">
        <f aca="false">(Result!$B$29+(F148*Inputs!$B$7-Residents!$B$189)*Occupancy!$B$11)/12</f>
        <v>127511.939903646</v>
      </c>
      <c r="H148" s="28" t="n">
        <f aca="false">MAX(0,-G148)</f>
        <v>0</v>
      </c>
      <c r="I148" s="28" t="n">
        <f aca="false">IF(G148&lt;$G$5*0.995,$G$5-G148,0)</f>
        <v>0</v>
      </c>
    </row>
    <row r="149" customFormat="false" ht="15" hidden="false" customHeight="false" outlineLevel="0" collapsed="false">
      <c r="A149" s="39" t="n">
        <v>141</v>
      </c>
      <c r="B149" s="31" t="n">
        <f aca="false">IF(SUM(C149:E149)&lt;Inputs!$B$7,MIN(Inputs!$B$8+(Inputs!$B$9-Inputs!$B$8)*MAX(0,($G$4-SUM(C149:E149)/Inputs!$B$7)/$G$4),Inputs!$B$7-SUM(C149:E149)),0)</f>
        <v>2.79</v>
      </c>
      <c r="C149" s="31" t="n">
        <f aca="false">B148*(1-Inputs!$B$10)</f>
        <v>2.46915</v>
      </c>
      <c r="D149" s="31" t="n">
        <f aca="false">C148*(1-Inputs!$B$11)</f>
        <v>2.33334675</v>
      </c>
      <c r="E149" s="31" t="n">
        <f aca="false">D148*(1-Inputs!$B$11)+E148*(1-Inputs!$B$12)</f>
        <v>55.1171509792228</v>
      </c>
      <c r="F149" s="37" t="n">
        <f aca="false">MIN(SUM(B149:E149),Inputs!$B$7)/Inputs!$B$7</f>
        <v>0.895852110417469</v>
      </c>
      <c r="G149" s="28" t="n">
        <f aca="false">(Result!$B$29+(F149*Inputs!$B$7-Residents!$B$189)*Occupancy!$B$11)/12</f>
        <v>127513.218468204</v>
      </c>
      <c r="H149" s="28" t="n">
        <f aca="false">MAX(0,-G149)</f>
        <v>0</v>
      </c>
      <c r="I149" s="28" t="n">
        <f aca="false">IF(G149&lt;$G$5*0.995,$G$5-G149,0)</f>
        <v>0</v>
      </c>
    </row>
    <row r="150" customFormat="false" ht="15" hidden="false" customHeight="false" outlineLevel="0" collapsed="false">
      <c r="A150" s="39" t="n">
        <v>142</v>
      </c>
      <c r="B150" s="31" t="n">
        <f aca="false">IF(SUM(C150:E150)&lt;Inputs!$B$7,MIN(Inputs!$B$8+(Inputs!$B$9-Inputs!$B$8)*MAX(0,($G$4-SUM(C150:E150)/Inputs!$B$7)/$G$4),Inputs!$B$7-SUM(C150:E150)),0)</f>
        <v>2.79</v>
      </c>
      <c r="C150" s="31" t="n">
        <f aca="false">B149*(1-Inputs!$B$10)</f>
        <v>2.46915</v>
      </c>
      <c r="D150" s="31" t="n">
        <f aca="false">C149*(1-Inputs!$B$11)</f>
        <v>2.33334675</v>
      </c>
      <c r="E150" s="31" t="n">
        <f aca="false">D149*(1-Inputs!$B$11)+E149*(1-Inputs!$B$12)</f>
        <v>55.1174776188039</v>
      </c>
      <c r="F150" s="37" t="n">
        <f aca="false">MIN(SUM(B150:E150),Inputs!$B$7)/Inputs!$B$7</f>
        <v>0.895856776697199</v>
      </c>
      <c r="G150" s="28" t="n">
        <f aca="false">(Result!$B$29+(F150*Inputs!$B$7-Residents!$B$189)*Occupancy!$B$11)/12</f>
        <v>127514.445890179</v>
      </c>
      <c r="H150" s="28" t="n">
        <f aca="false">MAX(0,-G150)</f>
        <v>0</v>
      </c>
      <c r="I150" s="28" t="n">
        <f aca="false">IF(G150&lt;$G$5*0.995,$G$5-G150,0)</f>
        <v>0</v>
      </c>
    </row>
    <row r="151" customFormat="false" ht="15" hidden="false" customHeight="false" outlineLevel="0" collapsed="false">
      <c r="A151" s="39" t="n">
        <v>143</v>
      </c>
      <c r="B151" s="31" t="n">
        <f aca="false">IF(SUM(C151:E151)&lt;Inputs!$B$7,MIN(Inputs!$B$8+(Inputs!$B$9-Inputs!$B$8)*MAX(0,($G$4-SUM(C151:E151)/Inputs!$B$7)/$G$4),Inputs!$B$7-SUM(C151:E151)),0)</f>
        <v>2.79</v>
      </c>
      <c r="C151" s="31" t="n">
        <f aca="false">B150*(1-Inputs!$B$10)</f>
        <v>2.46915</v>
      </c>
      <c r="D151" s="31" t="n">
        <f aca="false">C150*(1-Inputs!$B$11)</f>
        <v>2.33334675</v>
      </c>
      <c r="E151" s="31" t="n">
        <f aca="false">D150*(1-Inputs!$B$11)+E150*(1-Inputs!$B$12)</f>
        <v>55.1177911928018</v>
      </c>
      <c r="F151" s="37" t="n">
        <f aca="false">MIN(SUM(B151:E151),Inputs!$B$7)/Inputs!$B$7</f>
        <v>0.89586125632574</v>
      </c>
      <c r="G151" s="28" t="n">
        <f aca="false">(Result!$B$29+(F151*Inputs!$B$7-Residents!$B$189)*Occupancy!$B$11)/12</f>
        <v>127515.624215275</v>
      </c>
      <c r="H151" s="28" t="n">
        <f aca="false">MAX(0,-G151)</f>
        <v>0</v>
      </c>
      <c r="I151" s="28" t="n">
        <f aca="false">IF(G151&lt;$G$5*0.995,$G$5-G151,0)</f>
        <v>0</v>
      </c>
    </row>
    <row r="152" customFormat="false" ht="15" hidden="false" customHeight="false" outlineLevel="0" collapsed="false">
      <c r="A152" s="39" t="n">
        <v>144</v>
      </c>
      <c r="B152" s="31" t="n">
        <f aca="false">IF(SUM(C152:E152)&lt;Inputs!$B$7,MIN(Inputs!$B$8+(Inputs!$B$9-Inputs!$B$8)*MAX(0,($G$4-SUM(C152:E152)/Inputs!$B$7)/$G$4),Inputs!$B$7-SUM(C152:E152)),0)</f>
        <v>2.79</v>
      </c>
      <c r="C152" s="31" t="n">
        <f aca="false">B151*(1-Inputs!$B$10)</f>
        <v>2.46915</v>
      </c>
      <c r="D152" s="31" t="n">
        <f aca="false">C151*(1-Inputs!$B$11)</f>
        <v>2.33334675</v>
      </c>
      <c r="E152" s="31" t="n">
        <f aca="false">D151*(1-Inputs!$B$11)+E151*(1-Inputs!$B$12)</f>
        <v>55.1180922238397</v>
      </c>
      <c r="F152" s="37" t="n">
        <f aca="false">MIN(SUM(B152:E152),Inputs!$B$7)/Inputs!$B$7</f>
        <v>0.895865556769139</v>
      </c>
      <c r="G152" s="28" t="n">
        <f aca="false">(Result!$B$29+(F152*Inputs!$B$7-Residents!$B$189)*Occupancy!$B$11)/12</f>
        <v>127516.755407367</v>
      </c>
      <c r="H152" s="28" t="n">
        <f aca="false">MAX(0,-G152)</f>
        <v>0</v>
      </c>
      <c r="I152" s="28" t="n">
        <f aca="false">IF(G152&lt;$G$5*0.995,$G$5-G152,0)</f>
        <v>0</v>
      </c>
    </row>
    <row r="153" customFormat="false" ht="15" hidden="false" customHeight="false" outlineLevel="0" collapsed="false">
      <c r="A153" s="39" t="n">
        <v>145</v>
      </c>
      <c r="B153" s="31" t="n">
        <f aca="false">IF(SUM(C153:E153)&lt;Inputs!$B$7,MIN(Inputs!$B$8+(Inputs!$B$9-Inputs!$B$8)*MAX(0,($G$4-SUM(C153:E153)/Inputs!$B$7)/$G$4),Inputs!$B$7-SUM(C153:E153)),0)</f>
        <v>2.79</v>
      </c>
      <c r="C153" s="31" t="n">
        <f aca="false">B152*(1-Inputs!$B$10)</f>
        <v>2.46915</v>
      </c>
      <c r="D153" s="31" t="n">
        <f aca="false">C152*(1-Inputs!$B$11)</f>
        <v>2.33334675</v>
      </c>
      <c r="E153" s="31" t="n">
        <f aca="false">D152*(1-Inputs!$B$11)+E152*(1-Inputs!$B$12)</f>
        <v>55.1183812136361</v>
      </c>
      <c r="F153" s="37" t="n">
        <f aca="false">MIN(SUM(B153:E153),Inputs!$B$7)/Inputs!$B$7</f>
        <v>0.895869685194802</v>
      </c>
      <c r="G153" s="28" t="n">
        <f aca="false">(Result!$B$29+(F153*Inputs!$B$7-Residents!$B$189)*Occupancy!$B$11)/12</f>
        <v>127517.841351775</v>
      </c>
      <c r="H153" s="28" t="n">
        <f aca="false">MAX(0,-G153)</f>
        <v>0</v>
      </c>
      <c r="I153" s="28" t="n">
        <f aca="false">IF(G153&lt;$G$5*0.995,$G$5-G153,0)</f>
        <v>0</v>
      </c>
    </row>
    <row r="154" customFormat="false" ht="15" hidden="false" customHeight="false" outlineLevel="0" collapsed="false">
      <c r="A154" s="39" t="n">
        <v>146</v>
      </c>
      <c r="B154" s="31" t="n">
        <f aca="false">IF(SUM(C154:E154)&lt;Inputs!$B$7,MIN(Inputs!$B$8+(Inputs!$B$9-Inputs!$B$8)*MAX(0,($G$4-SUM(C154:E154)/Inputs!$B$7)/$G$4),Inputs!$B$7-SUM(C154:E154)),0)</f>
        <v>2.79</v>
      </c>
      <c r="C154" s="31" t="n">
        <f aca="false">B153*(1-Inputs!$B$10)</f>
        <v>2.46915</v>
      </c>
      <c r="D154" s="31" t="n">
        <f aca="false">C153*(1-Inputs!$B$11)</f>
        <v>2.33334675</v>
      </c>
      <c r="E154" s="31" t="n">
        <f aca="false">D153*(1-Inputs!$B$11)+E153*(1-Inputs!$B$12)</f>
        <v>55.1186586438407</v>
      </c>
      <c r="F154" s="37" t="n">
        <f aca="false">MIN(SUM(B154:E154),Inputs!$B$7)/Inputs!$B$7</f>
        <v>0.895873648483438</v>
      </c>
      <c r="G154" s="28" t="n">
        <f aca="false">(Result!$B$29+(F154*Inputs!$B$7-Residents!$B$189)*Occupancy!$B$11)/12</f>
        <v>127518.883858408</v>
      </c>
      <c r="H154" s="28" t="n">
        <f aca="false">MAX(0,-G154)</f>
        <v>0</v>
      </c>
      <c r="I154" s="28" t="n">
        <f aca="false">IF(G154&lt;$G$5*0.995,$G$5-G154,0)</f>
        <v>0</v>
      </c>
    </row>
    <row r="155" customFormat="false" ht="15" hidden="false" customHeight="false" outlineLevel="0" collapsed="false">
      <c r="A155" s="39" t="n">
        <v>147</v>
      </c>
      <c r="B155" s="31" t="n">
        <f aca="false">IF(SUM(C155:E155)&lt;Inputs!$B$7,MIN(Inputs!$B$8+(Inputs!$B$9-Inputs!$B$8)*MAX(0,($G$4-SUM(C155:E155)/Inputs!$B$7)/$G$4),Inputs!$B$7-SUM(C155:E155)),0)</f>
        <v>2.79</v>
      </c>
      <c r="C155" s="31" t="n">
        <f aca="false">B154*(1-Inputs!$B$10)</f>
        <v>2.46915</v>
      </c>
      <c r="D155" s="31" t="n">
        <f aca="false">C154*(1-Inputs!$B$11)</f>
        <v>2.33334675</v>
      </c>
      <c r="E155" s="31" t="n">
        <f aca="false">D154*(1-Inputs!$B$11)+E154*(1-Inputs!$B$12)</f>
        <v>55.118924976837</v>
      </c>
      <c r="F155" s="37" t="n">
        <f aca="false">MIN(SUM(B155:E155),Inputs!$B$7)/Inputs!$B$7</f>
        <v>0.895877453240529</v>
      </c>
      <c r="G155" s="28" t="n">
        <f aca="false">(Result!$B$29+(F155*Inputs!$B$7-Residents!$B$189)*Occupancy!$B$11)/12</f>
        <v>127519.884664774</v>
      </c>
      <c r="H155" s="28" t="n">
        <f aca="false">MAX(0,-G155)</f>
        <v>0</v>
      </c>
      <c r="I155" s="28" t="n">
        <f aca="false">IF(G155&lt;$G$5*0.995,$G$5-G155,0)</f>
        <v>0</v>
      </c>
    </row>
    <row r="156" customFormat="false" ht="15" hidden="false" customHeight="false" outlineLevel="0" collapsed="false">
      <c r="A156" s="39" t="n">
        <v>148</v>
      </c>
      <c r="B156" s="31" t="n">
        <f aca="false">IF(SUM(C156:E156)&lt;Inputs!$B$7,MIN(Inputs!$B$8+(Inputs!$B$9-Inputs!$B$8)*MAX(0,($G$4-SUM(C156:E156)/Inputs!$B$7)/$G$4),Inputs!$B$7-SUM(C156:E156)),0)</f>
        <v>2.79</v>
      </c>
      <c r="C156" s="31" t="n">
        <f aca="false">B155*(1-Inputs!$B$10)</f>
        <v>2.46915</v>
      </c>
      <c r="D156" s="31" t="n">
        <f aca="false">C155*(1-Inputs!$B$11)</f>
        <v>2.33334675</v>
      </c>
      <c r="E156" s="31" t="n">
        <f aca="false">D155*(1-Inputs!$B$11)+E155*(1-Inputs!$B$12)</f>
        <v>55.1191806565136</v>
      </c>
      <c r="F156" s="37" t="n">
        <f aca="false">MIN(SUM(B156:E156),Inputs!$B$7)/Inputs!$B$7</f>
        <v>0.895881105807337</v>
      </c>
      <c r="G156" s="28" t="n">
        <f aca="false">(Result!$B$29+(F156*Inputs!$B$7-Residents!$B$189)*Occupancy!$B$11)/12</f>
        <v>127520.845438887</v>
      </c>
      <c r="H156" s="28" t="n">
        <f aca="false">MAX(0,-G156)</f>
        <v>0</v>
      </c>
      <c r="I156" s="28" t="n">
        <f aca="false">IF(G156&lt;$G$5*0.995,$G$5-G156,0)</f>
        <v>0</v>
      </c>
    </row>
    <row r="157" customFormat="false" ht="15" hidden="false" customHeight="false" outlineLevel="0" collapsed="false">
      <c r="A157" s="39" t="n">
        <v>149</v>
      </c>
      <c r="B157" s="31" t="n">
        <f aca="false">IF(SUM(C157:E157)&lt;Inputs!$B$7,MIN(Inputs!$B$8+(Inputs!$B$9-Inputs!$B$8)*MAX(0,($G$4-SUM(C157:E157)/Inputs!$B$7)/$G$4),Inputs!$B$7-SUM(C157:E157)),0)</f>
        <v>2.79</v>
      </c>
      <c r="C157" s="31" t="n">
        <f aca="false">B156*(1-Inputs!$B$10)</f>
        <v>2.46915</v>
      </c>
      <c r="D157" s="31" t="n">
        <f aca="false">C156*(1-Inputs!$B$11)</f>
        <v>2.33334675</v>
      </c>
      <c r="E157" s="31" t="n">
        <f aca="false">D156*(1-Inputs!$B$11)+E156*(1-Inputs!$B$12)</f>
        <v>55.119426109003</v>
      </c>
      <c r="F157" s="37" t="n">
        <f aca="false">MIN(SUM(B157:E157),Inputs!$B$7)/Inputs!$B$7</f>
        <v>0.895884612271472</v>
      </c>
      <c r="G157" s="28" t="n">
        <f aca="false">(Result!$B$29+(F157*Inputs!$B$7-Residents!$B$189)*Occupancy!$B$11)/12</f>
        <v>127521.767782034</v>
      </c>
      <c r="H157" s="28" t="n">
        <f aca="false">MAX(0,-G157)</f>
        <v>0</v>
      </c>
      <c r="I157" s="28" t="n">
        <f aca="false">IF(G157&lt;$G$5*0.995,$G$5-G157,0)</f>
        <v>0</v>
      </c>
    </row>
    <row r="158" customFormat="false" ht="15" hidden="false" customHeight="false" outlineLevel="0" collapsed="false">
      <c r="A158" s="39" t="n">
        <v>150</v>
      </c>
      <c r="B158" s="31" t="n">
        <f aca="false">IF(SUM(C158:E158)&lt;Inputs!$B$7,MIN(Inputs!$B$8+(Inputs!$B$9-Inputs!$B$8)*MAX(0,($G$4-SUM(C158:E158)/Inputs!$B$7)/$G$4),Inputs!$B$7-SUM(C158:E158)),0)</f>
        <v>2.79</v>
      </c>
      <c r="C158" s="31" t="n">
        <f aca="false">B157*(1-Inputs!$B$10)</f>
        <v>2.46915</v>
      </c>
      <c r="D158" s="31" t="n">
        <f aca="false">C157*(1-Inputs!$B$11)</f>
        <v>2.33334675</v>
      </c>
      <c r="E158" s="31" t="n">
        <f aca="false">D157*(1-Inputs!$B$11)+E157*(1-Inputs!$B$12)</f>
        <v>55.1196617433929</v>
      </c>
      <c r="F158" s="37" t="n">
        <f aca="false">MIN(SUM(B158:E158),Inputs!$B$7)/Inputs!$B$7</f>
        <v>0.895887978477041</v>
      </c>
      <c r="G158" s="28" t="n">
        <f aca="false">(Result!$B$29+(F158*Inputs!$B$7-Residents!$B$189)*Occupancy!$B$11)/12</f>
        <v>127522.653231456</v>
      </c>
      <c r="H158" s="28" t="n">
        <f aca="false">MAX(0,-G158)</f>
        <v>0</v>
      </c>
      <c r="I158" s="28" t="n">
        <f aca="false">IF(G158&lt;$G$5*0.995,$G$5-G158,0)</f>
        <v>0</v>
      </c>
    </row>
    <row r="159" customFormat="false" ht="15" hidden="false" customHeight="false" outlineLevel="0" collapsed="false">
      <c r="A159" s="39" t="n">
        <v>151</v>
      </c>
      <c r="B159" s="31" t="n">
        <f aca="false">IF(SUM(C159:E159)&lt;Inputs!$B$7,MIN(Inputs!$B$8+(Inputs!$B$9-Inputs!$B$8)*MAX(0,($G$4-SUM(C159:E159)/Inputs!$B$7)/$G$4),Inputs!$B$7-SUM(C159:E159)),0)</f>
        <v>2.79</v>
      </c>
      <c r="C159" s="31" t="n">
        <f aca="false">B158*(1-Inputs!$B$10)</f>
        <v>2.46915</v>
      </c>
      <c r="D159" s="31" t="n">
        <f aca="false">C158*(1-Inputs!$B$11)</f>
        <v>2.33334675</v>
      </c>
      <c r="E159" s="31" t="n">
        <f aca="false">D158*(1-Inputs!$B$11)+E158*(1-Inputs!$B$12)</f>
        <v>55.1198879524072</v>
      </c>
      <c r="F159" s="37" t="n">
        <f aca="false">MIN(SUM(B159:E159),Inputs!$B$7)/Inputs!$B$7</f>
        <v>0.895891210034388</v>
      </c>
      <c r="G159" s="28" t="n">
        <f aca="false">(Result!$B$29+(F159*Inputs!$B$7-Residents!$B$189)*Occupancy!$B$11)/12</f>
        <v>127523.503262901</v>
      </c>
      <c r="H159" s="28" t="n">
        <f aca="false">MAX(0,-G159)</f>
        <v>0</v>
      </c>
      <c r="I159" s="28" t="n">
        <f aca="false">IF(G159&lt;$G$5*0.995,$G$5-G159,0)</f>
        <v>0</v>
      </c>
    </row>
    <row r="160" customFormat="false" ht="15" hidden="false" customHeight="false" outlineLevel="0" collapsed="false">
      <c r="A160" s="39" t="n">
        <v>152</v>
      </c>
      <c r="B160" s="31" t="n">
        <f aca="false">IF(SUM(C160:E160)&lt;Inputs!$B$7,MIN(Inputs!$B$8+(Inputs!$B$9-Inputs!$B$8)*MAX(0,($G$4-SUM(C160:E160)/Inputs!$B$7)/$G$4),Inputs!$B$7-SUM(C160:E160)),0)</f>
        <v>2.79</v>
      </c>
      <c r="C160" s="31" t="n">
        <f aca="false">B159*(1-Inputs!$B$10)</f>
        <v>2.46915</v>
      </c>
      <c r="D160" s="31" t="n">
        <f aca="false">C159*(1-Inputs!$B$11)</f>
        <v>2.33334675</v>
      </c>
      <c r="E160" s="31" t="n">
        <f aca="false">D159*(1-Inputs!$B$11)+E159*(1-Inputs!$B$12)</f>
        <v>55.1201051130609</v>
      </c>
      <c r="F160" s="37" t="n">
        <f aca="false">MIN(SUM(B160:E160),Inputs!$B$7)/Inputs!$B$7</f>
        <v>0.895894312329441</v>
      </c>
      <c r="G160" s="28" t="n">
        <f aca="false">(Result!$B$29+(F160*Inputs!$B$7-Residents!$B$189)*Occupancy!$B$11)/12</f>
        <v>127524.319293088</v>
      </c>
      <c r="H160" s="28" t="n">
        <f aca="false">MAX(0,-G160)</f>
        <v>0</v>
      </c>
      <c r="I160" s="28" t="n">
        <f aca="false">IF(G160&lt;$G$5*0.995,$G$5-G160,0)</f>
        <v>0</v>
      </c>
    </row>
    <row r="161" customFormat="false" ht="15" hidden="false" customHeight="false" outlineLevel="0" collapsed="false">
      <c r="A161" s="39" t="n">
        <v>153</v>
      </c>
      <c r="B161" s="31" t="n">
        <f aca="false">IF(SUM(C161:E161)&lt;Inputs!$B$7,MIN(Inputs!$B$8+(Inputs!$B$9-Inputs!$B$8)*MAX(0,($G$4-SUM(C161:E161)/Inputs!$B$7)/$G$4),Inputs!$B$7-SUM(C161:E161)),0)</f>
        <v>2.79</v>
      </c>
      <c r="C161" s="31" t="n">
        <f aca="false">B160*(1-Inputs!$B$10)</f>
        <v>2.46915</v>
      </c>
      <c r="D161" s="31" t="n">
        <f aca="false">C160*(1-Inputs!$B$11)</f>
        <v>2.33334675</v>
      </c>
      <c r="E161" s="31" t="n">
        <f aca="false">D160*(1-Inputs!$B$11)+E160*(1-Inputs!$B$12)</f>
        <v>55.1203135872885</v>
      </c>
      <c r="F161" s="37" t="n">
        <f aca="false">MIN(SUM(B161:E161),Inputs!$B$7)/Inputs!$B$7</f>
        <v>0.895897290532692</v>
      </c>
      <c r="G161" s="28" t="n">
        <f aca="false">(Result!$B$29+(F161*Inputs!$B$7-Residents!$B$189)*Occupancy!$B$11)/12</f>
        <v>127525.102682068</v>
      </c>
      <c r="H161" s="28" t="n">
        <f aca="false">MAX(0,-G161)</f>
        <v>0</v>
      </c>
      <c r="I161" s="28" t="n">
        <f aca="false">IF(G161&lt;$G$5*0.995,$G$5-G161,0)</f>
        <v>0</v>
      </c>
    </row>
    <row r="162" customFormat="false" ht="15" hidden="false" customHeight="false" outlineLevel="0" collapsed="false">
      <c r="A162" s="39" t="n">
        <v>154</v>
      </c>
      <c r="B162" s="31" t="n">
        <f aca="false">IF(SUM(C162:E162)&lt;Inputs!$B$7,MIN(Inputs!$B$8+(Inputs!$B$9-Inputs!$B$8)*MAX(0,($G$4-SUM(C162:E162)/Inputs!$B$7)/$G$4),Inputs!$B$7-SUM(C162:E162)),0)</f>
        <v>2.79</v>
      </c>
      <c r="C162" s="31" t="n">
        <f aca="false">B161*(1-Inputs!$B$10)</f>
        <v>2.46915</v>
      </c>
      <c r="D162" s="31" t="n">
        <f aca="false">C161*(1-Inputs!$B$11)</f>
        <v>2.33334675</v>
      </c>
      <c r="E162" s="31" t="n">
        <f aca="false">D161*(1-Inputs!$B$11)+E161*(1-Inputs!$B$12)</f>
        <v>55.1205137225469</v>
      </c>
      <c r="F162" s="37" t="n">
        <f aca="false">MIN(SUM(B162:E162),Inputs!$B$7)/Inputs!$B$7</f>
        <v>0.895900149607813</v>
      </c>
      <c r="G162" s="28" t="n">
        <f aca="false">(Result!$B$29+(F162*Inputs!$B$7-Residents!$B$189)*Occupancy!$B$11)/12</f>
        <v>127525.854735488</v>
      </c>
      <c r="H162" s="28" t="n">
        <f aca="false">MAX(0,-G162)</f>
        <v>0</v>
      </c>
      <c r="I162" s="28" t="n">
        <f aca="false">IF(G162&lt;$G$5*0.995,$G$5-G162,0)</f>
        <v>0</v>
      </c>
    </row>
    <row r="163" customFormat="false" ht="15" hidden="false" customHeight="false" outlineLevel="0" collapsed="false">
      <c r="A163" s="39" t="n">
        <v>155</v>
      </c>
      <c r="B163" s="31" t="n">
        <f aca="false">IF(SUM(C163:E163)&lt;Inputs!$B$7,MIN(Inputs!$B$8+(Inputs!$B$9-Inputs!$B$8)*MAX(0,($G$4-SUM(C163:E163)/Inputs!$B$7)/$G$4),Inputs!$B$7-SUM(C163:E163)),0)</f>
        <v>2.79</v>
      </c>
      <c r="C163" s="31" t="n">
        <f aca="false">B162*(1-Inputs!$B$10)</f>
        <v>2.46915</v>
      </c>
      <c r="D163" s="31" t="n">
        <f aca="false">C162*(1-Inputs!$B$11)</f>
        <v>2.33334675</v>
      </c>
      <c r="E163" s="31" t="n">
        <f aca="false">D162*(1-Inputs!$B$11)+E162*(1-Inputs!$B$12)</f>
        <v>55.120705852395</v>
      </c>
      <c r="F163" s="37" t="n">
        <f aca="false">MIN(SUM(B163:E163),Inputs!$B$7)/Inputs!$B$7</f>
        <v>0.895902894319929</v>
      </c>
      <c r="G163" s="28" t="n">
        <f aca="false">(Result!$B$29+(F163*Inputs!$B$7-Residents!$B$189)*Occupancy!$B$11)/12</f>
        <v>127526.576706772</v>
      </c>
      <c r="H163" s="28" t="n">
        <f aca="false">MAX(0,-G163)</f>
        <v>0</v>
      </c>
      <c r="I163" s="28" t="n">
        <f aca="false">IF(G163&lt;$G$5*0.995,$G$5-G163,0)</f>
        <v>0</v>
      </c>
    </row>
    <row r="164" customFormat="false" ht="15" hidden="false" customHeight="false" outlineLevel="0" collapsed="false">
      <c r="A164" s="39" t="n">
        <v>156</v>
      </c>
      <c r="B164" s="31" t="n">
        <f aca="false">IF(SUM(C164:E164)&lt;Inputs!$B$7,MIN(Inputs!$B$8+(Inputs!$B$9-Inputs!$B$8)*MAX(0,($G$4-SUM(C164:E164)/Inputs!$B$7)/$G$4),Inputs!$B$7-SUM(C164:E164)),0)</f>
        <v>2.79</v>
      </c>
      <c r="C164" s="31" t="n">
        <f aca="false">B163*(1-Inputs!$B$10)</f>
        <v>2.46915</v>
      </c>
      <c r="D164" s="31" t="n">
        <f aca="false">C163*(1-Inputs!$B$11)</f>
        <v>2.33334675</v>
      </c>
      <c r="E164" s="31" t="n">
        <f aca="false">D163*(1-Inputs!$B$11)+E163*(1-Inputs!$B$12)</f>
        <v>55.1208902970492</v>
      </c>
      <c r="F164" s="37" t="n">
        <f aca="false">MIN(SUM(B164:E164),Inputs!$B$7)/Inputs!$B$7</f>
        <v>0.895905529243561</v>
      </c>
      <c r="G164" s="28" t="n">
        <f aca="false">(Result!$B$29+(F164*Inputs!$B$7-Residents!$B$189)*Occupancy!$B$11)/12</f>
        <v>127527.269799204</v>
      </c>
      <c r="H164" s="28" t="n">
        <f aca="false">MAX(0,-G164)</f>
        <v>0</v>
      </c>
      <c r="I164" s="28" t="n">
        <f aca="false">IF(G164&lt;$G$5*0.995,$G$5-G164,0)</f>
        <v>0</v>
      </c>
    </row>
    <row r="165" customFormat="false" ht="15" hidden="false" customHeight="false" outlineLevel="0" collapsed="false">
      <c r="A165" s="39" t="n">
        <v>157</v>
      </c>
      <c r="B165" s="31" t="n">
        <f aca="false">IF(SUM(C165:E165)&lt;Inputs!$B$7,MIN(Inputs!$B$8+(Inputs!$B$9-Inputs!$B$8)*MAX(0,($G$4-SUM(C165:E165)/Inputs!$B$7)/$G$4),Inputs!$B$7-SUM(C165:E165)),0)</f>
        <v>2.79</v>
      </c>
      <c r="C165" s="31" t="n">
        <f aca="false">B164*(1-Inputs!$B$10)</f>
        <v>2.46915</v>
      </c>
      <c r="D165" s="31" t="n">
        <f aca="false">C164*(1-Inputs!$B$11)</f>
        <v>2.33334675</v>
      </c>
      <c r="E165" s="31" t="n">
        <f aca="false">D164*(1-Inputs!$B$11)+E164*(1-Inputs!$B$12)</f>
        <v>55.1210673639173</v>
      </c>
      <c r="F165" s="37" t="n">
        <f aca="false">MIN(SUM(B165:E165),Inputs!$B$7)/Inputs!$B$7</f>
        <v>0.895908058770247</v>
      </c>
      <c r="G165" s="28" t="n">
        <f aca="false">(Result!$B$29+(F165*Inputs!$B$7-Residents!$B$189)*Occupancy!$B$11)/12</f>
        <v>127527.935167939</v>
      </c>
      <c r="H165" s="28" t="n">
        <f aca="false">MAX(0,-G165)</f>
        <v>0</v>
      </c>
      <c r="I165" s="28" t="n">
        <f aca="false">IF(G165&lt;$G$5*0.995,$G$5-G165,0)</f>
        <v>0</v>
      </c>
    </row>
    <row r="166" customFormat="false" ht="15" hidden="false" customHeight="false" outlineLevel="0" collapsed="false">
      <c r="A166" s="39" t="n">
        <v>158</v>
      </c>
      <c r="B166" s="31" t="n">
        <f aca="false">IF(SUM(C166:E166)&lt;Inputs!$B$7,MIN(Inputs!$B$8+(Inputs!$B$9-Inputs!$B$8)*MAX(0,($G$4-SUM(C166:E166)/Inputs!$B$7)/$G$4),Inputs!$B$7-SUM(C166:E166)),0)</f>
        <v>2.79</v>
      </c>
      <c r="C166" s="31" t="n">
        <f aca="false">B165*(1-Inputs!$B$10)</f>
        <v>2.46915</v>
      </c>
      <c r="D166" s="31" t="n">
        <f aca="false">C165*(1-Inputs!$B$11)</f>
        <v>2.33334675</v>
      </c>
      <c r="E166" s="31" t="n">
        <f aca="false">D165*(1-Inputs!$B$11)+E165*(1-Inputs!$B$12)</f>
        <v>55.1212373481106</v>
      </c>
      <c r="F166" s="37" t="n">
        <f aca="false">MIN(SUM(B166:E166),Inputs!$B$7)/Inputs!$B$7</f>
        <v>0.895910487115865</v>
      </c>
      <c r="G166" s="28" t="n">
        <f aca="false">(Result!$B$29+(F166*Inputs!$B$7-Residents!$B$189)*Occupancy!$B$11)/12</f>
        <v>127528.573921925</v>
      </c>
      <c r="H166" s="28" t="n">
        <f aca="false">MAX(0,-G166)</f>
        <v>0</v>
      </c>
      <c r="I166" s="28" t="n">
        <f aca="false">IF(G166&lt;$G$5*0.995,$G$5-G166,0)</f>
        <v>0</v>
      </c>
    </row>
    <row r="167" customFormat="false" ht="15" hidden="false" customHeight="false" outlineLevel="0" collapsed="false">
      <c r="A167" s="39" t="n">
        <v>159</v>
      </c>
      <c r="B167" s="31" t="n">
        <f aca="false">IF(SUM(C167:E167)&lt;Inputs!$B$7,MIN(Inputs!$B$8+(Inputs!$B$9-Inputs!$B$8)*MAX(0,($G$4-SUM(C167:E167)/Inputs!$B$7)/$G$4),Inputs!$B$7-SUM(C167:E167)),0)</f>
        <v>2.79</v>
      </c>
      <c r="C167" s="31" t="n">
        <f aca="false">B166*(1-Inputs!$B$10)</f>
        <v>2.46915</v>
      </c>
      <c r="D167" s="31" t="n">
        <f aca="false">C166*(1-Inputs!$B$11)</f>
        <v>2.33334675</v>
      </c>
      <c r="E167" s="31" t="n">
        <f aca="false">D166*(1-Inputs!$B$11)+E166*(1-Inputs!$B$12)</f>
        <v>55.1214005329362</v>
      </c>
      <c r="F167" s="37" t="n">
        <f aca="false">MIN(SUM(B167:E167),Inputs!$B$7)/Inputs!$B$7</f>
        <v>0.895912818327659</v>
      </c>
      <c r="G167" s="28" t="n">
        <f aca="false">(Result!$B$29+(F167*Inputs!$B$7-Residents!$B$189)*Occupancy!$B$11)/12</f>
        <v>127529.187125751</v>
      </c>
      <c r="H167" s="28" t="n">
        <f aca="false">MAX(0,-G167)</f>
        <v>0</v>
      </c>
      <c r="I167" s="28" t="n">
        <f aca="false">IF(G167&lt;$G$5*0.995,$G$5-G167,0)</f>
        <v>0</v>
      </c>
    </row>
    <row r="168" customFormat="false" ht="15" hidden="false" customHeight="false" outlineLevel="0" collapsed="false">
      <c r="A168" s="39" t="n">
        <v>160</v>
      </c>
      <c r="B168" s="31" t="n">
        <f aca="false">IF(SUM(C168:E168)&lt;Inputs!$B$7,MIN(Inputs!$B$8+(Inputs!$B$9-Inputs!$B$8)*MAX(0,($G$4-SUM(C168:E168)/Inputs!$B$7)/$G$4),Inputs!$B$7-SUM(C168:E168)),0)</f>
        <v>2.79</v>
      </c>
      <c r="C168" s="31" t="n">
        <f aca="false">B167*(1-Inputs!$B$10)</f>
        <v>2.46915</v>
      </c>
      <c r="D168" s="31" t="n">
        <f aca="false">C167*(1-Inputs!$B$11)</f>
        <v>2.33334675</v>
      </c>
      <c r="E168" s="31" t="n">
        <f aca="false">D167*(1-Inputs!$B$11)+E167*(1-Inputs!$B$12)</f>
        <v>55.1215571903687</v>
      </c>
      <c r="F168" s="37" t="n">
        <f aca="false">MIN(SUM(B168:E168),Inputs!$B$7)/Inputs!$B$7</f>
        <v>0.895915056290982</v>
      </c>
      <c r="G168" s="28" t="n">
        <f aca="false">(Result!$B$29+(F168*Inputs!$B$7-Residents!$B$189)*Occupancy!$B$11)/12</f>
        <v>127529.775801424</v>
      </c>
      <c r="H168" s="28" t="n">
        <f aca="false">MAX(0,-G168)</f>
        <v>0</v>
      </c>
      <c r="I168" s="28" t="n">
        <f aca="false">IF(G168&lt;$G$5*0.995,$G$5-G168,0)</f>
        <v>0</v>
      </c>
    </row>
    <row r="169" customFormat="false" ht="15" hidden="false" customHeight="false" outlineLevel="0" collapsed="false">
      <c r="A169" s="39" t="n">
        <v>161</v>
      </c>
      <c r="B169" s="31" t="n">
        <f aca="false">IF(SUM(C169:E169)&lt;Inputs!$B$7,MIN(Inputs!$B$8+(Inputs!$B$9-Inputs!$B$8)*MAX(0,($G$4-SUM(C169:E169)/Inputs!$B$7)/$G$4),Inputs!$B$7-SUM(C169:E169)),0)</f>
        <v>2.79</v>
      </c>
      <c r="C169" s="31" t="n">
        <f aca="false">B168*(1-Inputs!$B$10)</f>
        <v>2.46915</v>
      </c>
      <c r="D169" s="31" t="n">
        <f aca="false">C168*(1-Inputs!$B$11)</f>
        <v>2.33334675</v>
      </c>
      <c r="E169" s="31" t="n">
        <f aca="false">D168*(1-Inputs!$B$11)+E168*(1-Inputs!$B$12)</f>
        <v>55.121707581504</v>
      </c>
      <c r="F169" s="37" t="n">
        <f aca="false">MIN(SUM(B169:E169),Inputs!$B$7)/Inputs!$B$7</f>
        <v>0.895917204735771</v>
      </c>
      <c r="G169" s="28" t="n">
        <f aca="false">(Result!$B$29+(F169*Inputs!$B$7-Residents!$B$189)*Occupancy!$B$11)/12</f>
        <v>127530.34093007</v>
      </c>
      <c r="H169" s="28" t="n">
        <f aca="false">MAX(0,-G169)</f>
        <v>0</v>
      </c>
      <c r="I169" s="28" t="n">
        <f aca="false">IF(G169&lt;$G$5*0.995,$G$5-G169,0)</f>
        <v>0</v>
      </c>
    </row>
    <row r="170" customFormat="false" ht="15" hidden="false" customHeight="false" outlineLevel="0" collapsed="false">
      <c r="A170" s="39" t="n">
        <v>162</v>
      </c>
      <c r="B170" s="31" t="n">
        <f aca="false">IF(SUM(C170:E170)&lt;Inputs!$B$7,MIN(Inputs!$B$8+(Inputs!$B$9-Inputs!$B$8)*MAX(0,($G$4-SUM(C170:E170)/Inputs!$B$7)/$G$4),Inputs!$B$7-SUM(C170:E170)),0)</f>
        <v>2.79</v>
      </c>
      <c r="C170" s="31" t="n">
        <f aca="false">B169*(1-Inputs!$B$10)</f>
        <v>2.46915</v>
      </c>
      <c r="D170" s="31" t="n">
        <f aca="false">C169*(1-Inputs!$B$11)</f>
        <v>2.33334675</v>
      </c>
      <c r="E170" s="31" t="n">
        <f aca="false">D169*(1-Inputs!$B$11)+E169*(1-Inputs!$B$12)</f>
        <v>55.1218519569938</v>
      </c>
      <c r="F170" s="37" t="n">
        <f aca="false">MIN(SUM(B170:E170),Inputs!$B$7)/Inputs!$B$7</f>
        <v>0.895919267242769</v>
      </c>
      <c r="G170" s="28" t="n">
        <f aca="false">(Result!$B$29+(F170*Inputs!$B$7-Residents!$B$189)*Occupancy!$B$11)/12</f>
        <v>127530.883453571</v>
      </c>
      <c r="H170" s="28" t="n">
        <f aca="false">MAX(0,-G170)</f>
        <v>0</v>
      </c>
      <c r="I170" s="28" t="n">
        <f aca="false">IF(G170&lt;$G$5*0.995,$G$5-G170,0)</f>
        <v>0</v>
      </c>
    </row>
    <row r="171" customFormat="false" ht="15" hidden="false" customHeight="false" outlineLevel="0" collapsed="false">
      <c r="A171" s="39" t="n">
        <v>163</v>
      </c>
      <c r="B171" s="31" t="n">
        <f aca="false">IF(SUM(C171:E171)&lt;Inputs!$B$7,MIN(Inputs!$B$8+(Inputs!$B$9-Inputs!$B$8)*MAX(0,($G$4-SUM(C171:E171)/Inputs!$B$7)/$G$4),Inputs!$B$7-SUM(C171:E171)),0)</f>
        <v>2.79</v>
      </c>
      <c r="C171" s="31" t="n">
        <f aca="false">B170*(1-Inputs!$B$10)</f>
        <v>2.46915</v>
      </c>
      <c r="D171" s="31" t="n">
        <f aca="false">C170*(1-Inputs!$B$11)</f>
        <v>2.33334675</v>
      </c>
      <c r="E171" s="31" t="n">
        <f aca="false">D170*(1-Inputs!$B$11)+E170*(1-Inputs!$B$12)</f>
        <v>55.121990557464</v>
      </c>
      <c r="F171" s="37" t="n">
        <f aca="false">MIN(SUM(B171:E171),Inputs!$B$7)/Inputs!$B$7</f>
        <v>0.895921247249486</v>
      </c>
      <c r="G171" s="28" t="n">
        <f aca="false">(Result!$B$29+(F171*Inputs!$B$7-Residents!$B$189)*Occupancy!$B$11)/12</f>
        <v>127531.404276131</v>
      </c>
      <c r="H171" s="28" t="n">
        <f aca="false">MAX(0,-G171)</f>
        <v>0</v>
      </c>
      <c r="I171" s="28" t="n">
        <f aca="false">IF(G171&lt;$G$5*0.995,$G$5-G171,0)</f>
        <v>0</v>
      </c>
    </row>
    <row r="172" customFormat="false" ht="15" hidden="false" customHeight="false" outlineLevel="0" collapsed="false">
      <c r="A172" s="39" t="n">
        <v>164</v>
      </c>
      <c r="B172" s="31" t="n">
        <f aca="false">IF(SUM(C172:E172)&lt;Inputs!$B$7,MIN(Inputs!$B$8+(Inputs!$B$9-Inputs!$B$8)*MAX(0,($G$4-SUM(C172:E172)/Inputs!$B$7)/$G$4),Inputs!$B$7-SUM(C172:E172)),0)</f>
        <v>2.79</v>
      </c>
      <c r="C172" s="31" t="n">
        <f aca="false">B171*(1-Inputs!$B$10)</f>
        <v>2.46915</v>
      </c>
      <c r="D172" s="31" t="n">
        <f aca="false">C171*(1-Inputs!$B$11)</f>
        <v>2.33334675</v>
      </c>
      <c r="E172" s="31" t="n">
        <f aca="false">D171*(1-Inputs!$B$11)+E171*(1-Inputs!$B$12)</f>
        <v>55.1221236139155</v>
      </c>
      <c r="F172" s="37" t="n">
        <f aca="false">MIN(SUM(B172:E172),Inputs!$B$7)/Inputs!$B$7</f>
        <v>0.895923148055936</v>
      </c>
      <c r="G172" s="28" t="n">
        <f aca="false">(Result!$B$29+(F172*Inputs!$B$7-Residents!$B$189)*Occupancy!$B$11)/12</f>
        <v>127531.904265789</v>
      </c>
      <c r="H172" s="28" t="n">
        <f aca="false">MAX(0,-G172)</f>
        <v>0</v>
      </c>
      <c r="I172" s="28" t="n">
        <f aca="false">IF(G172&lt;$G$5*0.995,$G$5-G172,0)</f>
        <v>0</v>
      </c>
    </row>
    <row r="173" customFormat="false" ht="15" hidden="false" customHeight="false" outlineLevel="0" collapsed="false">
      <c r="A173" s="39" t="n">
        <v>165</v>
      </c>
      <c r="B173" s="31" t="n">
        <f aca="false">IF(SUM(C173:E173)&lt;Inputs!$B$7,MIN(Inputs!$B$8+(Inputs!$B$9-Inputs!$B$8)*MAX(0,($G$4-SUM(C173:E173)/Inputs!$B$7)/$G$4),Inputs!$B$7-SUM(C173:E173)),0)</f>
        <v>2.79</v>
      </c>
      <c r="C173" s="31" t="n">
        <f aca="false">B172*(1-Inputs!$B$10)</f>
        <v>2.46915</v>
      </c>
      <c r="D173" s="31" t="n">
        <f aca="false">C172*(1-Inputs!$B$11)</f>
        <v>2.33334675</v>
      </c>
      <c r="E173" s="31" t="n">
        <f aca="false">D172*(1-Inputs!$B$11)+E172*(1-Inputs!$B$12)</f>
        <v>55.1222513481089</v>
      </c>
      <c r="F173" s="37" t="n">
        <f aca="false">MIN(SUM(B173:E173),Inputs!$B$7)/Inputs!$B$7</f>
        <v>0.895924972830127</v>
      </c>
      <c r="G173" s="28" t="n">
        <f aca="false">(Result!$B$29+(F173*Inputs!$B$7-Residents!$B$189)*Occupancy!$B$11)/12</f>
        <v>127532.38425586</v>
      </c>
      <c r="H173" s="28" t="n">
        <f aca="false">MAX(0,-G173)</f>
        <v>0</v>
      </c>
      <c r="I173" s="28" t="n">
        <f aca="false">IF(G173&lt;$G$5*0.995,$G$5-G173,0)</f>
        <v>0</v>
      </c>
    </row>
    <row r="174" customFormat="false" ht="15" hidden="false" customHeight="false" outlineLevel="0" collapsed="false">
      <c r="A174" s="39" t="n">
        <v>166</v>
      </c>
      <c r="B174" s="31" t="n">
        <f aca="false">IF(SUM(C174:E174)&lt;Inputs!$B$7,MIN(Inputs!$B$8+(Inputs!$B$9-Inputs!$B$8)*MAX(0,($G$4-SUM(C174:E174)/Inputs!$B$7)/$G$4),Inputs!$B$7-SUM(C174:E174)),0)</f>
        <v>2.79</v>
      </c>
      <c r="C174" s="31" t="n">
        <f aca="false">B173*(1-Inputs!$B$10)</f>
        <v>2.46915</v>
      </c>
      <c r="D174" s="31" t="n">
        <f aca="false">C173*(1-Inputs!$B$11)</f>
        <v>2.33334675</v>
      </c>
      <c r="E174" s="31" t="n">
        <f aca="false">D173*(1-Inputs!$B$11)+E173*(1-Inputs!$B$12)</f>
        <v>55.1223739729345</v>
      </c>
      <c r="F174" s="37" t="n">
        <f aca="false">MIN(SUM(B174:E174),Inputs!$B$7)/Inputs!$B$7</f>
        <v>0.89592672461335</v>
      </c>
      <c r="G174" s="28" t="n">
        <f aca="false">(Result!$B$29+(F174*Inputs!$B$7-Residents!$B$189)*Occupancy!$B$11)/12</f>
        <v>127532.845046329</v>
      </c>
      <c r="H174" s="28" t="n">
        <f aca="false">MAX(0,-G174)</f>
        <v>0</v>
      </c>
      <c r="I174" s="28" t="n">
        <f aca="false">IF(G174&lt;$G$5*0.995,$G$5-G174,0)</f>
        <v>0</v>
      </c>
    </row>
    <row r="175" customFormat="false" ht="15" hidden="false" customHeight="false" outlineLevel="0" collapsed="false">
      <c r="A175" s="39" t="n">
        <v>167</v>
      </c>
      <c r="B175" s="31" t="n">
        <f aca="false">IF(SUM(C175:E175)&lt;Inputs!$B$7,MIN(Inputs!$B$8+(Inputs!$B$9-Inputs!$B$8)*MAX(0,($G$4-SUM(C175:E175)/Inputs!$B$7)/$G$4),Inputs!$B$7-SUM(C175:E175)),0)</f>
        <v>2.79</v>
      </c>
      <c r="C175" s="31" t="n">
        <f aca="false">B174*(1-Inputs!$B$10)</f>
        <v>2.46915</v>
      </c>
      <c r="D175" s="31" t="n">
        <f aca="false">C174*(1-Inputs!$B$11)</f>
        <v>2.33334675</v>
      </c>
      <c r="E175" s="31" t="n">
        <f aca="false">D174*(1-Inputs!$B$11)+E174*(1-Inputs!$B$12)</f>
        <v>55.1224916927671</v>
      </c>
      <c r="F175" s="37" t="n">
        <f aca="false">MIN(SUM(B175:E175),Inputs!$B$7)/Inputs!$B$7</f>
        <v>0.895928406325245</v>
      </c>
      <c r="G175" s="28" t="n">
        <f aca="false">(Result!$B$29+(F175*Inputs!$B$7-Residents!$B$189)*Occupancy!$B$11)/12</f>
        <v>127533.287405179</v>
      </c>
      <c r="H175" s="28" t="n">
        <f aca="false">MAX(0,-G175)</f>
        <v>0</v>
      </c>
      <c r="I175" s="28" t="n">
        <f aca="false">IF(G175&lt;$G$5*0.995,$G$5-G175,0)</f>
        <v>0</v>
      </c>
    </row>
    <row r="176" customFormat="false" ht="15" hidden="false" customHeight="false" outlineLevel="0" collapsed="false">
      <c r="A176" s="39" t="n">
        <v>168</v>
      </c>
      <c r="B176" s="31" t="n">
        <f aca="false">IF(SUM(C176:E176)&lt;Inputs!$B$7,MIN(Inputs!$B$8+(Inputs!$B$9-Inputs!$B$8)*MAX(0,($G$4-SUM(C176:E176)/Inputs!$B$7)/$G$4),Inputs!$B$7-SUM(C176:E176)),0)</f>
        <v>2.79</v>
      </c>
      <c r="C176" s="31" t="n">
        <f aca="false">B175*(1-Inputs!$B$10)</f>
        <v>2.46915</v>
      </c>
      <c r="D176" s="31" t="n">
        <f aca="false">C175*(1-Inputs!$B$11)</f>
        <v>2.33334675</v>
      </c>
      <c r="E176" s="31" t="n">
        <f aca="false">D175*(1-Inputs!$B$11)+E175*(1-Inputs!$B$12)</f>
        <v>55.1226047038064</v>
      </c>
      <c r="F176" s="37" t="n">
        <f aca="false">MIN(SUM(B176:E176),Inputs!$B$7)/Inputs!$B$7</f>
        <v>0.895930020768664</v>
      </c>
      <c r="G176" s="28" t="n">
        <f aca="false">(Result!$B$29+(F176*Inputs!$B$7-Residents!$B$189)*Occupancy!$B$11)/12</f>
        <v>127533.712069675</v>
      </c>
      <c r="H176" s="28" t="n">
        <f aca="false">MAX(0,-G176)</f>
        <v>0</v>
      </c>
      <c r="I176" s="28" t="n">
        <f aca="false">IF(G176&lt;$G$5*0.995,$G$5-G176,0)</f>
        <v>0</v>
      </c>
    </row>
    <row r="177" customFormat="false" ht="15" hidden="false" customHeight="false" outlineLevel="0" collapsed="false">
      <c r="A177" s="39" t="n">
        <v>169</v>
      </c>
      <c r="B177" s="31" t="n">
        <f aca="false">IF(SUM(C177:E177)&lt;Inputs!$B$7,MIN(Inputs!$B$8+(Inputs!$B$9-Inputs!$B$8)*MAX(0,($G$4-SUM(C177:E177)/Inputs!$B$7)/$G$4),Inputs!$B$7-SUM(C177:E177)),0)</f>
        <v>2.79</v>
      </c>
      <c r="C177" s="31" t="n">
        <f aca="false">B176*(1-Inputs!$B$10)</f>
        <v>2.46915</v>
      </c>
      <c r="D177" s="31" t="n">
        <f aca="false">C176*(1-Inputs!$B$11)</f>
        <v>2.33334675</v>
      </c>
      <c r="E177" s="31" t="n">
        <f aca="false">D176*(1-Inputs!$B$11)+E176*(1-Inputs!$B$12)</f>
        <v>55.1227131944042</v>
      </c>
      <c r="F177" s="37" t="n">
        <f aca="false">MIN(SUM(B177:E177),Inputs!$B$7)/Inputs!$B$7</f>
        <v>0.895931570634346</v>
      </c>
      <c r="G177" s="28" t="n">
        <f aca="false">(Result!$B$29+(F177*Inputs!$B$7-Residents!$B$189)*Occupancy!$B$11)/12</f>
        <v>127534.119747591</v>
      </c>
      <c r="H177" s="28" t="n">
        <f aca="false">MAX(0,-G177)</f>
        <v>0</v>
      </c>
      <c r="I177" s="28" t="n">
        <f aca="false">IF(G177&lt;$G$5*0.995,$G$5-G177,0)</f>
        <v>0</v>
      </c>
    </row>
    <row r="178" customFormat="false" ht="15" hidden="false" customHeight="false" outlineLevel="0" collapsed="false">
      <c r="A178" s="39" t="n">
        <v>170</v>
      </c>
      <c r="B178" s="31" t="n">
        <f aca="false">IF(SUM(C178:E178)&lt;Inputs!$B$7,MIN(Inputs!$B$8+(Inputs!$B$9-Inputs!$B$8)*MAX(0,($G$4-SUM(C178:E178)/Inputs!$B$7)/$G$4),Inputs!$B$7-SUM(C178:E178)),0)</f>
        <v>2.79</v>
      </c>
      <c r="C178" s="31" t="n">
        <f aca="false">B177*(1-Inputs!$B$10)</f>
        <v>2.46915</v>
      </c>
      <c r="D178" s="31" t="n">
        <f aca="false">C177*(1-Inputs!$B$11)</f>
        <v>2.33334675</v>
      </c>
      <c r="E178" s="31" t="n">
        <f aca="false">D177*(1-Inputs!$B$11)+E177*(1-Inputs!$B$12)</f>
        <v>55.122817345378</v>
      </c>
      <c r="F178" s="37" t="n">
        <f aca="false">MIN(SUM(B178:E178),Inputs!$B$7)/Inputs!$B$7</f>
        <v>0.8959330585054</v>
      </c>
      <c r="G178" s="28" t="n">
        <f aca="false">(Result!$B$29+(F178*Inputs!$B$7-Residents!$B$189)*Occupancy!$B$11)/12</f>
        <v>127534.511118391</v>
      </c>
      <c r="H178" s="28" t="n">
        <f aca="false">MAX(0,-G178)</f>
        <v>0</v>
      </c>
      <c r="I178" s="28" t="n">
        <f aca="false">IF(G178&lt;$G$5*0.995,$G$5-G178,0)</f>
        <v>0</v>
      </c>
    </row>
    <row r="179" customFormat="false" ht="15" hidden="false" customHeight="false" outlineLevel="0" collapsed="false">
      <c r="A179" s="39" t="n">
        <v>171</v>
      </c>
      <c r="B179" s="31" t="n">
        <f aca="false">IF(SUM(C179:E179)&lt;Inputs!$B$7,MIN(Inputs!$B$8+(Inputs!$B$9-Inputs!$B$8)*MAX(0,($G$4-SUM(C179:E179)/Inputs!$B$7)/$G$4),Inputs!$B$7-SUM(C179:E179)),0)</f>
        <v>2.79</v>
      </c>
      <c r="C179" s="31" t="n">
        <f aca="false">B178*(1-Inputs!$B$10)</f>
        <v>2.46915</v>
      </c>
      <c r="D179" s="31" t="n">
        <f aca="false">C178*(1-Inputs!$B$11)</f>
        <v>2.33334675</v>
      </c>
      <c r="E179" s="31" t="n">
        <f aca="false">D178*(1-Inputs!$B$11)+E178*(1-Inputs!$B$12)</f>
        <v>55.1229173303129</v>
      </c>
      <c r="F179" s="37" t="n">
        <f aca="false">MIN(SUM(B179:E179),Inputs!$B$7)/Inputs!$B$7</f>
        <v>0.895934486861613</v>
      </c>
      <c r="G179" s="28" t="n">
        <f aca="false">(Result!$B$29+(F179*Inputs!$B$7-Residents!$B$189)*Occupancy!$B$11)/12</f>
        <v>127534.886834358</v>
      </c>
      <c r="H179" s="28" t="n">
        <f aca="false">MAX(0,-G179)</f>
        <v>0</v>
      </c>
      <c r="I179" s="28" t="n">
        <f aca="false">IF(G179&lt;$G$5*0.995,$G$5-G179,0)</f>
        <v>0</v>
      </c>
    </row>
    <row r="180" customFormat="false" ht="15" hidden="false" customHeight="false" outlineLevel="0" collapsed="false">
      <c r="A180" s="39" t="n">
        <v>172</v>
      </c>
      <c r="B180" s="31" t="n">
        <f aca="false">IF(SUM(C180:E180)&lt;Inputs!$B$7,MIN(Inputs!$B$8+(Inputs!$B$9-Inputs!$B$8)*MAX(0,($G$4-SUM(C180:E180)/Inputs!$B$7)/$G$4),Inputs!$B$7-SUM(C180:E180)),0)</f>
        <v>2.79</v>
      </c>
      <c r="C180" s="31" t="n">
        <f aca="false">B179*(1-Inputs!$B$10)</f>
        <v>2.46915</v>
      </c>
      <c r="D180" s="31" t="n">
        <f aca="false">C179*(1-Inputs!$B$11)</f>
        <v>2.33334675</v>
      </c>
      <c r="E180" s="31" t="n">
        <f aca="false">D179*(1-Inputs!$B$11)+E179*(1-Inputs!$B$12)</f>
        <v>55.1230133158504</v>
      </c>
      <c r="F180" s="37" t="n">
        <f aca="false">MIN(SUM(B180:E180),Inputs!$B$7)/Inputs!$B$7</f>
        <v>0.895935858083577</v>
      </c>
      <c r="G180" s="28" t="n">
        <f aca="false">(Result!$B$29+(F180*Inputs!$B$7-Residents!$B$189)*Occupancy!$B$11)/12</f>
        <v>127535.247521687</v>
      </c>
      <c r="H180" s="28" t="n">
        <f aca="false">MAX(0,-G180)</f>
        <v>0</v>
      </c>
      <c r="I180" s="28" t="n">
        <f aca="false">IF(G180&lt;$G$5*0.995,$G$5-G180,0)</f>
        <v>0</v>
      </c>
    </row>
    <row r="181" customFormat="false" ht="15" hidden="false" customHeight="false" outlineLevel="0" collapsed="false">
      <c r="A181" s="39" t="n">
        <v>173</v>
      </c>
      <c r="B181" s="31" t="n">
        <f aca="false">IF(SUM(C181:E181)&lt;Inputs!$B$7,MIN(Inputs!$B$8+(Inputs!$B$9-Inputs!$B$8)*MAX(0,($G$4-SUM(C181:E181)/Inputs!$B$7)/$G$4),Inputs!$B$7-SUM(C181:E181)),0)</f>
        <v>2.79</v>
      </c>
      <c r="C181" s="31" t="n">
        <f aca="false">B180*(1-Inputs!$B$10)</f>
        <v>2.46915</v>
      </c>
      <c r="D181" s="31" t="n">
        <f aca="false">C180*(1-Inputs!$B$11)</f>
        <v>2.33334675</v>
      </c>
      <c r="E181" s="31" t="n">
        <f aca="false">D180*(1-Inputs!$B$11)+E180*(1-Inputs!$B$12)</f>
        <v>55.1231054619664</v>
      </c>
      <c r="F181" s="37" t="n">
        <f aca="false">MIN(SUM(B181:E181),Inputs!$B$7)/Inputs!$B$7</f>
        <v>0.895937174456662</v>
      </c>
      <c r="G181" s="28" t="n">
        <f aca="false">(Result!$B$29+(F181*Inputs!$B$7-Residents!$B$189)*Occupancy!$B$11)/12</f>
        <v>127535.593781523</v>
      </c>
      <c r="H181" s="28" t="n">
        <f aca="false">MAX(0,-G181)</f>
        <v>0</v>
      </c>
      <c r="I181" s="28" t="n">
        <f aca="false">IF(G181&lt;$G$5*0.995,$G$5-G181,0)</f>
        <v>0</v>
      </c>
    </row>
    <row r="182" customFormat="false" ht="15" hidden="false" customHeight="false" outlineLevel="0" collapsed="false">
      <c r="A182" s="39" t="n">
        <v>174</v>
      </c>
      <c r="B182" s="31" t="n">
        <f aca="false">IF(SUM(C182:E182)&lt;Inputs!$B$7,MIN(Inputs!$B$8+(Inputs!$B$9-Inputs!$B$8)*MAX(0,($G$4-SUM(C182:E182)/Inputs!$B$7)/$G$4),Inputs!$B$7-SUM(C182:E182)),0)</f>
        <v>2.79</v>
      </c>
      <c r="C182" s="31" t="n">
        <f aca="false">B181*(1-Inputs!$B$10)</f>
        <v>2.46915</v>
      </c>
      <c r="D182" s="31" t="n">
        <f aca="false">C181*(1-Inputs!$B$11)</f>
        <v>2.33334675</v>
      </c>
      <c r="E182" s="31" t="n">
        <f aca="false">D181*(1-Inputs!$B$11)+E181*(1-Inputs!$B$12)</f>
        <v>55.1231939222377</v>
      </c>
      <c r="F182" s="37" t="n">
        <f aca="false">MIN(SUM(B182:E182),Inputs!$B$7)/Inputs!$B$7</f>
        <v>0.895938438174824</v>
      </c>
      <c r="G182" s="28" t="n">
        <f aca="false">(Result!$B$29+(F182*Inputs!$B$7-Residents!$B$189)*Occupancy!$B$11)/12</f>
        <v>127535.926190965</v>
      </c>
      <c r="H182" s="28" t="n">
        <f aca="false">MAX(0,-G182)</f>
        <v>0</v>
      </c>
      <c r="I182" s="28" t="n">
        <f aca="false">IF(G182&lt;$G$5*0.995,$G$5-G182,0)</f>
        <v>0</v>
      </c>
    </row>
    <row r="183" customFormat="false" ht="15" hidden="false" customHeight="false" outlineLevel="0" collapsed="false">
      <c r="A183" s="39" t="n">
        <v>175</v>
      </c>
      <c r="B183" s="31" t="n">
        <f aca="false">IF(SUM(C183:E183)&lt;Inputs!$B$7,MIN(Inputs!$B$8+(Inputs!$B$9-Inputs!$B$8)*MAX(0,($G$4-SUM(C183:E183)/Inputs!$B$7)/$G$4),Inputs!$B$7-SUM(C183:E183)),0)</f>
        <v>2.79</v>
      </c>
      <c r="C183" s="31" t="n">
        <f aca="false">B182*(1-Inputs!$B$10)</f>
        <v>2.46915</v>
      </c>
      <c r="D183" s="31" t="n">
        <f aca="false">C182*(1-Inputs!$B$11)</f>
        <v>2.33334675</v>
      </c>
      <c r="E183" s="31" t="n">
        <f aca="false">D182*(1-Inputs!$B$11)+E182*(1-Inputs!$B$12)</f>
        <v>55.1232788440982</v>
      </c>
      <c r="F183" s="37" t="n">
        <f aca="false">MIN(SUM(B183:E183),Inputs!$B$7)/Inputs!$B$7</f>
        <v>0.89593965134426</v>
      </c>
      <c r="G183" s="28" t="n">
        <f aca="false">(Result!$B$29+(F183*Inputs!$B$7-Residents!$B$189)*Occupancy!$B$11)/12</f>
        <v>127536.24530403</v>
      </c>
      <c r="H183" s="28" t="n">
        <f aca="false">MAX(0,-G183)</f>
        <v>0</v>
      </c>
      <c r="I183" s="28" t="n">
        <f aca="false">IF(G183&lt;$G$5*0.995,$G$5-G183,0)</f>
        <v>0</v>
      </c>
    </row>
    <row r="184" customFormat="false" ht="15" hidden="false" customHeight="false" outlineLevel="0" collapsed="false">
      <c r="A184" s="39" t="n">
        <v>176</v>
      </c>
      <c r="B184" s="31" t="n">
        <f aca="false">IF(SUM(C184:E184)&lt;Inputs!$B$7,MIN(Inputs!$B$8+(Inputs!$B$9-Inputs!$B$8)*MAX(0,($G$4-SUM(C184:E184)/Inputs!$B$7)/$G$4),Inputs!$B$7-SUM(C184:E184)),0)</f>
        <v>2.79</v>
      </c>
      <c r="C184" s="31" t="n">
        <f aca="false">B183*(1-Inputs!$B$10)</f>
        <v>2.46915</v>
      </c>
      <c r="D184" s="31" t="n">
        <f aca="false">C183*(1-Inputs!$B$11)</f>
        <v>2.33334675</v>
      </c>
      <c r="E184" s="31" t="n">
        <f aca="false">D183*(1-Inputs!$B$11)+E183*(1-Inputs!$B$12)</f>
        <v>55.1233603690843</v>
      </c>
      <c r="F184" s="37" t="n">
        <f aca="false">MIN(SUM(B184:E184),Inputs!$B$7)/Inputs!$B$7</f>
        <v>0.895940815986918</v>
      </c>
      <c r="G184" s="28" t="n">
        <f aca="false">(Result!$B$29+(F184*Inputs!$B$7-Residents!$B$189)*Occupancy!$B$11)/12</f>
        <v>127536.551652572</v>
      </c>
      <c r="H184" s="28" t="n">
        <f aca="false">MAX(0,-G184)</f>
        <v>0</v>
      </c>
      <c r="I184" s="28" t="n">
        <f aca="false">IF(G184&lt;$G$5*0.995,$G$5-G184,0)</f>
        <v>0</v>
      </c>
    </row>
    <row r="185" customFormat="false" ht="15" hidden="false" customHeight="false" outlineLevel="0" collapsed="false">
      <c r="A185" s="39" t="n">
        <v>177</v>
      </c>
      <c r="B185" s="31" t="n">
        <f aca="false">IF(SUM(C185:E185)&lt;Inputs!$B$7,MIN(Inputs!$B$8+(Inputs!$B$9-Inputs!$B$8)*MAX(0,($G$4-SUM(C185:E185)/Inputs!$B$7)/$G$4),Inputs!$B$7-SUM(C185:E185)),0)</f>
        <v>2.79</v>
      </c>
      <c r="C185" s="31" t="n">
        <f aca="false">B184*(1-Inputs!$B$10)</f>
        <v>2.46915</v>
      </c>
      <c r="D185" s="31" t="n">
        <f aca="false">C184*(1-Inputs!$B$11)</f>
        <v>2.33334675</v>
      </c>
      <c r="E185" s="31" t="n">
        <f aca="false">D184*(1-Inputs!$B$11)+E184*(1-Inputs!$B$12)</f>
        <v>55.1234386330709</v>
      </c>
      <c r="F185" s="37" t="n">
        <f aca="false">MIN(SUM(B185:E185),Inputs!$B$7)/Inputs!$B$7</f>
        <v>0.89594193404387</v>
      </c>
      <c r="G185" s="28" t="n">
        <f aca="false">(Result!$B$29+(F185*Inputs!$B$7-Residents!$B$189)*Occupancy!$B$11)/12</f>
        <v>127536.845747172</v>
      </c>
      <c r="H185" s="28" t="n">
        <f aca="false">MAX(0,-G185)</f>
        <v>0</v>
      </c>
      <c r="I185" s="28" t="n">
        <f aca="false">IF(G185&lt;$G$5*0.995,$G$5-G185,0)</f>
        <v>0</v>
      </c>
    </row>
    <row r="186" customFormat="false" ht="15" hidden="false" customHeight="false" outlineLevel="0" collapsed="false">
      <c r="A186" s="39" t="n">
        <v>178</v>
      </c>
      <c r="B186" s="31" t="n">
        <f aca="false">IF(SUM(C186:E186)&lt;Inputs!$B$7,MIN(Inputs!$B$8+(Inputs!$B$9-Inputs!$B$8)*MAX(0,($G$4-SUM(C186:E186)/Inputs!$B$7)/$G$4),Inputs!$B$7-SUM(C186:E186)),0)</f>
        <v>2.79</v>
      </c>
      <c r="C186" s="31" t="n">
        <f aca="false">B185*(1-Inputs!$B$10)</f>
        <v>2.46915</v>
      </c>
      <c r="D186" s="31" t="n">
        <f aca="false">C185*(1-Inputs!$B$11)</f>
        <v>2.33334675</v>
      </c>
      <c r="E186" s="31" t="n">
        <f aca="false">D185*(1-Inputs!$B$11)+E185*(1-Inputs!$B$12)</f>
        <v>55.1235137664981</v>
      </c>
      <c r="F186" s="37" t="n">
        <f aca="false">MIN(SUM(B186:E186),Inputs!$B$7)/Inputs!$B$7</f>
        <v>0.895943007378544</v>
      </c>
      <c r="G186" s="28" t="n">
        <f aca="false">(Result!$B$29+(F186*Inputs!$B$7-Residents!$B$189)*Occupancy!$B$11)/12</f>
        <v>127537.128077988</v>
      </c>
      <c r="H186" s="28" t="n">
        <f aca="false">MAX(0,-G186)</f>
        <v>0</v>
      </c>
      <c r="I186" s="28" t="n">
        <f aca="false">IF(G186&lt;$G$5*0.995,$G$5-G186,0)</f>
        <v>0</v>
      </c>
    </row>
    <row r="187" customFormat="false" ht="15" hidden="false" customHeight="false" outlineLevel="0" collapsed="false">
      <c r="A187" s="39" t="n">
        <v>179</v>
      </c>
      <c r="B187" s="31" t="n">
        <f aca="false">IF(SUM(C187:E187)&lt;Inputs!$B$7,MIN(Inputs!$B$8+(Inputs!$B$9-Inputs!$B$8)*MAX(0,($G$4-SUM(C187:E187)/Inputs!$B$7)/$G$4),Inputs!$B$7-SUM(C187:E187)),0)</f>
        <v>2.79</v>
      </c>
      <c r="C187" s="31" t="n">
        <f aca="false">B186*(1-Inputs!$B$10)</f>
        <v>2.46915</v>
      </c>
      <c r="D187" s="31" t="n">
        <f aca="false">C186*(1-Inputs!$B$11)</f>
        <v>2.33334675</v>
      </c>
      <c r="E187" s="31" t="n">
        <f aca="false">D186*(1-Inputs!$B$11)+E186*(1-Inputs!$B$12)</f>
        <v>55.1235858945881</v>
      </c>
      <c r="F187" s="37" t="n">
        <f aca="false">MIN(SUM(B187:E187),Inputs!$B$7)/Inputs!$B$7</f>
        <v>0.895944037779831</v>
      </c>
      <c r="G187" s="28" t="n">
        <f aca="false">(Result!$B$29+(F187*Inputs!$B$7-Residents!$B$189)*Occupancy!$B$11)/12</f>
        <v>127537.399115572</v>
      </c>
      <c r="H187" s="28" t="n">
        <f aca="false">MAX(0,-G187)</f>
        <v>0</v>
      </c>
      <c r="I187" s="28" t="n">
        <f aca="false">IF(G187&lt;$G$5*0.995,$G$5-G187,0)</f>
        <v>0</v>
      </c>
    </row>
    <row r="188" customFormat="false" ht="15" hidden="false" customHeight="false" outlineLevel="0" collapsed="false">
      <c r="A188" s="39" t="n">
        <v>180</v>
      </c>
      <c r="B188" s="31" t="n">
        <f aca="false">IF(SUM(C188:E188)&lt;Inputs!$B$7,MIN(Inputs!$B$8+(Inputs!$B$9-Inputs!$B$8)*MAX(0,($G$4-SUM(C188:E188)/Inputs!$B$7)/$G$4),Inputs!$B$7-SUM(C188:E188)),0)</f>
        <v>2.79</v>
      </c>
      <c r="C188" s="31" t="n">
        <f aca="false">B187*(1-Inputs!$B$10)</f>
        <v>2.46915</v>
      </c>
      <c r="D188" s="31" t="n">
        <f aca="false">C187*(1-Inputs!$B$11)</f>
        <v>2.33334675</v>
      </c>
      <c r="E188" s="31" t="n">
        <f aca="false">D187*(1-Inputs!$B$11)+E187*(1-Inputs!$B$12)</f>
        <v>55.1236551375546</v>
      </c>
      <c r="F188" s="37" t="n">
        <f aca="false">MIN(SUM(B188:E188),Inputs!$B$7)/Inputs!$B$7</f>
        <v>0.895945026965066</v>
      </c>
      <c r="G188" s="28" t="n">
        <f aca="false">(Result!$B$29+(F188*Inputs!$B$7-Residents!$B$189)*Occupancy!$B$11)/12</f>
        <v>127537.659311652</v>
      </c>
      <c r="H188" s="28" t="n">
        <f aca="false">MAX(0,-G188)</f>
        <v>0</v>
      </c>
      <c r="I188" s="28" t="n">
        <f aca="false">IF(G188&lt;$G$5*0.995,$G$5-G188,0)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4"/>
    <col collapsed="false" customWidth="true" hidden="false" outlineLevel="0" max="2" min="2" style="0" width="64"/>
    <col collapsed="false" customWidth="true" hidden="false" outlineLevel="0" max="6" min="3" style="0" width="13"/>
    <col collapsed="false" customWidth="true" hidden="false" outlineLevel="0" max="7" min="7" style="0" width="2"/>
    <col collapsed="false" customWidth="true" hidden="false" outlineLevel="0" max="8" min="8" style="0" width="60"/>
  </cols>
  <sheetData>
    <row r="1" customFormat="false" ht="16.15" hidden="false" customHeight="false" outlineLevel="0" collapsed="false">
      <c r="A1" s="6" t="s">
        <v>333</v>
      </c>
    </row>
    <row r="2" customFormat="false" ht="15" hidden="false" customHeight="false" outlineLevel="0" collapsed="false">
      <c r="A2" s="2" t="s">
        <v>334</v>
      </c>
    </row>
    <row r="3" customFormat="false" ht="15" hidden="false" customHeight="false" outlineLevel="0" collapsed="false">
      <c r="A3" s="2" t="s">
        <v>335</v>
      </c>
    </row>
    <row r="5" customFormat="false" ht="15" hidden="false" customHeight="false" outlineLevel="0" collapsed="false">
      <c r="A5" s="40" t="s">
        <v>336</v>
      </c>
      <c r="B5" s="40" t="s">
        <v>337</v>
      </c>
      <c r="C5" s="40" t="s">
        <v>338</v>
      </c>
      <c r="D5" s="40" t="s">
        <v>339</v>
      </c>
      <c r="E5" s="40" t="s">
        <v>340</v>
      </c>
      <c r="F5" s="40" t="s">
        <v>341</v>
      </c>
      <c r="H5" s="40" t="s">
        <v>342</v>
      </c>
    </row>
    <row r="6" customFormat="false" ht="95.5" hidden="false" customHeight="false" outlineLevel="0" collapsed="false">
      <c r="A6" s="18" t="s">
        <v>343</v>
      </c>
      <c r="B6" s="5" t="s">
        <v>143</v>
      </c>
      <c r="C6" s="35" t="n">
        <v>22.5</v>
      </c>
      <c r="D6" s="35" t="n">
        <f aca="false">Residents!$B$188</f>
        <v>22.4656984439344</v>
      </c>
      <c r="E6" s="35" t="n">
        <f aca="false">D6-C6</f>
        <v>-0.034301556065568</v>
      </c>
      <c r="F6" s="18" t="str">
        <f aca="false">IF(ISNUMBER(D6)=FALSE(),"to check",IF(ABS(E6)&lt;=0.05,"reproduced",IF(ABS(E6)&lt;=0.05*3,"rounding","to check")))</f>
        <v>reproduced</v>
      </c>
      <c r="H6" s="5" t="s">
        <v>344</v>
      </c>
    </row>
    <row r="7" customFormat="false" ht="15" hidden="false" customHeight="false" outlineLevel="0" collapsed="false">
      <c r="A7" s="18" t="s">
        <v>343</v>
      </c>
      <c r="B7" s="5" t="s">
        <v>138</v>
      </c>
      <c r="C7" s="35" t="n">
        <v>62.7</v>
      </c>
      <c r="D7" s="35" t="n">
        <f aca="false">Residents!$B$189</f>
        <v>62.6792986585771</v>
      </c>
      <c r="E7" s="35" t="n">
        <f aca="false">D7-C7</f>
        <v>-0.020701341422928</v>
      </c>
      <c r="F7" s="18" t="str">
        <f aca="false">IF(ISNUMBER(D7)=FALSE(),"to check",IF(ABS(E7)&lt;=0.05,"reproduced",IF(ABS(E7)&lt;=0.05*3,"rounding","to check")))</f>
        <v>reproduced</v>
      </c>
    </row>
    <row r="8" customFormat="false" ht="15" hidden="false" customHeight="false" outlineLevel="0" collapsed="false">
      <c r="A8" s="18" t="s">
        <v>343</v>
      </c>
      <c r="B8" s="5" t="s">
        <v>145</v>
      </c>
      <c r="C8" s="37" t="n">
        <v>0.895</v>
      </c>
      <c r="D8" s="37" t="n">
        <f aca="false">Residents!$B$190</f>
        <v>0.895418552265387</v>
      </c>
      <c r="E8" s="37" t="n">
        <f aca="false">D8-C8</f>
        <v>0.000418552265386785</v>
      </c>
      <c r="F8" s="18" t="str">
        <f aca="false">IF(ISNUMBER(D8)=FALSE(),"to check",IF(ABS(E8)&lt;=0.0005,"reproduced",IF(ABS(E8)&lt;=0.0005*3,"rounding","to check")))</f>
        <v>reproduced</v>
      </c>
    </row>
    <row r="9" customFormat="false" ht="15" hidden="false" customHeight="false" outlineLevel="0" collapsed="false">
      <c r="A9" s="18" t="s">
        <v>345</v>
      </c>
      <c r="B9" s="5" t="s">
        <v>346</v>
      </c>
      <c r="C9" s="37" t="n">
        <v>0.364</v>
      </c>
      <c r="D9" s="37" t="n">
        <f aca="false">Residents!$B$193</f>
        <v>0.364308569105298</v>
      </c>
      <c r="E9" s="37" t="n">
        <f aca="false">D9-C9</f>
        <v>0.000308569105297807</v>
      </c>
      <c r="F9" s="18" t="str">
        <f aca="false">IF(ISNUMBER(D9)=FALSE(),"to check",IF(ABS(E9)&lt;=0.0005,"reproduced",IF(ABS(E9)&lt;=0.0005*3,"rounding","to check")))</f>
        <v>reproduced</v>
      </c>
    </row>
    <row r="10" customFormat="false" ht="15" hidden="false" customHeight="false" outlineLevel="0" collapsed="false">
      <c r="A10" s="18" t="s">
        <v>347</v>
      </c>
      <c r="B10" s="5" t="s">
        <v>162</v>
      </c>
      <c r="C10" s="28" t="n">
        <v>1508</v>
      </c>
      <c r="D10" s="28" t="n">
        <f aca="false">Result!$B$6</f>
        <v>1508.42065872642</v>
      </c>
      <c r="E10" s="28" t="n">
        <f aca="false">D10-C10</f>
        <v>0.420658726423881</v>
      </c>
      <c r="F10" s="18" t="str">
        <f aca="false">IF(ISNUMBER(D10)=FALSE(),"to check",IF(ABS(E10)&lt;=0.5,"reproduced",IF(ABS(E10)&lt;=0.5*3,"rounding","to check")))</f>
        <v>reproduced</v>
      </c>
    </row>
    <row r="11" customFormat="false" ht="15" hidden="false" customHeight="false" outlineLevel="0" collapsed="false">
      <c r="A11" s="18" t="s">
        <v>347</v>
      </c>
      <c r="B11" s="5" t="s">
        <v>164</v>
      </c>
      <c r="C11" s="28" t="n">
        <v>4933314</v>
      </c>
      <c r="D11" s="28" t="n">
        <f aca="false">Result!$B$7</f>
        <v>4933314.29452677</v>
      </c>
      <c r="E11" s="28" t="n">
        <f aca="false">D11-C11</f>
        <v>0.294526766985655</v>
      </c>
      <c r="F11" s="18" t="str">
        <f aca="false">IF(ISNUMBER(D11)=FALSE(),"to check",IF(ABS(E11)&lt;=0.5,"reproduced",IF(ABS(E11)&lt;=0.5*3,"rounding","to check")))</f>
        <v>reproduced</v>
      </c>
    </row>
    <row r="12" customFormat="false" ht="15" hidden="false" customHeight="false" outlineLevel="0" collapsed="false">
      <c r="A12" s="18" t="s">
        <v>348</v>
      </c>
      <c r="B12" s="5" t="s">
        <v>169</v>
      </c>
      <c r="C12" s="41" t="n">
        <v>1694</v>
      </c>
      <c r="D12" s="41" t="n">
        <f aca="false">Result!$B$11</f>
        <v>1694.19642857143</v>
      </c>
      <c r="E12" s="41" t="n">
        <f aca="false">D12-C12</f>
        <v>0.196428571428669</v>
      </c>
      <c r="F12" s="18" t="str">
        <f aca="false">IF(ISNUMBER(D12)=FALSE(),"to check",IF(ABS(E12)&lt;=0.5,"reproduced",IF(ABS(E12)&lt;=0.5*3,"rounding","to check")))</f>
        <v>reproduced</v>
      </c>
    </row>
    <row r="13" customFormat="false" ht="15" hidden="false" customHeight="false" outlineLevel="0" collapsed="false">
      <c r="A13" s="18" t="s">
        <v>348</v>
      </c>
      <c r="B13" s="5" t="s">
        <v>171</v>
      </c>
      <c r="C13" s="35" t="n">
        <v>61.5</v>
      </c>
      <c r="D13" s="35" t="n">
        <f aca="false">Result!$B$12</f>
        <v>61.4839821361743</v>
      </c>
      <c r="E13" s="35" t="n">
        <f aca="false">D13-C13</f>
        <v>-0.0160178638257165</v>
      </c>
      <c r="F13" s="18" t="str">
        <f aca="false">IF(ISNUMBER(D13)=FALSE(),"to check",IF(ABS(E13)&lt;=0.05,"reproduced",IF(ABS(E13)&lt;=0.05*3,"rounding","to check")))</f>
        <v>reproduced</v>
      </c>
    </row>
    <row r="14" customFormat="false" ht="15" hidden="false" customHeight="false" outlineLevel="0" collapsed="false">
      <c r="A14" s="18" t="s">
        <v>349</v>
      </c>
      <c r="B14" s="5" t="s">
        <v>178</v>
      </c>
      <c r="C14" s="28" t="n">
        <v>294943</v>
      </c>
      <c r="D14" s="28" t="n">
        <f aca="false">Result!$B$17</f>
        <v>294942.977721913</v>
      </c>
      <c r="E14" s="28" t="n">
        <f aca="false">D14-C14</f>
        <v>-0.0222780872136354</v>
      </c>
      <c r="F14" s="18" t="str">
        <f aca="false">IF(ISNUMBER(D14)=FALSE(),"to check",IF(ABS(E14)&lt;=0.5,"reproduced",IF(ABS(E14)&lt;=0.5*3,"rounding","to check")))</f>
        <v>reproduced</v>
      </c>
    </row>
    <row r="15" customFormat="false" ht="15" hidden="false" customHeight="false" outlineLevel="0" collapsed="false">
      <c r="A15" s="18" t="s">
        <v>350</v>
      </c>
      <c r="B15" s="5" t="s">
        <v>180</v>
      </c>
      <c r="C15" s="28" t="n">
        <v>76548</v>
      </c>
      <c r="D15" s="28" t="n">
        <f aca="false">Result!$B$18</f>
        <v>76548.4164793107</v>
      </c>
      <c r="E15" s="28" t="n">
        <f aca="false">D15-C15</f>
        <v>0.416479310661089</v>
      </c>
      <c r="F15" s="18" t="str">
        <f aca="false">IF(ISNUMBER(D15)=FALSE(),"to check",IF(ABS(E15)&lt;=0.5,"reproduced",IF(ABS(E15)&lt;=0.5*3,"rounding","to check")))</f>
        <v>reproduced</v>
      </c>
    </row>
    <row r="16" customFormat="false" ht="15" hidden="false" customHeight="false" outlineLevel="0" collapsed="false">
      <c r="A16" s="18" t="s">
        <v>351</v>
      </c>
      <c r="B16" s="5" t="s">
        <v>183</v>
      </c>
      <c r="C16" s="28" t="n">
        <v>2753034</v>
      </c>
      <c r="D16" s="28" t="n">
        <f aca="false">Result!$B$20</f>
        <v>2753034.19473073</v>
      </c>
      <c r="E16" s="28" t="n">
        <f aca="false">D16-C16</f>
        <v>0.194730730727315</v>
      </c>
      <c r="F16" s="18" t="str">
        <f aca="false">IF(ISNUMBER(D16)=FALSE(),"to check",IF(ABS(E16)&lt;=0.5,"reproduced",IF(ABS(E16)&lt;=0.5*3,"rounding","to check")))</f>
        <v>reproduced</v>
      </c>
    </row>
    <row r="17" customFormat="false" ht="15" hidden="false" customHeight="false" outlineLevel="0" collapsed="false">
      <c r="A17" s="18" t="s">
        <v>352</v>
      </c>
      <c r="B17" s="5" t="s">
        <v>188</v>
      </c>
      <c r="C17" s="28" t="n">
        <v>1528790</v>
      </c>
      <c r="D17" s="28" t="n">
        <f aca="false">Result!$B$29</f>
        <v>1528790.09979604</v>
      </c>
      <c r="E17" s="28" t="n">
        <f aca="false">D17-C17</f>
        <v>0.0997960362583399</v>
      </c>
      <c r="F17" s="18" t="str">
        <f aca="false">IF(ISNUMBER(D17)=FALSE(),"to check",IF(ABS(E17)&lt;=0.5,"reproduced",IF(ABS(E17)&lt;=0.5*3,"rounding","to check")))</f>
        <v>reproduced</v>
      </c>
    </row>
    <row r="18" customFormat="false" ht="15" hidden="false" customHeight="false" outlineLevel="0" collapsed="false">
      <c r="A18" s="18" t="s">
        <v>352</v>
      </c>
      <c r="B18" s="5" t="s">
        <v>190</v>
      </c>
      <c r="C18" s="37" t="n">
        <v>0.31</v>
      </c>
      <c r="D18" s="37" t="n">
        <f aca="false">Result!$B$30</f>
        <v>0.309891081030889</v>
      </c>
      <c r="E18" s="37" t="n">
        <f aca="false">D18-C18</f>
        <v>-0.000108918969111194</v>
      </c>
      <c r="F18" s="18" t="str">
        <f aca="false">IF(ISNUMBER(D18)=FALSE(),"to check",IF(ABS(E18)&lt;=0.0005,"reproduced",IF(ABS(E18)&lt;=0.0005*3,"rounding","to check")))</f>
        <v>reproduced</v>
      </c>
    </row>
    <row r="19" customFormat="false" ht="15" hidden="false" customHeight="false" outlineLevel="0" collapsed="false">
      <c r="A19" s="18" t="s">
        <v>352</v>
      </c>
      <c r="B19" s="5" t="s">
        <v>192</v>
      </c>
      <c r="C19" s="28" t="n">
        <v>1282124</v>
      </c>
      <c r="D19" s="28" t="n">
        <f aca="false">Result!$B$32</f>
        <v>1282124.3850697</v>
      </c>
      <c r="E19" s="28" t="n">
        <f aca="false">D19-C19</f>
        <v>0.385069697862491</v>
      </c>
      <c r="F19" s="18" t="str">
        <f aca="false">IF(ISNUMBER(D19)=FALSE(),"to check",IF(ABS(E19)&lt;=0.5,"reproduced",IF(ABS(E19)&lt;=0.5*3,"rounding","to check")))</f>
        <v>reproduced</v>
      </c>
    </row>
    <row r="20" customFormat="false" ht="15" hidden="false" customHeight="false" outlineLevel="0" collapsed="false">
      <c r="A20" s="18" t="s">
        <v>353</v>
      </c>
      <c r="B20" s="5" t="s">
        <v>193</v>
      </c>
      <c r="C20" s="28" t="n">
        <v>849328</v>
      </c>
      <c r="D20" s="28" t="n">
        <f aca="false">Result!$B$33</f>
        <v>849327.83322002</v>
      </c>
      <c r="E20" s="28" t="n">
        <f aca="false">D20-C20</f>
        <v>-0.166779979830608</v>
      </c>
      <c r="F20" s="18" t="str">
        <f aca="false">IF(ISNUMBER(D20)=FALSE(),"to check",IF(ABS(E20)&lt;=0.5,"reproduced",IF(ABS(E20)&lt;=0.5*3,"rounding","to check")))</f>
        <v>reproduced</v>
      </c>
    </row>
    <row r="21" customFormat="false" ht="15" hidden="false" customHeight="false" outlineLevel="0" collapsed="false">
      <c r="A21" s="18" t="s">
        <v>353</v>
      </c>
      <c r="B21" s="5" t="s">
        <v>198</v>
      </c>
      <c r="C21" s="31" t="n">
        <v>1.51</v>
      </c>
      <c r="D21" s="31" t="n">
        <f aca="false">Result!$B$36</f>
        <v>1.50957537822449</v>
      </c>
      <c r="E21" s="31" t="n">
        <f aca="false">D21-C21</f>
        <v>-0.000424621775510836</v>
      </c>
      <c r="F21" s="18" t="str">
        <f aca="false">IF(ISNUMBER(D21)=FALSE(),"to check",IF(ABS(E21)&lt;=0.005,"reproduced",IF(ABS(E21)&lt;=0.005*3,"rounding","to check")))</f>
        <v>reproduced</v>
      </c>
    </row>
    <row r="22" customFormat="false" ht="15" hidden="false" customHeight="false" outlineLevel="0" collapsed="false">
      <c r="A22" s="18" t="s">
        <v>354</v>
      </c>
      <c r="B22" s="5" t="s">
        <v>355</v>
      </c>
      <c r="C22" s="31" t="n">
        <v>1.52</v>
      </c>
      <c r="D22" s="31" t="n">
        <f aca="false">Result!$B$41</f>
        <v>1.51515151515152</v>
      </c>
      <c r="E22" s="31" t="n">
        <f aca="false">D22-C22</f>
        <v>-0.00484848484848466</v>
      </c>
      <c r="F22" s="18" t="str">
        <f aca="false">IF(ISNUMBER(D22)=FALSE(),"to check",IF(ABS(E22)&lt;=0.005,"reproduced",IF(ABS(E22)&lt;=0.005*3,"rounding","to check")))</f>
        <v>reproduced</v>
      </c>
    </row>
    <row r="23" customFormat="false" ht="15" hidden="false" customHeight="false" outlineLevel="0" collapsed="false">
      <c r="A23" s="18" t="s">
        <v>354</v>
      </c>
      <c r="B23" s="5" t="s">
        <v>201</v>
      </c>
      <c r="C23" s="28" t="n">
        <v>16816691</v>
      </c>
      <c r="D23" s="28" t="n">
        <f aca="false">Result!$B$39</f>
        <v>16816691.0977564</v>
      </c>
      <c r="E23" s="28" t="n">
        <f aca="false">D23-C23</f>
        <v>0.0977564007043839</v>
      </c>
      <c r="F23" s="18" t="str">
        <f aca="false">IF(ISNUMBER(D23)=FALSE(),"to check",IF(ABS(E23)&lt;=0.5,"reproduced",IF(ABS(E23)&lt;=0.5*3,"rounding","to check")))</f>
        <v>reproduced</v>
      </c>
    </row>
    <row r="24" customFormat="false" ht="15" hidden="false" customHeight="false" outlineLevel="0" collapsed="false">
      <c r="A24" s="18" t="s">
        <v>354</v>
      </c>
      <c r="B24" s="5" t="s">
        <v>202</v>
      </c>
      <c r="C24" s="28" t="n">
        <v>14155464</v>
      </c>
      <c r="D24" s="28" t="n">
        <f aca="false">Result!$B$40</f>
        <v>14155463.8870003</v>
      </c>
      <c r="E24" s="28" t="n">
        <f aca="false">D24-C24</f>
        <v>-0.11299966275692</v>
      </c>
      <c r="F24" s="18" t="str">
        <f aca="false">IF(ISNUMBER(D24)=FALSE(),"to check",IF(ABS(E24)&lt;=0.5,"reproduced",IF(ABS(E24)&lt;=0.5*3,"rounding","to check")))</f>
        <v>reproduced</v>
      </c>
    </row>
    <row r="25" customFormat="false" ht="15" hidden="false" customHeight="false" outlineLevel="0" collapsed="false">
      <c r="A25" s="18" t="s">
        <v>356</v>
      </c>
      <c r="B25" s="5" t="s">
        <v>206</v>
      </c>
      <c r="C25" s="28" t="n">
        <v>240238</v>
      </c>
      <c r="D25" s="28" t="n">
        <f aca="false">Result!$B$43</f>
        <v>240238.444253663</v>
      </c>
      <c r="E25" s="28" t="n">
        <f aca="false">D25-C25</f>
        <v>0.444253662863048</v>
      </c>
      <c r="F25" s="18" t="str">
        <f aca="false">IF(ISNUMBER(D25)=FALSE(),"to check",IF(ABS(E25)&lt;=0.5,"reproduced",IF(ABS(E25)&lt;=0.5*3,"rounding","to check")))</f>
        <v>reproduced</v>
      </c>
    </row>
    <row r="26" customFormat="false" ht="22.35" hidden="false" customHeight="false" outlineLevel="0" collapsed="false">
      <c r="A26" s="18" t="s">
        <v>357</v>
      </c>
      <c r="B26" s="5" t="s">
        <v>216</v>
      </c>
      <c r="C26" s="31" t="n">
        <v>1.8</v>
      </c>
      <c r="D26" s="31" t="n">
        <f aca="false">Trajectory!$B$33</f>
        <v>1.8</v>
      </c>
      <c r="E26" s="31" t="n">
        <f aca="false">D26-C26</f>
        <v>0</v>
      </c>
      <c r="F26" s="18" t="str">
        <f aca="false">IF(ISNUMBER(D26)=FALSE(),"to check",IF(ABS(E26)&lt;=0.005,"reproduced",IF(ABS(E26)&lt;=0.005*3,"rounding","to check")))</f>
        <v>reproduced</v>
      </c>
      <c r="H26" s="26" t="s">
        <v>358</v>
      </c>
    </row>
    <row r="27" customFormat="false" ht="15" hidden="false" customHeight="false" outlineLevel="0" collapsed="false">
      <c r="A27" s="18" t="s">
        <v>357</v>
      </c>
      <c r="B27" s="5" t="s">
        <v>217</v>
      </c>
      <c r="C27" s="31" t="n">
        <v>1.96</v>
      </c>
      <c r="D27" s="31" t="n">
        <f aca="false">Trajectory!$B$34</f>
        <v>1.96074615097523</v>
      </c>
      <c r="E27" s="31" t="n">
        <f aca="false">D27-C27</f>
        <v>0.000746150975225124</v>
      </c>
      <c r="F27" s="18" t="str">
        <f aca="false">IF(ISNUMBER(D27)=FALSE(),"to check",IF(ABS(E27)&lt;=0.005,"reproduced",IF(ABS(E27)&lt;=0.005*3,"rounding","to check")))</f>
        <v>reproduced</v>
      </c>
      <c r="H27" s="26" t="s">
        <v>359</v>
      </c>
    </row>
    <row r="28" customFormat="false" ht="15" hidden="false" customHeight="false" outlineLevel="0" collapsed="false">
      <c r="A28" s="18" t="s">
        <v>357</v>
      </c>
      <c r="B28" s="5" t="s">
        <v>219</v>
      </c>
      <c r="C28" s="37" t="n">
        <v>0.268</v>
      </c>
      <c r="D28" s="37" t="n">
        <f aca="false">Trajectory!$B$36</f>
        <v>0.268165179394975</v>
      </c>
      <c r="E28" s="37" t="n">
        <f aca="false">D28-C28</f>
        <v>0.000165179394974901</v>
      </c>
      <c r="F28" s="18" t="str">
        <f aca="false">IF(ISNUMBER(D28)=FALSE(),"to check",IF(ABS(E28)&lt;=0.0005,"reproduced",IF(ABS(E28)&lt;=0.0005*3,"rounding","to check")))</f>
        <v>reproduced</v>
      </c>
      <c r="H28" s="26" t="s">
        <v>360</v>
      </c>
    </row>
    <row r="29" customFormat="false" ht="15" hidden="false" customHeight="false" outlineLevel="0" collapsed="false">
      <c r="A29" s="18" t="s">
        <v>357</v>
      </c>
      <c r="B29" s="5" t="s">
        <v>222</v>
      </c>
      <c r="C29" s="37" t="n">
        <v>0.336</v>
      </c>
      <c r="D29" s="37" t="n">
        <f aca="false">Trajectory!$B$39</f>
        <v>0.336331706012596</v>
      </c>
      <c r="E29" s="37" t="n">
        <f aca="false">D29-C29</f>
        <v>0.000331706012596189</v>
      </c>
      <c r="F29" s="18" t="str">
        <f aca="false">IF(ISNUMBER(D29)=FALSE(),"to check",IF(ABS(E29)&lt;=0.0005,"reproduced",IF(ABS(E29)&lt;=0.0005*3,"rounding","to check")))</f>
        <v>reproduced</v>
      </c>
      <c r="H29" s="26" t="s">
        <v>361</v>
      </c>
    </row>
    <row r="30" customFormat="false" ht="15" hidden="false" customHeight="false" outlineLevel="0" collapsed="false">
      <c r="A30" s="18" t="s">
        <v>357</v>
      </c>
      <c r="B30" s="5" t="s">
        <v>362</v>
      </c>
      <c r="C30" s="28" t="n">
        <v>1008178</v>
      </c>
      <c r="D30" s="28" t="n">
        <f aca="false">Trajectory!$I$30</f>
        <v>1008178.4633701</v>
      </c>
      <c r="E30" s="28" t="n">
        <f aca="false">D30-C30</f>
        <v>0.463370097335428</v>
      </c>
      <c r="F30" s="18" t="str">
        <f aca="false">IF(ISNUMBER(D30)=FALSE(),"to check",IF(ABS(E30)&lt;=0.5,"reproduced",IF(ABS(E30)&lt;=0.5*3,"rounding","to check")))</f>
        <v>reproduced</v>
      </c>
    </row>
    <row r="31" customFormat="false" ht="15" hidden="false" customHeight="false" outlineLevel="0" collapsed="false">
      <c r="A31" s="18" t="s">
        <v>343</v>
      </c>
      <c r="B31" s="5" t="s">
        <v>363</v>
      </c>
      <c r="C31" s="39" t="n">
        <v>28</v>
      </c>
      <c r="D31" s="39" t="n">
        <f aca="false">'Fill and Build'!$L$6</f>
        <v>28</v>
      </c>
      <c r="E31" s="39" t="n">
        <f aca="false">D31-C31</f>
        <v>0</v>
      </c>
      <c r="F31" s="18" t="str">
        <f aca="false">IF(ISNUMBER(D31)=FALSE(),"to check",IF(ABS(E31)&lt;=0.5,"reproduced",IF(ABS(E31)&lt;=0.5*3,"rounding","to check")))</f>
        <v>reproduced</v>
      </c>
    </row>
    <row r="32" customFormat="false" ht="15" hidden="false" customHeight="false" outlineLevel="0" collapsed="false">
      <c r="A32" s="18" t="s">
        <v>343</v>
      </c>
      <c r="B32" s="5" t="s">
        <v>364</v>
      </c>
      <c r="C32" s="37" t="n">
        <v>0.692</v>
      </c>
      <c r="D32" s="37" t="n">
        <f aca="false">'Fill and Build'!$F$26</f>
        <v>0.692417166083901</v>
      </c>
      <c r="E32" s="37" t="n">
        <f aca="false">D32-C32</f>
        <v>0.000417166083901188</v>
      </c>
      <c r="F32" s="18" t="str">
        <f aca="false">IF(ISNUMBER(D32)=FALSE(),"to check",IF(ABS(E32)&lt;=0.0005,"reproduced",IF(ABS(E32)&lt;=0.0005*3,"rounding","to check")))</f>
        <v>reproduced</v>
      </c>
    </row>
    <row r="33" customFormat="false" ht="15" hidden="false" customHeight="false" outlineLevel="0" collapsed="false">
      <c r="A33" s="18" t="s">
        <v>365</v>
      </c>
      <c r="B33" s="5" t="s">
        <v>366</v>
      </c>
      <c r="C33" s="28" t="n">
        <v>31565</v>
      </c>
      <c r="D33" s="28" t="n">
        <f aca="false">Occupancy!$B$18</f>
        <v>31564.8965620085</v>
      </c>
      <c r="E33" s="28" t="n">
        <f aca="false">D33-C33</f>
        <v>-0.103437991478131</v>
      </c>
      <c r="F33" s="18" t="str">
        <f aca="false">IF(ISNUMBER(D33)=FALSE(),"to check",IF(ABS(E33)&lt;=0.5,"reproduced",IF(ABS(E33)&lt;=0.5*3,"rounding","to check")))</f>
        <v>reproduced</v>
      </c>
    </row>
    <row r="34" customFormat="false" ht="15" hidden="false" customHeight="false" outlineLevel="0" collapsed="false">
      <c r="A34" s="18" t="s">
        <v>365</v>
      </c>
      <c r="B34" s="5" t="s">
        <v>367</v>
      </c>
      <c r="C34" s="31" t="n">
        <v>1.85</v>
      </c>
      <c r="D34" s="31" t="n">
        <f aca="false">Occupancy!$B$19</f>
        <v>1.84876877379904</v>
      </c>
      <c r="E34" s="31" t="n">
        <f aca="false">D34-C34</f>
        <v>-0.00123122620095639</v>
      </c>
      <c r="F34" s="18" t="str">
        <f aca="false">IF(ISNUMBER(D34)=FALSE(),"to check",IF(ABS(E34)&lt;=0.005,"reproduced",IF(ABS(E34)&lt;=0.005*3,"rounding","to check")))</f>
        <v>reproduced</v>
      </c>
    </row>
    <row r="35" customFormat="false" ht="15" hidden="false" customHeight="false" outlineLevel="0" collapsed="false">
      <c r="A35" s="18" t="s">
        <v>365</v>
      </c>
      <c r="B35" s="5" t="s">
        <v>368</v>
      </c>
      <c r="C35" s="37" t="n">
        <v>0.745</v>
      </c>
      <c r="D35" s="37" t="n">
        <f aca="false">Occupancy!$B$23</f>
        <v>0.745194880403687</v>
      </c>
      <c r="E35" s="37" t="n">
        <f aca="false">D35-C35</f>
        <v>0.000194880403686648</v>
      </c>
      <c r="F35" s="18" t="str">
        <f aca="false">IF(ISNUMBER(D35)=FALSE(),"to check",IF(ABS(E35)&lt;=0.0005,"reproduced",IF(ABS(E35)&lt;=0.0005*3,"rounding","to check")))</f>
        <v>reproduced</v>
      </c>
    </row>
    <row r="36" customFormat="false" ht="15" hidden="false" customHeight="false" outlineLevel="0" collapsed="false">
      <c r="A36" s="18" t="s">
        <v>365</v>
      </c>
      <c r="B36" s="5" t="s">
        <v>369</v>
      </c>
      <c r="C36" s="37" t="n">
        <v>0.815</v>
      </c>
      <c r="D36" s="37" t="n">
        <f aca="false">Occupancy!$B$24</f>
        <v>0.814696491457914</v>
      </c>
      <c r="E36" s="37" t="n">
        <f aca="false">D36-C36</f>
        <v>-0.000303508542086495</v>
      </c>
      <c r="F36" s="18" t="str">
        <f aca="false">IF(ISNUMBER(D36)=FALSE(),"to check",IF(ABS(E36)&lt;=0.0005,"reproduced",IF(ABS(E36)&lt;=0.0005*3,"rounding","to check")))</f>
        <v>reproduced</v>
      </c>
    </row>
    <row r="37" customFormat="false" ht="15" hidden="false" customHeight="false" outlineLevel="0" collapsed="false">
      <c r="A37" s="18" t="s">
        <v>370</v>
      </c>
      <c r="B37" s="5" t="s">
        <v>371</v>
      </c>
      <c r="C37" s="28" t="n">
        <v>10090015</v>
      </c>
      <c r="D37" s="28" t="n">
        <f aca="false">Occupancy!$B$32</f>
        <v>10090014.6586538</v>
      </c>
      <c r="E37" s="28" t="n">
        <f aca="false">D37-C37</f>
        <v>-0.34134615957737</v>
      </c>
      <c r="F37" s="18" t="str">
        <f aca="false">IF(ISNUMBER(D37)=FALSE(),"to check",IF(ABS(E37)&lt;=0.5,"reproduced",IF(ABS(E37)&lt;=0.5*3,"rounding","to check")))</f>
        <v>reproduced</v>
      </c>
    </row>
    <row r="38" customFormat="false" ht="15" hidden="false" customHeight="false" outlineLevel="0" collapsed="false">
      <c r="A38" s="18" t="s">
        <v>370</v>
      </c>
      <c r="B38" s="5" t="s">
        <v>252</v>
      </c>
      <c r="C38" s="31" t="n">
        <v>1.38</v>
      </c>
      <c r="D38" s="31" t="n">
        <f aca="false">Occupancy!$B$35</f>
        <v>1.3811808101161</v>
      </c>
      <c r="E38" s="31" t="n">
        <f aca="false">D38-C38</f>
        <v>0.00118081011609683</v>
      </c>
      <c r="F38" s="18" t="str">
        <f aca="false">IF(ISNUMBER(D38)=FALSE(),"to check",IF(ABS(E38)&lt;=0.005,"reproduced",IF(ABS(E38)&lt;=0.005*3,"rounding","to check")))</f>
        <v>reproduced</v>
      </c>
    </row>
    <row r="39" customFormat="false" ht="28.35" hidden="false" customHeight="false" outlineLevel="0" collapsed="false">
      <c r="A39" s="18" t="s">
        <v>370</v>
      </c>
      <c r="B39" s="5" t="s">
        <v>372</v>
      </c>
      <c r="C39" s="37" t="n">
        <v>0.892</v>
      </c>
      <c r="D39" s="37" t="n">
        <f aca="false">Occupancy!$B$25</f>
        <v>0.891675933579215</v>
      </c>
      <c r="E39" s="37" t="n">
        <f aca="false">D39-C39</f>
        <v>-0.000324066420784641</v>
      </c>
      <c r="F39" s="18" t="str">
        <f aca="false">IF(ISNUMBER(D39)=FALSE(),"to check",IF(ABS(E39)&lt;=0.0005,"reproduced",IF(ABS(E39)&lt;=0.0005*3,"rounding","to check")))</f>
        <v>reproduced</v>
      </c>
    </row>
    <row r="40" customFormat="false" ht="22.35" hidden="false" customHeight="false" outlineLevel="0" collapsed="false">
      <c r="A40" s="18" t="s">
        <v>373</v>
      </c>
      <c r="B40" s="5" t="s">
        <v>374</v>
      </c>
      <c r="C40" s="28" t="n">
        <v>1516977</v>
      </c>
      <c r="D40" s="28" t="n">
        <f aca="false">Occupancy!$B$27</f>
        <v>1516976.56262603</v>
      </c>
      <c r="E40" s="28" t="n">
        <f aca="false">D40-C40</f>
        <v>-0.437373967841268</v>
      </c>
      <c r="F40" s="18" t="str">
        <f aca="false">IF(ISNUMBER(D40)=FALSE(),"to check",IF(ABS(E40)&lt;=0.5,"reproduced",IF(ABS(E40)&lt;=0.5*3,"rounding","to check")))</f>
        <v>reproduced</v>
      </c>
      <c r="H40" s="26" t="s">
        <v>375</v>
      </c>
    </row>
    <row r="41" customFormat="false" ht="15" hidden="false" customHeight="false" outlineLevel="0" collapsed="false">
      <c r="A41" s="18" t="s">
        <v>370</v>
      </c>
      <c r="B41" s="5" t="s">
        <v>376</v>
      </c>
      <c r="C41" s="28" t="n">
        <v>3434893</v>
      </c>
      <c r="D41" s="28" t="n">
        <f aca="false">Occupancy!$B$37</f>
        <v>3434893.26864824</v>
      </c>
      <c r="E41" s="28" t="n">
        <f aca="false">D41-C41</f>
        <v>0.268648235592991</v>
      </c>
      <c r="F41" s="18" t="str">
        <f aca="false">IF(ISNUMBER(D41)=FALSE(),"to check",IF(ABS(E41)&lt;=0.5,"reproduced",IF(ABS(E41)&lt;=0.5*3,"rounding","to check")))</f>
        <v>reproduced</v>
      </c>
    </row>
    <row r="42" customFormat="false" ht="15" hidden="false" customHeight="false" outlineLevel="0" collapsed="false">
      <c r="A42" s="18" t="s">
        <v>377</v>
      </c>
      <c r="B42" s="5" t="s">
        <v>378</v>
      </c>
      <c r="C42" s="37" t="n">
        <v>0.696</v>
      </c>
      <c r="D42" s="37" t="n">
        <f aca="false">Embargo!$O$5</f>
        <v>0.6967336061952</v>
      </c>
      <c r="E42" s="37" t="n">
        <f aca="false">D42-C42</f>
        <v>0.000733606195199799</v>
      </c>
      <c r="F42" s="18" t="str">
        <f aca="false">IF(ISNUMBER(D42)=FALSE(),"to check",IF(ABS(E42)&lt;=0.001,"reproduced",IF(ABS(E42)&lt;=0.001*3,"rounding","to check")))</f>
        <v>reproduced</v>
      </c>
    </row>
    <row r="43" customFormat="false" ht="15" hidden="false" customHeight="false" outlineLevel="0" collapsed="false">
      <c r="A43" s="18" t="s">
        <v>377</v>
      </c>
      <c r="B43" s="5" t="s">
        <v>263</v>
      </c>
      <c r="C43" s="39" t="n">
        <v>6</v>
      </c>
      <c r="D43" s="39" t="n">
        <f aca="false">Embargo!$O$6</f>
        <v>6</v>
      </c>
      <c r="E43" s="39" t="n">
        <f aca="false">D43-C43</f>
        <v>0</v>
      </c>
      <c r="F43" s="18" t="str">
        <f aca="false">IF(ISNUMBER(D43)=FALSE(),"to check",IF(ABS(E43)&lt;=0,"reproduced",IF(ABS(E43)&lt;=0*3,"rounding","to check")))</f>
        <v>reproduced</v>
      </c>
    </row>
    <row r="44" customFormat="false" ht="15" hidden="false" customHeight="false" outlineLevel="0" collapsed="false">
      <c r="A44" s="18" t="s">
        <v>377</v>
      </c>
      <c r="B44" s="5" t="s">
        <v>379</v>
      </c>
      <c r="C44" s="35" t="n">
        <v>4</v>
      </c>
      <c r="D44" s="35" t="n">
        <f aca="false">Embargo!$O$8</f>
        <v>4</v>
      </c>
      <c r="E44" s="35" t="n">
        <f aca="false">D44-C44</f>
        <v>0</v>
      </c>
      <c r="F44" s="18" t="str">
        <f aca="false">IF(ISNUMBER(D44)=FALSE(),"to check",IF(ABS(E44)&lt;=0.05,"reproduced",IF(ABS(E44)&lt;=0.05*3,"rounding","to check")))</f>
        <v>reproduced</v>
      </c>
    </row>
    <row r="45" customFormat="false" ht="15" hidden="false" customHeight="false" outlineLevel="0" collapsed="false">
      <c r="A45" s="18" t="s">
        <v>377</v>
      </c>
      <c r="B45" s="5" t="s">
        <v>380</v>
      </c>
      <c r="C45" s="28" t="n">
        <v>1410102</v>
      </c>
      <c r="D45" s="28" t="n">
        <f aca="false">Embargo!$O$11</f>
        <v>1346336.13907165</v>
      </c>
      <c r="E45" s="28" t="n">
        <f aca="false">D45-C45</f>
        <v>-63765.8609283518</v>
      </c>
      <c r="F45" s="18" t="str">
        <f aca="false">IF(ISNUMBER(D45)=FALSE(),"to check",IF(ABS(E45)&lt;=100,"reproduced",IF(ABS(E45)&lt;=100*3,"rounding","to check")))</f>
        <v>to check</v>
      </c>
    </row>
    <row r="46" customFormat="false" ht="15" hidden="false" customHeight="false" outlineLevel="0" collapsed="false">
      <c r="A46" s="18" t="s">
        <v>377</v>
      </c>
      <c r="B46" s="5" t="s">
        <v>281</v>
      </c>
      <c r="C46" s="31" t="n">
        <v>0.92</v>
      </c>
      <c r="D46" s="31" t="n">
        <f aca="false">Embargo!$O$12</f>
        <v>0.880654668846475</v>
      </c>
      <c r="E46" s="31" t="n">
        <f aca="false">D46-C46</f>
        <v>-0.0393453311535248</v>
      </c>
      <c r="F46" s="18" t="str">
        <f aca="false">IF(ISNUMBER(D46)=FALSE(),"to check",IF(ABS(E46)&lt;=0.005,"reproduced",IF(ABS(E46)&lt;=0.005*3,"rounding","to check")))</f>
        <v>to check</v>
      </c>
    </row>
    <row r="47" customFormat="false" ht="15" hidden="false" customHeight="false" outlineLevel="0" collapsed="false">
      <c r="A47" s="18" t="s">
        <v>377</v>
      </c>
      <c r="B47" s="5" t="s">
        <v>381</v>
      </c>
      <c r="C47" s="28" t="n">
        <v>1100000</v>
      </c>
      <c r="D47" s="28" t="n">
        <f aca="false">Embargo!$O$13</f>
        <v>1012586.95862779</v>
      </c>
      <c r="E47" s="28" t="n">
        <f aca="false">D47-C47</f>
        <v>-87413.0413722111</v>
      </c>
      <c r="F47" s="18" t="str">
        <f aca="false">IF(ISNUMBER(D47)=FALSE(),"to check",IF(ABS(E47)&lt;=50000,"reproduced",IF(ABS(E47)&lt;=50000*3,"rounding","to check")))</f>
        <v>rounding</v>
      </c>
    </row>
    <row r="48" customFormat="false" ht="15" hidden="false" customHeight="false" outlineLevel="0" collapsed="false">
      <c r="A48" s="18" t="s">
        <v>382</v>
      </c>
      <c r="B48" s="5" t="s">
        <v>316</v>
      </c>
      <c r="C48" s="28" t="n">
        <v>2111405</v>
      </c>
      <c r="D48" s="28" t="n">
        <f aca="false">'Fill and Build'!$L$28</f>
        <v>2111404.736</v>
      </c>
      <c r="E48" s="28" t="n">
        <f aca="false">D48-C48</f>
        <v>-0.263999999966472</v>
      </c>
      <c r="F48" s="18" t="str">
        <f aca="false">IF(ISNUMBER(D48)=FALSE(),"to check",IF(ABS(E48)&lt;=0.5,"reproduced",IF(ABS(E48)&lt;=0.5*3,"rounding","to check")))</f>
        <v>reproduced</v>
      </c>
    </row>
    <row r="49" customFormat="false" ht="15" hidden="false" customHeight="false" outlineLevel="0" collapsed="false">
      <c r="A49" s="18" t="s">
        <v>382</v>
      </c>
      <c r="B49" s="5" t="s">
        <v>317</v>
      </c>
      <c r="C49" s="28" t="n">
        <v>16965181</v>
      </c>
      <c r="D49" s="28" t="n">
        <f aca="false">'Fill and Build'!$L$29</f>
        <v>16965180.736</v>
      </c>
      <c r="E49" s="28" t="n">
        <f aca="false">D49-C49</f>
        <v>-0.263999998569489</v>
      </c>
      <c r="F49" s="18" t="str">
        <f aca="false">IF(ISNUMBER(D49)=FALSE(),"to check",IF(ABS(E49)&lt;=0.5,"reproduced",IF(ABS(E49)&lt;=0.5*3,"rounding","to check")))</f>
        <v>reproduced</v>
      </c>
    </row>
    <row r="50" customFormat="false" ht="15" hidden="false" customHeight="false" outlineLevel="0" collapsed="false">
      <c r="A50" s="18" t="s">
        <v>382</v>
      </c>
      <c r="B50" s="5" t="s">
        <v>299</v>
      </c>
      <c r="C50" s="39" t="n">
        <v>7</v>
      </c>
      <c r="D50" s="39" t="n">
        <f aca="false">'Fill and Build'!$L$10</f>
        <v>7</v>
      </c>
      <c r="E50" s="39" t="n">
        <f aca="false">D50-C50</f>
        <v>0</v>
      </c>
      <c r="F50" s="18" t="str">
        <f aca="false">IF(ISNUMBER(D50)=FALSE(),"to check",IF(ABS(E50)&lt;=0,"reproduced",IF(ABS(E50)&lt;=0*3,"rounding","to check")))</f>
        <v>reproduced</v>
      </c>
    </row>
    <row r="51" customFormat="false" ht="15" hidden="false" customHeight="false" outlineLevel="0" collapsed="false">
      <c r="A51" s="18" t="s">
        <v>382</v>
      </c>
      <c r="B51" s="5" t="s">
        <v>300</v>
      </c>
      <c r="C51" s="28" t="n">
        <v>317681</v>
      </c>
      <c r="D51" s="28" t="n">
        <f aca="false">'Fill and Build'!$L$11</f>
        <v>317681.416941609</v>
      </c>
      <c r="E51" s="28" t="n">
        <f aca="false">D51-C51</f>
        <v>0.416941609058995</v>
      </c>
      <c r="F51" s="18" t="str">
        <f aca="false">IF(ISNUMBER(D51)=FALSE(),"to check",IF(ABS(E51)&lt;=0.5,"reproduced",IF(ABS(E51)&lt;=0.5*3,"rounding","to check")))</f>
        <v>reproduced</v>
      </c>
    </row>
    <row r="52" customFormat="false" ht="15" hidden="false" customHeight="false" outlineLevel="0" collapsed="false">
      <c r="A52" s="18" t="s">
        <v>383</v>
      </c>
      <c r="B52" s="5" t="s">
        <v>384</v>
      </c>
      <c r="C52" s="28" t="n">
        <v>4538</v>
      </c>
      <c r="D52" s="28" t="n">
        <f aca="false">'Fill and Build'!$L$32</f>
        <v>4538.3059563087</v>
      </c>
      <c r="E52" s="28" t="n">
        <f aca="false">D52-C52</f>
        <v>0.305956308700843</v>
      </c>
      <c r="F52" s="18" t="str">
        <f aca="false">IF(ISNUMBER(D52)=FALSE(),"to check",IF(ABS(E52)&lt;=0.5,"reproduced",IF(ABS(E52)&lt;=0.5*3,"rounding","to check")))</f>
        <v>reproduced</v>
      </c>
      <c r="H52" s="26" t="s">
        <v>385</v>
      </c>
    </row>
    <row r="53" customFormat="false" ht="15" hidden="false" customHeight="false" outlineLevel="0" collapsed="false">
      <c r="A53" s="18" t="s">
        <v>383</v>
      </c>
      <c r="B53" s="5" t="s">
        <v>320</v>
      </c>
      <c r="C53" s="37" t="n">
        <v>0.018</v>
      </c>
      <c r="D53" s="37" t="n">
        <f aca="false">'Fill and Build'!$L$35</f>
        <v>0.0183812966932412</v>
      </c>
      <c r="E53" s="37" t="n">
        <f aca="false">D53-C53</f>
        <v>0.000381296693241197</v>
      </c>
      <c r="F53" s="18" t="str">
        <f aca="false">IF(ISNUMBER(D53)=FALSE(),"to check",IF(ABS(E53)&lt;=0.0005,"reproduced",IF(ABS(E53)&lt;=0.0005*3,"rounding","to check")))</f>
        <v>reproduced</v>
      </c>
      <c r="H53" s="26" t="s">
        <v>386</v>
      </c>
    </row>
    <row r="54" customFormat="false" ht="15" hidden="false" customHeight="false" outlineLevel="0" collapsed="false">
      <c r="A54" s="18" t="s">
        <v>382</v>
      </c>
      <c r="B54" s="5" t="s">
        <v>387</v>
      </c>
      <c r="C54" s="28" t="n">
        <v>2877205</v>
      </c>
      <c r="D54" s="28" t="n">
        <f aca="false">'Fill and Build'!$L$13</f>
        <v>2877204.94334896</v>
      </c>
      <c r="E54" s="28" t="n">
        <f aca="false">D54-C54</f>
        <v>-0.0566510390490294</v>
      </c>
      <c r="F54" s="18" t="str">
        <f aca="false">IF(ISNUMBER(D54)=FALSE(),"to check",IF(ABS(E54)&lt;=0.5,"reproduced",IF(ABS(E54)&lt;=0.5*3,"rounding","to check")))</f>
        <v>reproduced</v>
      </c>
    </row>
    <row r="55" customFormat="false" ht="15" hidden="false" customHeight="false" outlineLevel="0" collapsed="false">
      <c r="A55" s="18" t="s">
        <v>382</v>
      </c>
      <c r="B55" s="5" t="s">
        <v>301</v>
      </c>
      <c r="C55" s="39" t="n">
        <v>74</v>
      </c>
      <c r="D55" s="39" t="n">
        <f aca="false">'Fill and Build'!$L$12</f>
        <v>74</v>
      </c>
      <c r="E55" s="39" t="n">
        <f aca="false">D55-C55</f>
        <v>0</v>
      </c>
      <c r="F55" s="18" t="str">
        <f aca="false">IF(ISNUMBER(D55)=FALSE(),"to check",IF(ABS(E55)&lt;=0,"reproduced",IF(ABS(E55)&lt;=0*3,"rounding","to check")))</f>
        <v>reproduced</v>
      </c>
    </row>
    <row r="56" customFormat="false" ht="15" hidden="false" customHeight="false" outlineLevel="0" collapsed="false">
      <c r="A56" s="18" t="s">
        <v>382</v>
      </c>
      <c r="B56" s="5" t="s">
        <v>319</v>
      </c>
      <c r="C56" s="28" t="n">
        <v>17282862</v>
      </c>
      <c r="D56" s="28" t="n">
        <f aca="false">'Fill and Build'!$L$33</f>
        <v>17282862.1529416</v>
      </c>
      <c r="E56" s="28" t="n">
        <f aca="false">D56-C56</f>
        <v>0.152941610664129</v>
      </c>
      <c r="F56" s="18" t="str">
        <f aca="false">IF(ISNUMBER(D56)=FALSE(),"to check",IF(ABS(E56)&lt;=0.5,"reproduced",IF(ABS(E56)&lt;=0.5*3,"rounding","to check")))</f>
        <v>reproduced</v>
      </c>
    </row>
    <row r="57" customFormat="false" ht="15" hidden="false" customHeight="false" outlineLevel="0" collapsed="false">
      <c r="A57" s="18" t="s">
        <v>382</v>
      </c>
      <c r="B57" s="5" t="s">
        <v>388</v>
      </c>
      <c r="C57" s="37" t="n">
        <v>-0.027</v>
      </c>
      <c r="D57" s="37" t="n">
        <f aca="false">'Fill and Build'!$L$40</f>
        <v>-0.0269730239736863</v>
      </c>
      <c r="E57" s="37" t="n">
        <f aca="false">D57-C57</f>
        <v>2.69760263136853E-005</v>
      </c>
      <c r="F57" s="18" t="str">
        <f aca="false">IF(ISNUMBER(D57)=FALSE(),"to check",IF(ABS(E57)&lt;=0.0005,"reproduced",IF(ABS(E57)&lt;=0.0005*3,"rounding","to check")))</f>
        <v>reproduced</v>
      </c>
    </row>
    <row r="58" customFormat="false" ht="15" hidden="false" customHeight="false" outlineLevel="0" collapsed="false">
      <c r="A58" s="18" t="s">
        <v>382</v>
      </c>
      <c r="B58" s="5" t="s">
        <v>389</v>
      </c>
      <c r="C58" s="37" t="n">
        <v>-0.255</v>
      </c>
      <c r="D58" s="37" t="n">
        <f aca="false">'Fill and Build'!$M$40</f>
        <v>-0.254511055347329</v>
      </c>
      <c r="E58" s="37" t="n">
        <f aca="false">D58-C58</f>
        <v>0.000488944652671297</v>
      </c>
      <c r="F58" s="18" t="str">
        <f aca="false">IF(ISNUMBER(D58)=FALSE(),"to check",IF(ABS(E58)&lt;=0.0005,"reproduced",IF(ABS(E58)&lt;=0.0005*3,"rounding","to check")))</f>
        <v>reproduced</v>
      </c>
    </row>
    <row r="59" customFormat="false" ht="15" hidden="false" customHeight="false" outlineLevel="0" collapsed="false">
      <c r="A59" s="18" t="s">
        <v>383</v>
      </c>
      <c r="B59" s="5" t="s">
        <v>327</v>
      </c>
      <c r="C59" s="28" t="n">
        <v>804272</v>
      </c>
      <c r="D59" s="28" t="n">
        <f aca="false">'Fill and Build'!$L$42</f>
        <v>804272.448</v>
      </c>
      <c r="E59" s="28" t="n">
        <f aca="false">D59-C59</f>
        <v>0.447999999974854</v>
      </c>
      <c r="F59" s="18" t="str">
        <f aca="false">IF(ISNUMBER(D59)=FALSE(),"to check",IF(ABS(E59)&lt;=0.5,"reproduced",IF(ABS(E59)&lt;=0.5*3,"rounding","to check")))</f>
        <v>reproduced</v>
      </c>
      <c r="H59" s="26" t="s">
        <v>390</v>
      </c>
    </row>
    <row r="60" customFormat="false" ht="15" hidden="false" customHeight="false" outlineLevel="0" collapsed="false">
      <c r="A60" s="18" t="s">
        <v>382</v>
      </c>
      <c r="B60" s="5" t="s">
        <v>391</v>
      </c>
      <c r="C60" s="28" t="n">
        <v>15688200</v>
      </c>
      <c r="D60" s="28" t="n">
        <f aca="false">'Fill and Build'!$O$48</f>
        <v>15688200.4309221</v>
      </c>
      <c r="E60" s="28" t="n">
        <f aca="false">D60-C60</f>
        <v>0.430922085419297</v>
      </c>
      <c r="F60" s="18" t="str">
        <f aca="false">IF(ISNUMBER(D60)=FALSE(),"to check",IF(ABS(E60)&lt;=0.5,"reproduced",IF(ABS(E60)&lt;=0.5*3,"rounding","to check")))</f>
        <v>reproduced</v>
      </c>
    </row>
    <row r="61" customFormat="false" ht="15" hidden="false" customHeight="false" outlineLevel="0" collapsed="false">
      <c r="A61" s="18" t="s">
        <v>392</v>
      </c>
      <c r="B61" s="5" t="s">
        <v>393</v>
      </c>
      <c r="C61" s="31" t="n">
        <v>0</v>
      </c>
      <c r="D61" s="31" t="n">
        <f aca="false">Residents!$B$189-MIN(Inputs!$B$7,Inputs!$B$8*Residents!$B$188)</f>
        <v>0</v>
      </c>
      <c r="E61" s="31" t="n">
        <f aca="false">D61-C61</f>
        <v>0</v>
      </c>
      <c r="F61" s="18" t="str">
        <f aca="false">IF(ISNUMBER(D61)=FALSE(),"to check",IF(ABS(E61)&lt;=0.000000001,"reproduced",IF(ABS(E61)&lt;=0.000000001*3,"rounding","to check")))</f>
        <v>reproduced</v>
      </c>
    </row>
    <row r="62" customFormat="false" ht="15" hidden="false" customHeight="false" outlineLevel="0" collapsed="false">
      <c r="A62" s="18" t="s">
        <v>392</v>
      </c>
      <c r="B62" s="5" t="s">
        <v>394</v>
      </c>
      <c r="C62" s="31" t="n">
        <v>0</v>
      </c>
      <c r="D62" s="31" t="n">
        <f aca="false">Result!$B$41*Inputs!$B$53*Inputs!$B$54-1</f>
        <v>0</v>
      </c>
      <c r="E62" s="31" t="n">
        <f aca="false">D62-C62</f>
        <v>0</v>
      </c>
      <c r="F62" s="18" t="str">
        <f aca="false">IF(ISNUMBER(D62)=FALSE(),"to check",IF(ABS(E62)&lt;=0.000000001,"reproduced",IF(ABS(E62)&lt;=0.000000001*3,"rounding","to check")))</f>
        <v>reproduced</v>
      </c>
    </row>
    <row r="63" customFormat="false" ht="28.35" hidden="false" customHeight="false" outlineLevel="0" collapsed="false">
      <c r="A63" s="18" t="s">
        <v>392</v>
      </c>
      <c r="B63" s="5" t="s">
        <v>395</v>
      </c>
      <c r="C63" s="31" t="n">
        <v>0</v>
      </c>
      <c r="D63" s="31" t="n">
        <f aca="false">Result!$B$35-Result!$B$36-Result!$B$31/Result!$B$33</f>
        <v>0</v>
      </c>
      <c r="E63" s="31" t="n">
        <f aca="false">D63-C63</f>
        <v>0</v>
      </c>
      <c r="F63" s="18" t="str">
        <f aca="false">IF(ISNUMBER(D63)=FALSE(),"to check",IF(ABS(E63)&lt;=0.000000001,"reproduced",IF(ABS(E63)&lt;=0.000000001*3,"rounding","to check")))</f>
        <v>reproduced</v>
      </c>
    </row>
    <row r="64" customFormat="false" ht="15" hidden="false" customHeight="false" outlineLevel="0" collapsed="false">
      <c r="A64" s="18" t="s">
        <v>392</v>
      </c>
      <c r="B64" s="5" t="s">
        <v>396</v>
      </c>
      <c r="C64" s="31" t="n">
        <v>0</v>
      </c>
      <c r="D64" s="31" t="n">
        <f aca="false">Trajectory!$B$5-Result!$B$7</f>
        <v>0</v>
      </c>
      <c r="E64" s="31" t="n">
        <f aca="false">D64-C64</f>
        <v>0</v>
      </c>
      <c r="F64" s="18" t="str">
        <f aca="false">IF(ISNUMBER(D64)=FALSE(),"to check",IF(ABS(E64)&lt;=0.000001,"reproduced",IF(ABS(E64)&lt;=0.000001*3,"rounding","to check")))</f>
        <v>reproduced</v>
      </c>
    </row>
    <row r="65" customFormat="false" ht="15" hidden="false" customHeight="false" outlineLevel="0" collapsed="false">
      <c r="A65" s="18" t="s">
        <v>392</v>
      </c>
      <c r="B65" s="5" t="s">
        <v>397</v>
      </c>
      <c r="C65" s="31" t="n">
        <v>0</v>
      </c>
      <c r="D65" s="31" t="n">
        <f aca="false">Result!$B$32+(Occupancy!$B$23*Inputs!$B$7-Residents!$B$189)*Occupancy!$B$13-Result!$B$33</f>
        <v>0</v>
      </c>
      <c r="E65" s="31" t="n">
        <f aca="false">D65-C65</f>
        <v>0</v>
      </c>
      <c r="F65" s="18" t="str">
        <f aca="false">IF(ISNUMBER(D65)=FALSE(),"to check",IF(ABS(E65)&lt;=0.000001,"reproduced",IF(ABS(E65)&lt;=0.000001*3,"rounding","to check")))</f>
        <v>reproduced</v>
      </c>
    </row>
    <row r="67" customFormat="false" ht="15" hidden="false" customHeight="false" outlineLevel="0" collapsed="false">
      <c r="A67" s="40" t="s">
        <v>398</v>
      </c>
      <c r="C67" s="40" t="n">
        <f aca="false">COUNTIF(F6:F65,"reproduced")</f>
        <v>57</v>
      </c>
    </row>
    <row r="68" customFormat="false" ht="15" hidden="false" customHeight="false" outlineLevel="0" collapsed="false">
      <c r="A68" s="40" t="s">
        <v>399</v>
      </c>
      <c r="C68" s="40" t="n">
        <f aca="false">COUNTIF(F6:F65,"rounding")</f>
        <v>1</v>
      </c>
    </row>
    <row r="69" customFormat="false" ht="15" hidden="false" customHeight="false" outlineLevel="0" collapsed="false">
      <c r="A69" s="40" t="s">
        <v>400</v>
      </c>
      <c r="C69" s="40" t="n">
        <f aca="false">COUNTIF(F6:F65,"to check")</f>
        <v>2</v>
      </c>
    </row>
    <row r="70" customFormat="false" ht="15" hidden="false" customHeight="false" outlineLevel="0" collapsed="false">
      <c r="A70" s="40" t="s">
        <v>401</v>
      </c>
      <c r="C70" s="40" t="str">
        <f aca="false">IF(C67=60,"ALL OK",C67&amp;" / 60 reproduced")</f>
        <v>57 / 60 reproduced</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2026-08-26T19:32:58Z</dcterms:created>
  <dc:creator>openpyxl</dc:creator>
  <dc:description/>
  <dc:language>en-US</dc:language>
  <cp:lastModifiedBy/>
  <dcterms:modified xsi:type="dcterms:W3CDTF">2026-09-23T23:45:29Z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