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Rota" sheetId="3" state="visible" r:id="rId5"/>
    <sheet name="Check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<sst xmlns="http://schemas.openxmlformats.org/spreadsheetml/2006/main" count="145" uniqueCount="125">
  <si>
    <t xml:space="preserve">The Rota and Employer Cost Calculator</t>
  </si>
  <si>
    <t xml:space="preserve">Companion workbook to Senior Living and Healthcare Real Estate</t>
  </si>
  <si>
    <t xml:space="preserve">What this is</t>
  </si>
  <si>
    <t xml:space="preserve">Chapters 7 and 8. Care hours per resident per day, converted to full-time equivalents, converted to heads, converted to a loaded cost — with employer national insurance computed per CONTRACT rather than per equivalent, because that is how it is charged.</t>
  </si>
  <si>
    <t xml:space="preserve">The two things it exists to show</t>
  </si>
  <si>
    <t xml:space="preserve">The roster is bigger than the rota. Leave and absence have to be covered by somebody who is also paid, so the establishment needed to deliver a given number of care hours is about fifteen per cent larger than 'hours divided by a contracted year' suggests.</t>
  </si>
  <si>
    <t xml:space="preserve">The employer charge is a threshold function of headcount. In a workforce that runs heavily part-time, modelling in full-time equivalents gets the answer wrong — and the SIZE of the error changes when the threshold changes, so it cannot be corrected with a factor.</t>
  </si>
  <si>
    <t xml:space="preserve">How to use it</t>
  </si>
  <si>
    <t xml:space="preserve">Put your own hours, wages and contract distribution in the blue cells. The two regimes sit side by side so you can price a threshold change before it is announced rather than after.</t>
  </si>
  <si>
    <t xml:space="preserve">Revised 24 September 2026</t>
  </si>
  <si>
    <t xml:space="preserve">Rows 16, 17 and 24 to 28 of the Rota sheet now compute Chapter 8's table as the book does: national insurance and pension together, before the Employment Allowance, one threshold per contract against one per full-time equivalent in each staff group. The first version counted national insurance only, on the pooled establishment, and gave an error of 37,212 and 49,727 moving by 15.6 per cent of the reform; the book's figures, now reproduced, are 32,713 and 50,728, a move of 18,015 or 22 per cent. The checks sheet ends ALL OK.</t>
  </si>
  <si>
    <t xml:space="preserve">Inputs</t>
  </si>
  <si>
    <t xml:space="preserve">Value</t>
  </si>
  <si>
    <t xml:space="preserve">Note</t>
  </si>
  <si>
    <t xml:space="preserve">Occupied beds</t>
  </si>
  <si>
    <t xml:space="preserve">Care hours per resident per day</t>
  </si>
  <si>
    <t xml:space="preserve">Of which registered nurse</t>
  </si>
  <si>
    <t xml:space="preserve">Care assistant hourly rate</t>
  </si>
  <si>
    <t xml:space="preserve">Registered nurse hourly rate</t>
  </si>
  <si>
    <t xml:space="preserve">Contracted hours a week</t>
  </si>
  <si>
    <t xml:space="preserve">Annual leave, weeks</t>
  </si>
  <si>
    <t xml:space="preserve">28 statutory days.</t>
  </si>
  <si>
    <t xml:space="preserve">Sickness and training absence, weeks</t>
  </si>
  <si>
    <t xml:space="preserve">Heads per full-time equivalent</t>
  </si>
  <si>
    <t xml:space="preserve">The single most under-modelled number in a care home payroll.</t>
  </si>
  <si>
    <t xml:space="preserve">Agency share of care hours</t>
  </si>
  <si>
    <t xml:space="preserve">Agency premium</t>
  </si>
  <si>
    <t xml:space="preserve">Non-care staff gross pay</t>
  </si>
  <si>
    <t xml:space="preserve">Non-care staff full-time equivalents</t>
  </si>
  <si>
    <t xml:space="preserve">Recruitment and training, share of gross pay</t>
  </si>
  <si>
    <t xml:space="preserve">Days in a year</t>
  </si>
  <si>
    <t xml:space="preserve">A definition.</t>
  </si>
  <si>
    <t xml:space="preserve">Weeks in a year</t>
  </si>
  <si>
    <t xml:space="preserve">A definition. Not 52.</t>
  </si>
  <si>
    <t xml:space="preserve">Current regime — rate</t>
  </si>
  <si>
    <t xml:space="preserve">Current regime — threshold</t>
  </si>
  <si>
    <t xml:space="preserve">Per head, per year.</t>
  </si>
  <si>
    <t xml:space="preserve">Current regime — Employment Allowance</t>
  </si>
  <si>
    <t xml:space="preserve">Once, not per head. The offsetting clause in the same instrument.</t>
  </si>
  <si>
    <t xml:space="preserve">Previous regime — rate</t>
  </si>
  <si>
    <t xml:space="preserve">Previous regime — threshold</t>
  </si>
  <si>
    <t xml:space="preserve">Previous regime — Employment Allowance</t>
  </si>
  <si>
    <t xml:space="preserve">Pension rate</t>
  </si>
  <si>
    <t xml:space="preserve">Pension band starts at</t>
  </si>
  <si>
    <t xml:space="preserve">Pension enrolment trigger</t>
  </si>
  <si>
    <t xml:space="preserve">Runs the OPPOSITE way to the NI threshold: more contracts means fewer enrolled, not more.</t>
  </si>
  <si>
    <t xml:space="preserve">Share who opt out</t>
  </si>
  <si>
    <t xml:space="preserve">From hours to a loaded cost</t>
  </si>
  <si>
    <t xml:space="preserve">Current regime</t>
  </si>
  <si>
    <t xml:space="preserve">Previous regime</t>
  </si>
  <si>
    <t xml:space="preserve">Care hours a year</t>
  </si>
  <si>
    <t xml:space="preserve">Full-time equivalents — hours ÷ a contracted year</t>
  </si>
  <si>
    <t xml:space="preserve">The instinctive calculation. It assumes every contracted hour is an hour on the floor.</t>
  </si>
  <si>
    <t xml:space="preserve">Productive hours per full-time equivalent</t>
  </si>
  <si>
    <t xml:space="preserve">Full-time equivalents — the honest figure</t>
  </si>
  <si>
    <t xml:space="preserve">The roster is bigger than the rota by</t>
  </si>
  <si>
    <t xml:space="preserve">On the line that is more than half of revenue.</t>
  </si>
  <si>
    <t xml:space="preserve">Care staff gross pay, in house</t>
  </si>
  <si>
    <t xml:space="preserve">CONTRACTED hours, not hours delivered. The gap is paid leave, and somebody covers the shift.</t>
  </si>
  <si>
    <t xml:space="preserve">Gross pay</t>
  </si>
  <si>
    <t xml:space="preserve">Heads employed</t>
  </si>
  <si>
    <t xml:space="preserve">The denominator the charge is actually applied to.</t>
  </si>
  <si>
    <t xml:space="preserve">Gross pay per head</t>
  </si>
  <si>
    <t xml:space="preserve">Employer national insurance, per head basis</t>
  </si>
  <si>
    <t xml:space="preserve">One threshold per contract, Employment Allowance deducted once.</t>
  </si>
  <si>
    <t xml:space="preserve">Employer national insurance and pension, per head, before the Employment Allowance</t>
  </si>
  <si>
    <t xml:space="preserve">One threshold per contract: the right basis.</t>
  </si>
  <si>
    <t xml:space="preserve">The same, per full-time equivalent: one threshold per equivalent in each staff group</t>
  </si>
  <si>
    <t xml:space="preserve">Fewer thresholds than there are contracts, so it overstates the charge in both regimes.</t>
  </si>
  <si>
    <t xml:space="preserve">Pension, per head basis</t>
  </si>
  <si>
    <t xml:space="preserve">Zero where the contract does not clear the enrolment trigger.</t>
  </si>
  <si>
    <t xml:space="preserve">Agency</t>
  </si>
  <si>
    <t xml:space="preserve">Recruitment, training and related</t>
  </si>
  <si>
    <t xml:space="preserve">Total staff cost</t>
  </si>
  <si>
    <t xml:space="preserve">What modelling in full-time equivalents gets wrong — Chapter 8</t>
  </si>
  <si>
    <t xml:space="preserve">Error from modelling in full-time equivalents</t>
  </si>
  <si>
    <t xml:space="preserve">Current regime, then previous. National insurance and pension together.</t>
  </si>
  <si>
    <t xml:space="preserve">The error moved by, between the two regimes</t>
  </si>
  <si>
    <t xml:space="preserve">An error whose size changes with the regime cannot be corrected with a factor.</t>
  </si>
  <si>
    <t xml:space="preserve">Employer costs after the Employment Allowance, per head</t>
  </si>
  <si>
    <t xml:space="preserve">The allowance doubled in the same instrument.</t>
  </si>
  <si>
    <t xml:space="preserve">What the threshold change cost</t>
  </si>
  <si>
    <t xml:space="preserve">The error's move, as a share of the cost of the reform</t>
  </si>
  <si>
    <t xml:space="preserve">Chapter 8: 22 per cent.</t>
  </si>
  <si>
    <t xml:space="preserve">Checks — every figure the book prints, against what this workbook computes</t>
  </si>
  <si>
    <t xml:space="preserve">Senior Living and Healthcare Real Estate</t>
  </si>
  <si>
    <t xml:space="preserve">Column D is a live formula pointing into the model, not a re-typed number. Change an input and this sheet moves with it. Lines marked "revised" carry the corrected figure; the note in column H gives the one the first edition printed.</t>
  </si>
  <si>
    <t xml:space="preserve">Source</t>
  </si>
  <si>
    <t xml:space="preserve">Figure as the book prints it</t>
  </si>
  <si>
    <t xml:space="preserve">Printed</t>
  </si>
  <si>
    <t xml:space="preserve">Computed</t>
  </si>
  <si>
    <t xml:space="preserve">Variance</t>
  </si>
  <si>
    <t xml:space="preserve">Status</t>
  </si>
  <si>
    <t xml:space="preserve">How the tolerances are set</t>
  </si>
  <si>
    <t xml:space="preserve">Ch. 7</t>
  </si>
  <si>
    <t xml:space="preserve">The tolerance on each line is the rounding of the figure as the book prints it. Lines marked "revised" were wrong in the first version of this workbook, not in the book.</t>
  </si>
  <si>
    <t xml:space="preserve">Care full-time equivalents</t>
  </si>
  <si>
    <t xml:space="preserve">Care staff gross pay</t>
  </si>
  <si>
    <t xml:space="preserve">Ch. 8</t>
  </si>
  <si>
    <t xml:space="preserve">Employer national insurance and pension, current regime</t>
  </si>
  <si>
    <t xml:space="preserve">Employer costs, previous regime</t>
  </si>
  <si>
    <t xml:space="preserve">Computed per head, current regime</t>
  </si>
  <si>
    <t xml:space="preserve">Computed per head, previous regime</t>
  </si>
  <si>
    <t xml:space="preserve">Ch. 8, revised</t>
  </si>
  <si>
    <t xml:space="preserve">Computed per full-time equivalent, current regime</t>
  </si>
  <si>
    <t xml:space="preserve">the first version counted national insurance only, on the pooled establishment: 288,818</t>
  </si>
  <si>
    <t xml:space="preserve">Computed per full-time equivalent, previous regime</t>
  </si>
  <si>
    <t xml:space="preserve">first version: 220,931</t>
  </si>
  <si>
    <t xml:space="preserve">Error from modelling in FTE, current regime</t>
  </si>
  <si>
    <t xml:space="preserve">first version: 37,212</t>
  </si>
  <si>
    <t xml:space="preserve">Error from modelling in FTE, previous regime</t>
  </si>
  <si>
    <t xml:space="preserve">first version: 49,727</t>
  </si>
  <si>
    <t xml:space="preserve">The error moved by</t>
  </si>
  <si>
    <t xml:space="preserve">first version: 12,515</t>
  </si>
  <si>
    <t xml:space="preserve">What the reform cost this home</t>
  </si>
  <si>
    <t xml:space="preserve">The error's move as a share of the cost of the reform</t>
  </si>
  <si>
    <t xml:space="preserve">first version: 15.6 per cent</t>
  </si>
  <si>
    <t xml:space="preserve">Ch. 9</t>
  </si>
  <si>
    <t xml:space="preserve">Ch. 10</t>
  </si>
  <si>
    <t xml:space="preserve">Identity</t>
  </si>
  <si>
    <t xml:space="preserve">Employer costs after the allowance equal national insurance plus pension on the cost lines</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</si>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</sst>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10">
    <numFmt numFmtId="164" formatCode="General"/>
    <numFmt numFmtId="165" formatCode="0.0"/>
    <numFmt numFmtId="166" formatCode="0.00"/>
    <numFmt numFmtId="167" formatCode="\£#,##0.00"/>
    <numFmt numFmtId="168" formatCode="0.00%"/>
    <numFmt numFmtId="169" formatCode="\£#,##0"/>
    <numFmt numFmtId="170" formatCode="0.0%"/>
    <numFmt numFmtId="171" formatCode="0.0000"/>
    <numFmt numFmtId="172" formatCode="#,##0"/>
    <numFmt numFmtId="173" formatCode="0%"/>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sz val="11"/>
      <name val="Calibri"/>
      <family val="0"/>
      <charset val="1"/>
    </font>
    <font>
      <b val="true"/>
      <sz val="13"/>
      <color rgb="FF1F3864"/>
      <name val="Cambria"/>
      <family val="0"/>
      <charset val="1"/>
    </font>
    <font>
      <b val="true"/>
      <sz val="11"/>
      <name val="Cambria"/>
      <family val="0"/>
      <charset val="1"/>
    </font>
    <font>
      <sz val="11"/>
      <color rgb="FF1F4E79"/>
      <name val="Cambria"/>
      <family val="0"/>
      <charset val="1"/>
    </font>
  </fonts>
  <fills count="3">
    <fill>
      <patternFill patternType="none"/>
    </fill>
    <fill>
      <patternFill patternType="gray125"/>
    </fill>
    <fill>
      <patternFill patternType="solid">
        <fgColor rgb="FFDCE9F7"/>
        <bgColor rgb="FFCC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6" fontId="10" fillId="2" borderId="0" xfId="0" applyFont="true" applyBorder="false" applyAlignment="false" applyProtection="false">
      <alignment horizontal="general" vertical="bottom" textRotation="0" wrapText="false" indent="0" shrinkToFit="false"/>
      <protection locked="true" hidden="false"/>
    </xf>
    <xf numFmtId="167" fontId="10" fillId="2" borderId="0" xfId="0" applyFont="true" applyBorder="false" applyAlignment="false" applyProtection="false">
      <alignment horizontal="general" vertical="bottom" textRotation="0" wrapText="false" indent="0" shrinkToFit="false"/>
      <protection locked="true" hidden="false"/>
    </xf>
    <xf numFmtId="168" fontId="10" fillId="2" borderId="0" xfId="0" applyFont="true" applyBorder="false" applyAlignment="false" applyProtection="false">
      <alignment horizontal="general" vertical="bottom" textRotation="0" wrapText="false" indent="0" shrinkToFit="false"/>
      <protection locked="true" hidden="false"/>
    </xf>
    <xf numFmtId="169" fontId="10" fillId="2" borderId="0" xfId="0" applyFont="true" applyBorder="false" applyAlignment="false" applyProtection="false">
      <alignment horizontal="general" vertical="bottom" textRotation="0" wrapText="false" indent="0" shrinkToFit="false"/>
      <protection locked="true" hidden="false"/>
    </xf>
    <xf numFmtId="170" fontId="10" fillId="2" borderId="0" xfId="0" applyFont="true" applyBorder="false" applyAlignment="false" applyProtection="false">
      <alignment horizontal="general" vertical="bottom" textRotation="0" wrapText="false" indent="0" shrinkToFit="false"/>
      <protection locked="true" hidden="false"/>
    </xf>
    <xf numFmtId="171" fontId="10" fillId="2" borderId="0" xfId="0" applyFont="tru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9" hidden="false" customHeight="true" outlineLevel="0" collapsed="false">
      <c r="A5" s="4" t="s">
        <v>3</v>
      </c>
    </row>
    <row r="7" customFormat="false" ht="15" hidden="false" customHeight="false" outlineLevel="0" collapsed="false">
      <c r="A7" s="3" t="s">
        <v>4</v>
      </c>
    </row>
    <row r="8" customFormat="false" ht="39" hidden="false" customHeight="true" outlineLevel="0" collapsed="false">
      <c r="A8" s="4" t="s">
        <v>5</v>
      </c>
    </row>
    <row r="9" customFormat="false" ht="39" hidden="false" customHeight="true" outlineLevel="0" collapsed="false">
      <c r="A9" s="4" t="s">
        <v>6</v>
      </c>
    </row>
    <row r="11" customFormat="false" ht="15" hidden="false" customHeight="false" outlineLevel="0" collapsed="false">
      <c r="A11" s="3" t="s">
        <v>7</v>
      </c>
    </row>
    <row r="12" customFormat="false" ht="25.5" hidden="false" customHeight="true" outlineLevel="0" collapsed="false">
      <c r="A12" s="4" t="s">
        <v>8</v>
      </c>
    </row>
    <row r="14" customFormat="false" ht="15" hidden="false" customHeight="false" outlineLevel="0" collapsed="false">
      <c r="A14" s="3" t="s">
        <v>9</v>
      </c>
    </row>
    <row r="15" customFormat="false" ht="75" hidden="false" customHeight="true" outlineLevel="0" collapsed="false">
      <c r="A15" s="5"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14"/>
    <col collapsed="false" customWidth="true" hidden="false" outlineLevel="0" max="3" min="3" style="0" width="54"/>
  </cols>
  <sheetData>
    <row r="1" customFormat="false" ht="16.15" hidden="false" customHeight="false" outlineLevel="0" collapsed="false">
      <c r="A1" s="6" t="s">
        <v>11</v>
      </c>
    </row>
    <row r="4" customFormat="false" ht="15" hidden="false" customHeight="false" outlineLevel="0" collapsed="false">
      <c r="A4" s="7"/>
      <c r="B4" s="7" t="s">
        <v>12</v>
      </c>
      <c r="C4" s="7" t="s">
        <v>13</v>
      </c>
    </row>
    <row r="5" customFormat="false" ht="15" hidden="false" customHeight="false" outlineLevel="0" collapsed="false">
      <c r="A5" s="0" t="s">
        <v>14</v>
      </c>
      <c r="B5" s="8" t="n">
        <v>62.6792986585771</v>
      </c>
      <c r="C5" s="2"/>
    </row>
    <row r="6" customFormat="false" ht="15" hidden="false" customHeight="false" outlineLevel="0" collapsed="false">
      <c r="A6" s="0" t="s">
        <v>15</v>
      </c>
      <c r="B6" s="9" t="n">
        <v>4.55</v>
      </c>
      <c r="C6" s="2"/>
    </row>
    <row r="7" customFormat="false" ht="15" hidden="false" customHeight="false" outlineLevel="0" collapsed="false">
      <c r="A7" s="0" t="s">
        <v>16</v>
      </c>
      <c r="B7" s="9" t="n">
        <v>0.72</v>
      </c>
      <c r="C7" s="2"/>
    </row>
    <row r="8" customFormat="false" ht="15" hidden="false" customHeight="false" outlineLevel="0" collapsed="false">
      <c r="A8" s="0" t="s">
        <v>17</v>
      </c>
      <c r="B8" s="10" t="n">
        <v>13.35</v>
      </c>
      <c r="C8" s="2"/>
    </row>
    <row r="9" customFormat="false" ht="15" hidden="false" customHeight="false" outlineLevel="0" collapsed="false">
      <c r="A9" s="0" t="s">
        <v>18</v>
      </c>
      <c r="B9" s="10" t="n">
        <v>24.1</v>
      </c>
      <c r="C9" s="2"/>
    </row>
    <row r="10" customFormat="false" ht="15" hidden="false" customHeight="false" outlineLevel="0" collapsed="false">
      <c r="A10" s="0" t="s">
        <v>19</v>
      </c>
      <c r="B10" s="8" t="n">
        <v>37.5</v>
      </c>
      <c r="C10" s="2"/>
    </row>
    <row r="11" customFormat="false" ht="15" hidden="false" customHeight="false" outlineLevel="0" collapsed="false">
      <c r="A11" s="0" t="s">
        <v>20</v>
      </c>
      <c r="B11" s="8" t="n">
        <v>5.6</v>
      </c>
      <c r="C11" s="2" t="s">
        <v>21</v>
      </c>
    </row>
    <row r="12" customFormat="false" ht="15" hidden="false" customHeight="false" outlineLevel="0" collapsed="false">
      <c r="A12" s="0" t="s">
        <v>22</v>
      </c>
      <c r="B12" s="8" t="n">
        <v>1.4</v>
      </c>
      <c r="C12" s="2"/>
    </row>
    <row r="13" customFormat="false" ht="15" hidden="false" customHeight="false" outlineLevel="0" collapsed="false">
      <c r="A13" s="0" t="s">
        <v>23</v>
      </c>
      <c r="B13" s="9" t="n">
        <v>1.45</v>
      </c>
      <c r="C13" s="2" t="s">
        <v>24</v>
      </c>
    </row>
    <row r="14" customFormat="false" ht="15" hidden="false" customHeight="false" outlineLevel="0" collapsed="false">
      <c r="A14" s="0" t="s">
        <v>25</v>
      </c>
      <c r="B14" s="11" t="n">
        <v>0.0315</v>
      </c>
      <c r="C14" s="2"/>
    </row>
    <row r="15" customFormat="false" ht="15" hidden="false" customHeight="false" outlineLevel="0" collapsed="false">
      <c r="A15" s="0" t="s">
        <v>26</v>
      </c>
      <c r="B15" s="9" t="n">
        <v>1.55</v>
      </c>
      <c r="C15" s="2"/>
    </row>
    <row r="16" customFormat="false" ht="15" hidden="false" customHeight="false" outlineLevel="0" collapsed="false">
      <c r="A16" s="0" t="s">
        <v>27</v>
      </c>
      <c r="B16" s="12" t="n">
        <v>567500</v>
      </c>
      <c r="C16" s="2"/>
    </row>
    <row r="17" customFormat="false" ht="15" hidden="false" customHeight="false" outlineLevel="0" collapsed="false">
      <c r="A17" s="0" t="s">
        <v>28</v>
      </c>
      <c r="B17" s="8" t="n">
        <v>19.6</v>
      </c>
      <c r="C17" s="2"/>
    </row>
    <row r="18" customFormat="false" ht="15" hidden="false" customHeight="false" outlineLevel="0" collapsed="false">
      <c r="A18" s="0" t="s">
        <v>29</v>
      </c>
      <c r="B18" s="13" t="n">
        <v>0.026</v>
      </c>
      <c r="C18" s="2"/>
    </row>
    <row r="19" customFormat="false" ht="15" hidden="false" customHeight="false" outlineLevel="0" collapsed="false">
      <c r="A19" s="0" t="s">
        <v>30</v>
      </c>
      <c r="B19" s="9" t="n">
        <v>365.25</v>
      </c>
      <c r="C19" s="2" t="s">
        <v>31</v>
      </c>
    </row>
    <row r="20" customFormat="false" ht="15" hidden="false" customHeight="false" outlineLevel="0" collapsed="false">
      <c r="A20" s="0" t="s">
        <v>32</v>
      </c>
      <c r="B20" s="14" t="n">
        <v>52.1785714285714</v>
      </c>
      <c r="C20" s="2" t="s">
        <v>33</v>
      </c>
    </row>
    <row r="21" customFormat="false" ht="15" hidden="false" customHeight="false" outlineLevel="0" collapsed="false">
      <c r="A21" s="0" t="s">
        <v>34</v>
      </c>
      <c r="B21" s="13" t="n">
        <v>0.15</v>
      </c>
      <c r="C21" s="2"/>
    </row>
    <row r="22" customFormat="false" ht="15" hidden="false" customHeight="false" outlineLevel="0" collapsed="false">
      <c r="A22" s="0" t="s">
        <v>35</v>
      </c>
      <c r="B22" s="12" t="n">
        <v>5000</v>
      </c>
      <c r="C22" s="2" t="s">
        <v>36</v>
      </c>
    </row>
    <row r="23" customFormat="false" ht="15" hidden="false" customHeight="false" outlineLevel="0" collapsed="false">
      <c r="A23" s="0" t="s">
        <v>37</v>
      </c>
      <c r="B23" s="12" t="n">
        <v>10500</v>
      </c>
      <c r="C23" s="2" t="s">
        <v>38</v>
      </c>
    </row>
    <row r="24" customFormat="false" ht="15" hidden="false" customHeight="false" outlineLevel="0" collapsed="false">
      <c r="A24" s="0" t="s">
        <v>39</v>
      </c>
      <c r="B24" s="11" t="n">
        <v>0.138</v>
      </c>
      <c r="C24" s="2"/>
    </row>
    <row r="25" customFormat="false" ht="15" hidden="false" customHeight="false" outlineLevel="0" collapsed="false">
      <c r="A25" s="0" t="s">
        <v>40</v>
      </c>
      <c r="B25" s="12" t="n">
        <v>9100</v>
      </c>
      <c r="C25" s="2"/>
    </row>
    <row r="26" customFormat="false" ht="15" hidden="false" customHeight="false" outlineLevel="0" collapsed="false">
      <c r="A26" s="0" t="s">
        <v>41</v>
      </c>
      <c r="B26" s="12" t="n">
        <v>5000</v>
      </c>
      <c r="C26" s="2"/>
    </row>
    <row r="27" customFormat="false" ht="15" hidden="false" customHeight="false" outlineLevel="0" collapsed="false">
      <c r="A27" s="0" t="s">
        <v>42</v>
      </c>
      <c r="B27" s="13" t="n">
        <v>0.03</v>
      </c>
      <c r="C27" s="2"/>
    </row>
    <row r="28" customFormat="false" ht="15" hidden="false" customHeight="false" outlineLevel="0" collapsed="false">
      <c r="A28" s="0" t="s">
        <v>43</v>
      </c>
      <c r="B28" s="12" t="n">
        <v>6240</v>
      </c>
      <c r="C28" s="2"/>
    </row>
    <row r="29" customFormat="false" ht="15" hidden="false" customHeight="false" outlineLevel="0" collapsed="false">
      <c r="A29" s="0" t="s">
        <v>44</v>
      </c>
      <c r="B29" s="12" t="n">
        <v>10000</v>
      </c>
      <c r="C29" s="2" t="s">
        <v>45</v>
      </c>
    </row>
    <row r="30" customFormat="false" ht="15" hidden="false" customHeight="false" outlineLevel="0" collapsed="false">
      <c r="A30" s="0" t="s">
        <v>46</v>
      </c>
      <c r="B30" s="13" t="n">
        <v>0.1</v>
      </c>
      <c r="C30"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 collapsed="false" customWidth="true" hidden="false" outlineLevel="0" max="4" min="4" style="0" width="50"/>
  </cols>
  <sheetData>
    <row r="1" customFormat="false" ht="16.15" hidden="false" customHeight="false" outlineLevel="0" collapsed="false">
      <c r="A1" s="6" t="s">
        <v>47</v>
      </c>
    </row>
    <row r="4" customFormat="false" ht="15" hidden="false" customHeight="false" outlineLevel="0" collapsed="false">
      <c r="A4" s="7"/>
      <c r="B4" s="7" t="s">
        <v>48</v>
      </c>
      <c r="C4" s="7" t="s">
        <v>49</v>
      </c>
      <c r="D4" s="7" t="s">
        <v>13</v>
      </c>
    </row>
    <row r="5" customFormat="false" ht="15" hidden="false" customHeight="false" outlineLevel="0" collapsed="false">
      <c r="A5" s="0" t="s">
        <v>50</v>
      </c>
      <c r="B5" s="15" t="n">
        <f aca="false">Inputs!$B$5*Inputs!$B$6*Inputs!$B$19</f>
        <v>104165.942949456</v>
      </c>
    </row>
    <row r="6" customFormat="false" ht="22.35" hidden="false" customHeight="false" outlineLevel="0" collapsed="false">
      <c r="A6" s="0" t="s">
        <v>51</v>
      </c>
      <c r="B6" s="16" t="n">
        <f aca="false">$B$5/(Inputs!$B$10*Inputs!$B$20)</f>
        <v>53.2356176606848</v>
      </c>
      <c r="D6" s="17" t="s">
        <v>52</v>
      </c>
    </row>
    <row r="7" customFormat="false" ht="15" hidden="false" customHeight="false" outlineLevel="0" collapsed="false">
      <c r="A7" s="0" t="s">
        <v>53</v>
      </c>
      <c r="B7" s="15" t="n">
        <f aca="false">Inputs!$B$10*(Inputs!$B$20-Inputs!$B$11-Inputs!$B$12)</f>
        <v>1694.19642857143</v>
      </c>
    </row>
    <row r="8" customFormat="false" ht="15" hidden="false" customHeight="false" outlineLevel="0" collapsed="false">
      <c r="A8" s="0" t="s">
        <v>54</v>
      </c>
      <c r="B8" s="16" t="n">
        <f aca="false">$B$5/$B$7</f>
        <v>61.4839821361743</v>
      </c>
    </row>
    <row r="9" customFormat="false" ht="15" hidden="false" customHeight="false" outlineLevel="0" collapsed="false">
      <c r="A9" s="0" t="s">
        <v>55</v>
      </c>
      <c r="B9" s="18" t="n">
        <f aca="false">$B$8/$B$6-1</f>
        <v>0.154940711462451</v>
      </c>
      <c r="D9" s="17" t="s">
        <v>56</v>
      </c>
    </row>
    <row r="10" customFormat="false" ht="22.35" hidden="false" customHeight="false" outlineLevel="0" collapsed="false">
      <c r="A10" s="0" t="s">
        <v>57</v>
      </c>
      <c r="B10" s="19" t="n">
        <f aca="false">$B$8*(1-Inputs!$B$14)*Inputs!$B$10*Inputs!$B$20*((Inputs!$B$7/Inputs!$B$6)*Inputs!$B$9+(1-(Inputs!$B$7/Inputs!$B$6))*Inputs!$B$8)</f>
        <v>1753691.81338159</v>
      </c>
      <c r="D10" s="17" t="s">
        <v>58</v>
      </c>
    </row>
    <row r="11" customFormat="false" ht="15" hidden="false" customHeight="false" outlineLevel="0" collapsed="false">
      <c r="A11" s="0" t="s">
        <v>27</v>
      </c>
      <c r="B11" s="19" t="n">
        <f aca="false">Inputs!$B$16</f>
        <v>567500</v>
      </c>
    </row>
    <row r="12" customFormat="false" ht="15" hidden="false" customHeight="false" outlineLevel="0" collapsed="false">
      <c r="A12" s="0" t="s">
        <v>59</v>
      </c>
      <c r="B12" s="19" t="n">
        <f aca="false">$B$10+$B$11</f>
        <v>2321191.81338159</v>
      </c>
    </row>
    <row r="13" customFormat="false" ht="15" hidden="false" customHeight="false" outlineLevel="0" collapsed="false">
      <c r="A13" s="0" t="s">
        <v>60</v>
      </c>
      <c r="B13" s="16" t="n">
        <f aca="false">($B$8*(1-Inputs!$B$14)+Inputs!$B$17)*Inputs!$B$13</f>
        <v>114.763493213383</v>
      </c>
      <c r="D13" s="17" t="s">
        <v>61</v>
      </c>
    </row>
    <row r="14" customFormat="false" ht="15" hidden="false" customHeight="false" outlineLevel="0" collapsed="false">
      <c r="A14" s="0" t="s">
        <v>62</v>
      </c>
      <c r="B14" s="19" t="n">
        <f aca="false">$B$12/$B$13</f>
        <v>20225.8727787741</v>
      </c>
    </row>
    <row r="15" customFormat="false" ht="15" hidden="false" customHeight="false" outlineLevel="0" collapsed="false">
      <c r="A15" s="0" t="s">
        <v>63</v>
      </c>
      <c r="B15" s="19" t="n">
        <f aca="false">MAX(0,$B$13*Inputs!$B$21*MAX(0,$B$14-Inputs!$B$22)-Inputs!$B$23)</f>
        <v>251606.152097201</v>
      </c>
      <c r="C15" s="19" t="n">
        <f aca="false">MAX(0,$B$13*Inputs!$B$24*MAX(0,$B$14-Inputs!$B$25)-Inputs!$B$26)</f>
        <v>171204.475469293</v>
      </c>
      <c r="D15" s="17" t="s">
        <v>64</v>
      </c>
    </row>
    <row r="16" customFormat="false" ht="15" hidden="false" customHeight="false" outlineLevel="0" collapsed="false">
      <c r="A16" s="0" t="s">
        <v>65</v>
      </c>
      <c r="B16" s="19" t="n">
        <f aca="false">$B$13*(Inputs!$B$21*MAX(0,$B$14-Inputs!$B$22)+IF($B$14&gt;=Inputs!$B$29,(1-Inputs!$B$30)*Inputs!$B$27*MAX(0,$B$14-Inputs!$B$28),0))</f>
        <v>305442.977721913</v>
      </c>
      <c r="C16" s="19" t="n">
        <f aca="false">$B$13*(Inputs!$B$24*MAX(0,$B$14-Inputs!$B$25)+IF($B$14&gt;=Inputs!$B$29,(1-Inputs!$B$30)*Inputs!$B$27*MAX(0,$B$14-Inputs!$B$28),0))</f>
        <v>219541.301094005</v>
      </c>
      <c r="D16" s="17" t="s">
        <v>66</v>
      </c>
    </row>
    <row r="17" customFormat="false" ht="22.35" hidden="false" customHeight="false" outlineLevel="0" collapsed="false">
      <c r="A17" s="0" t="s">
        <v>67</v>
      </c>
      <c r="B17" s="19" t="n">
        <f aca="false">($B$8*(1-Inputs!$B$14))*(Inputs!$B$21*MAX(0,$B$10/($B$8*(1-Inputs!$B$14))-Inputs!$B$22)+IF($B$10/($B$8*(1-Inputs!$B$14))&gt;=Inputs!$B$29,(1-Inputs!$B$30)*Inputs!$B$27*MAX(0,$B$10/($B$8*(1-Inputs!$B$14))-Inputs!$B$28),0))+Inputs!$B$17*(Inputs!$B$21*MAX(0,$B$11/Inputs!$B$17-Inputs!$B$22)+IF($B$11/Inputs!$B$17&gt;=Inputs!$B$29,(1-Inputs!$B$30)*Inputs!$B$27*MAX(0,$B$11/Inputs!$B$17-Inputs!$B$28),0))</f>
        <v>338155.797005349</v>
      </c>
      <c r="C17" s="19" t="n">
        <f aca="false">($B$8*(1-Inputs!$B$14))*(Inputs!$B$24*MAX(0,$B$10/($B$8*(1-Inputs!$B$14))-Inputs!$B$25)+IF($B$10/($B$8*(1-Inputs!$B$14))&gt;=Inputs!$B$29,(1-Inputs!$B$30)*Inputs!$B$27*MAX(0,$B$10/($B$8*(1-Inputs!$B$14))-Inputs!$B$28),0))+Inputs!$B$17*(Inputs!$B$24*MAX(0,$B$11/Inputs!$B$17-Inputs!$B$25)+IF($B$11/Inputs!$B$17&gt;=Inputs!$B$29,(1-Inputs!$B$30)*Inputs!$B$27*MAX(0,$B$11/Inputs!$B$17-Inputs!$B$28),0))</f>
        <v>270268.822922474</v>
      </c>
      <c r="D17" s="17" t="s">
        <v>68</v>
      </c>
    </row>
    <row r="18" customFormat="false" ht="15" hidden="false" customHeight="false" outlineLevel="0" collapsed="false">
      <c r="A18" s="0" t="s">
        <v>69</v>
      </c>
      <c r="B18" s="19" t="n">
        <f aca="false">IF($B$14&gt;=Inputs!$B$29,(1-Inputs!$B$30)*$B$13*Inputs!$B$27*MAX(0,$B$14-Inputs!$B$28),0)</f>
        <v>43336.8256247121</v>
      </c>
      <c r="D18" s="17" t="s">
        <v>70</v>
      </c>
    </row>
    <row r="19" customFormat="false" ht="15" hidden="false" customHeight="false" outlineLevel="0" collapsed="false">
      <c r="A19" s="0" t="s">
        <v>71</v>
      </c>
      <c r="B19" s="19" t="n">
        <f aca="false">$B$5*Inputs!$B$14*((Inputs!$B$7/Inputs!$B$6)*Inputs!$B$9+(1-(Inputs!$B$7/Inputs!$B$6))*Inputs!$B$8)*Inputs!$B$15</f>
        <v>76548.4164793107</v>
      </c>
    </row>
    <row r="20" customFormat="false" ht="15" hidden="false" customHeight="false" outlineLevel="0" collapsed="false">
      <c r="A20" s="0" t="s">
        <v>72</v>
      </c>
      <c r="B20" s="19" t="n">
        <f aca="false">Inputs!$B$18*$B$12</f>
        <v>60350.9871479212</v>
      </c>
    </row>
    <row r="21" customFormat="false" ht="15" hidden="false" customHeight="false" outlineLevel="0" collapsed="false">
      <c r="A21" s="0" t="s">
        <v>73</v>
      </c>
      <c r="B21" s="19" t="n">
        <f aca="false">$B$12+$B$15+$B$18+$B$19+$B$20</f>
        <v>2753034.19473073</v>
      </c>
    </row>
    <row r="23" customFormat="false" ht="15" hidden="false" customHeight="false" outlineLevel="0" collapsed="false">
      <c r="A23" s="3" t="s">
        <v>74</v>
      </c>
    </row>
    <row r="24" customFormat="false" ht="15" hidden="false" customHeight="false" outlineLevel="0" collapsed="false">
      <c r="A24" s="0" t="s">
        <v>75</v>
      </c>
      <c r="B24" s="19" t="n">
        <f aca="false">B17-B16</f>
        <v>32712.8192834363</v>
      </c>
      <c r="C24" s="19" t="n">
        <f aca="false">C17-C16</f>
        <v>50727.5218284695</v>
      </c>
      <c r="D24" s="20" t="s">
        <v>76</v>
      </c>
    </row>
    <row r="25" customFormat="false" ht="15" hidden="false" customHeight="false" outlineLevel="0" collapsed="false">
      <c r="A25" s="0" t="s">
        <v>77</v>
      </c>
      <c r="B25" s="19" t="n">
        <f aca="false">C24-B24</f>
        <v>18014.7025450332</v>
      </c>
      <c r="D25" s="20" t="s">
        <v>78</v>
      </c>
    </row>
    <row r="26" customFormat="false" ht="15" hidden="false" customHeight="false" outlineLevel="0" collapsed="false">
      <c r="A26" s="0" t="s">
        <v>79</v>
      </c>
      <c r="B26" s="19" t="n">
        <f aca="false">B16-Inputs!$B$23</f>
        <v>294942.977721913</v>
      </c>
      <c r="C26" s="19" t="n">
        <f aca="false">C16-Inputs!$B$26</f>
        <v>214541.301094005</v>
      </c>
      <c r="D26" s="20" t="s">
        <v>80</v>
      </c>
    </row>
    <row r="27" customFormat="false" ht="15" hidden="false" customHeight="false" outlineLevel="0" collapsed="false">
      <c r="A27" s="0" t="s">
        <v>81</v>
      </c>
      <c r="B27" s="19" t="n">
        <f aca="false">B26-C26</f>
        <v>80401.6766279081</v>
      </c>
    </row>
    <row r="28" customFormat="false" ht="15" hidden="false" customHeight="false" outlineLevel="0" collapsed="false">
      <c r="A28" s="3" t="s">
        <v>82</v>
      </c>
      <c r="B28" s="18" t="n">
        <f aca="false">B25/B27</f>
        <v>0.224058792062305</v>
      </c>
      <c r="D28" s="20" t="s">
        <v>83</v>
      </c>
    </row>
    <row r="29" customFormat="false" ht="15" hidden="false" customHeight="false" outlineLevel="0" collapsed="false">
      <c r="B29" s="19"/>
    </row>
    <row r="30" customFormat="false" ht="15" hidden="false" customHeight="false" outlineLevel="0" collapsed="false">
      <c r="B30" s="19"/>
    </row>
    <row r="31" customFormat="false" ht="15" hidden="false" customHeight="false" outlineLevel="0" collapsed="false">
      <c r="B31" s="19"/>
    </row>
    <row r="32" customFormat="false" ht="15" hidden="false" customHeight="false" outlineLevel="0" collapsed="false">
      <c r="B32" s="18"/>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4"/>
    <col collapsed="false" customWidth="true" hidden="false" outlineLevel="0" max="2" min="2" style="0" width="64"/>
    <col collapsed="false" customWidth="true" hidden="false" outlineLevel="0" max="6" min="3" style="0" width="13"/>
    <col collapsed="false" customWidth="true" hidden="false" outlineLevel="0" max="7" min="7" style="0" width="2"/>
    <col collapsed="false" customWidth="true" hidden="false" outlineLevel="0" max="8" min="8" style="0" width="60"/>
  </cols>
  <sheetData>
    <row r="1" customFormat="false" ht="16.15" hidden="false" customHeight="false" outlineLevel="0" collapsed="false">
      <c r="A1" s="6" t="s">
        <v>84</v>
      </c>
    </row>
    <row r="2" customFormat="false" ht="15" hidden="false" customHeight="false" outlineLevel="0" collapsed="false">
      <c r="A2" s="2" t="s">
        <v>85</v>
      </c>
    </row>
    <row r="3" customFormat="false" ht="15" hidden="false" customHeight="false" outlineLevel="0" collapsed="false">
      <c r="A3" s="2" t="s">
        <v>86</v>
      </c>
    </row>
    <row r="5" customFormat="false" ht="15" hidden="false" customHeight="false" outlineLevel="0" collapsed="false">
      <c r="A5" s="21" t="s">
        <v>87</v>
      </c>
      <c r="B5" s="21" t="s">
        <v>88</v>
      </c>
      <c r="C5" s="21" t="s">
        <v>89</v>
      </c>
      <c r="D5" s="21" t="s">
        <v>90</v>
      </c>
      <c r="E5" s="21" t="s">
        <v>91</v>
      </c>
      <c r="F5" s="21" t="s">
        <v>92</v>
      </c>
      <c r="H5" s="21" t="s">
        <v>93</v>
      </c>
    </row>
    <row r="6" customFormat="false" ht="41.75" hidden="false" customHeight="false" outlineLevel="0" collapsed="false">
      <c r="A6" s="22" t="s">
        <v>94</v>
      </c>
      <c r="B6" s="5" t="s">
        <v>53</v>
      </c>
      <c r="C6" s="23" t="n">
        <v>1694</v>
      </c>
      <c r="D6" s="23" t="n">
        <f aca="false">Rota!$B$7</f>
        <v>1694.19642857143</v>
      </c>
      <c r="E6" s="23" t="n">
        <f aca="false">D6-C6</f>
        <v>0.196428571428669</v>
      </c>
      <c r="F6" s="22" t="str">
        <f aca="false">IF(ISNUMBER(D6)=FALSE(),"to check",IF(ABS(E6)&lt;=0.5,"reproduced",IF(ABS(E6)&lt;=0.5*3,"rounding","to check")))</f>
        <v>reproduced</v>
      </c>
      <c r="H6" s="5" t="s">
        <v>95</v>
      </c>
    </row>
    <row r="7" customFormat="false" ht="15" hidden="false" customHeight="false" outlineLevel="0" collapsed="false">
      <c r="A7" s="22" t="s">
        <v>94</v>
      </c>
      <c r="B7" s="5" t="s">
        <v>55</v>
      </c>
      <c r="C7" s="24" t="n">
        <v>0.155</v>
      </c>
      <c r="D7" s="24" t="n">
        <f aca="false">Rota!$B$9</f>
        <v>0.154940711462451</v>
      </c>
      <c r="E7" s="24" t="n">
        <f aca="false">D7-C7</f>
        <v>-5.92885375494123E-005</v>
      </c>
      <c r="F7" s="22" t="str">
        <f aca="false">IF(ISNUMBER(D7)=FALSE(),"to check",IF(ABS(E7)&lt;=0.0005,"reproduced",IF(ABS(E7)&lt;=0.0005*3,"rounding","to check")))</f>
        <v>reproduced</v>
      </c>
    </row>
    <row r="8" customFormat="false" ht="15" hidden="false" customHeight="false" outlineLevel="0" collapsed="false">
      <c r="A8" s="22" t="s">
        <v>94</v>
      </c>
      <c r="B8" s="5" t="s">
        <v>96</v>
      </c>
      <c r="C8" s="25" t="n">
        <v>61.5</v>
      </c>
      <c r="D8" s="25" t="n">
        <f aca="false">Rota!$B$8</f>
        <v>61.4839821361743</v>
      </c>
      <c r="E8" s="25" t="n">
        <f aca="false">D8-C8</f>
        <v>-0.0160178638257165</v>
      </c>
      <c r="F8" s="22" t="str">
        <f aca="false">IF(ISNUMBER(D8)=FALSE(),"to check",IF(ABS(E8)&lt;=0.05,"reproduced",IF(ABS(E8)&lt;=0.05*3,"rounding","to check")))</f>
        <v>reproduced</v>
      </c>
    </row>
    <row r="9" customFormat="false" ht="15" hidden="false" customHeight="false" outlineLevel="0" collapsed="false">
      <c r="A9" s="22" t="s">
        <v>94</v>
      </c>
      <c r="B9" s="5" t="s">
        <v>97</v>
      </c>
      <c r="C9" s="26" t="n">
        <v>1753692</v>
      </c>
      <c r="D9" s="26" t="n">
        <f aca="false">Rota!$B$10</f>
        <v>1753691.81338159</v>
      </c>
      <c r="E9" s="26" t="n">
        <f aca="false">D9-C9</f>
        <v>-0.186618413543329</v>
      </c>
      <c r="F9" s="22" t="str">
        <f aca="false">IF(ISNUMBER(D9)=FALSE(),"to check",IF(ABS(E9)&lt;=0.5,"reproduced",IF(ABS(E9)&lt;=0.5*3,"rounding","to check")))</f>
        <v>reproduced</v>
      </c>
    </row>
    <row r="10" customFormat="false" ht="15" hidden="false" customHeight="false" outlineLevel="0" collapsed="false">
      <c r="A10" s="22" t="s">
        <v>98</v>
      </c>
      <c r="B10" s="5" t="s">
        <v>60</v>
      </c>
      <c r="C10" s="25" t="n">
        <v>114.8</v>
      </c>
      <c r="D10" s="25" t="n">
        <f aca="false">Rota!$B$13</f>
        <v>114.763493213383</v>
      </c>
      <c r="E10" s="25" t="n">
        <f aca="false">D10-C10</f>
        <v>-0.0365067866170392</v>
      </c>
      <c r="F10" s="22" t="str">
        <f aca="false">IF(ISNUMBER(D10)=FALSE(),"to check",IF(ABS(E10)&lt;=0.05,"reproduced",IF(ABS(E10)&lt;=0.05*3,"rounding","to check")))</f>
        <v>reproduced</v>
      </c>
    </row>
    <row r="11" customFormat="false" ht="15" hidden="false" customHeight="false" outlineLevel="0" collapsed="false">
      <c r="A11" s="22" t="s">
        <v>98</v>
      </c>
      <c r="B11" s="5" t="s">
        <v>99</v>
      </c>
      <c r="C11" s="26" t="n">
        <v>294943</v>
      </c>
      <c r="D11" s="26" t="n">
        <f aca="false">Rota!$B$15+Rota!$B$18</f>
        <v>294942.977721913</v>
      </c>
      <c r="E11" s="26" t="n">
        <f aca="false">D11-C11</f>
        <v>-0.0222780872718431</v>
      </c>
      <c r="F11" s="22" t="str">
        <f aca="false">IF(ISNUMBER(D11)=FALSE(),"to check",IF(ABS(E11)&lt;=0.5,"reproduced",IF(ABS(E11)&lt;=0.5*3,"rounding","to check")))</f>
        <v>reproduced</v>
      </c>
    </row>
    <row r="12" customFormat="false" ht="15" hidden="false" customHeight="false" outlineLevel="0" collapsed="false">
      <c r="A12" s="22" t="s">
        <v>98</v>
      </c>
      <c r="B12" s="5" t="s">
        <v>100</v>
      </c>
      <c r="C12" s="26" t="n">
        <v>214541</v>
      </c>
      <c r="D12" s="26" t="n">
        <f aca="false">Rota!$C$26</f>
        <v>214541.301094005</v>
      </c>
      <c r="E12" s="26" t="n">
        <f aca="false">D12-C12</f>
        <v>0.301094004651532</v>
      </c>
      <c r="F12" s="22" t="str">
        <f aca="false">IF(ISNUMBER(D12)=FALSE(),"to check",IF(ABS(E12)&lt;=0.5,"reproduced",IF(ABS(E12)&lt;=0.5*3,"rounding","to check")))</f>
        <v>reproduced</v>
      </c>
    </row>
    <row r="13" customFormat="false" ht="15" hidden="false" customHeight="false" outlineLevel="0" collapsed="false">
      <c r="A13" s="22" t="s">
        <v>98</v>
      </c>
      <c r="B13" s="5" t="s">
        <v>101</v>
      </c>
      <c r="C13" s="26" t="n">
        <v>305443</v>
      </c>
      <c r="D13" s="26" t="n">
        <f aca="false">Rota!$B$16</f>
        <v>305442.977721913</v>
      </c>
      <c r="E13" s="26" t="n">
        <f aca="false">D13-C13</f>
        <v>-0.0222780872136354</v>
      </c>
      <c r="F13" s="22" t="str">
        <f aca="false">IF(ISNUMBER(D13)=FALSE(),"to check",IF(ABS(E13)&lt;=0.5,"reproduced",IF(ABS(E13)&lt;=0.5*3,"rounding","to check")))</f>
        <v>reproduced</v>
      </c>
    </row>
    <row r="14" customFormat="false" ht="15" hidden="false" customHeight="false" outlineLevel="0" collapsed="false">
      <c r="A14" s="22" t="s">
        <v>98</v>
      </c>
      <c r="B14" s="5" t="s">
        <v>102</v>
      </c>
      <c r="C14" s="26" t="n">
        <v>219541</v>
      </c>
      <c r="D14" s="26" t="n">
        <f aca="false">Rota!$C$16</f>
        <v>219541.301094005</v>
      </c>
      <c r="E14" s="26" t="n">
        <f aca="false">D14-C14</f>
        <v>0.301094004651532</v>
      </c>
      <c r="F14" s="22" t="str">
        <f aca="false">IF(ISNUMBER(D14)=FALSE(),"to check",IF(ABS(E14)&lt;=0.5,"reproduced",IF(ABS(E14)&lt;=0.5*3,"rounding","to check")))</f>
        <v>reproduced</v>
      </c>
    </row>
    <row r="15" customFormat="false" ht="15" hidden="false" customHeight="false" outlineLevel="0" collapsed="false">
      <c r="A15" s="22" t="s">
        <v>103</v>
      </c>
      <c r="B15" s="5" t="s">
        <v>104</v>
      </c>
      <c r="C15" s="26" t="n">
        <v>338156</v>
      </c>
      <c r="D15" s="26" t="n">
        <f aca="false">Rota!$B$17</f>
        <v>338155.797005349</v>
      </c>
      <c r="E15" s="26" t="n">
        <f aca="false">D15-C15</f>
        <v>-0.202994650928304</v>
      </c>
      <c r="F15" s="22" t="str">
        <f aca="false">IF(ISNUMBER(D15)=FALSE(),"to check",IF(ABS(E15)&lt;=0.5,"reproduced",IF(ABS(E15)&lt;=0.5*3,"rounding","to check")))</f>
        <v>reproduced</v>
      </c>
      <c r="H15" s="17" t="s">
        <v>105</v>
      </c>
    </row>
    <row r="16" customFormat="false" ht="15" hidden="false" customHeight="false" outlineLevel="0" collapsed="false">
      <c r="A16" s="22" t="s">
        <v>103</v>
      </c>
      <c r="B16" s="5" t="s">
        <v>106</v>
      </c>
      <c r="C16" s="26" t="n">
        <v>270269</v>
      </c>
      <c r="D16" s="26" t="n">
        <f aca="false">Rota!$C$17</f>
        <v>270268.822922474</v>
      </c>
      <c r="E16" s="26" t="n">
        <f aca="false">D16-C16</f>
        <v>-0.177077525877394</v>
      </c>
      <c r="F16" s="22" t="str">
        <f aca="false">IF(ISNUMBER(D16)=FALSE(),"to check",IF(ABS(E16)&lt;=0.5,"reproduced",IF(ABS(E16)&lt;=0.5*3,"rounding","to check")))</f>
        <v>reproduced</v>
      </c>
      <c r="H16" s="17" t="s">
        <v>107</v>
      </c>
    </row>
    <row r="17" customFormat="false" ht="15" hidden="false" customHeight="false" outlineLevel="0" collapsed="false">
      <c r="A17" s="22" t="s">
        <v>103</v>
      </c>
      <c r="B17" s="5" t="s">
        <v>108</v>
      </c>
      <c r="C17" s="26" t="n">
        <v>32713</v>
      </c>
      <c r="D17" s="26" t="n">
        <f aca="false">Rota!$B$24</f>
        <v>32712.8192834363</v>
      </c>
      <c r="E17" s="26" t="n">
        <f aca="false">D17-C17</f>
        <v>-0.180716563714668</v>
      </c>
      <c r="F17" s="22" t="str">
        <f aca="false">IF(ISNUMBER(D17)=FALSE(),"to check",IF(ABS(E17)&lt;=0.5,"reproduced",IF(ABS(E17)&lt;=0.5*3,"rounding","to check")))</f>
        <v>reproduced</v>
      </c>
      <c r="H17" s="17" t="s">
        <v>109</v>
      </c>
    </row>
    <row r="18" customFormat="false" ht="15" hidden="false" customHeight="false" outlineLevel="0" collapsed="false">
      <c r="A18" s="22" t="s">
        <v>103</v>
      </c>
      <c r="B18" s="5" t="s">
        <v>110</v>
      </c>
      <c r="C18" s="26" t="n">
        <v>50728</v>
      </c>
      <c r="D18" s="26" t="n">
        <f aca="false">Rota!$C$24</f>
        <v>50727.5218284695</v>
      </c>
      <c r="E18" s="26" t="n">
        <f aca="false">D18-C18</f>
        <v>-0.478171530528925</v>
      </c>
      <c r="F18" s="22" t="str">
        <f aca="false">IF(ISNUMBER(D18)=FALSE(),"to check",IF(ABS(E18)&lt;=0.5,"reproduced",IF(ABS(E18)&lt;=0.5*3,"rounding","to check")))</f>
        <v>reproduced</v>
      </c>
      <c r="H18" s="17" t="s">
        <v>111</v>
      </c>
    </row>
    <row r="19" customFormat="false" ht="15" hidden="false" customHeight="false" outlineLevel="0" collapsed="false">
      <c r="A19" s="22" t="s">
        <v>103</v>
      </c>
      <c r="B19" s="5" t="s">
        <v>112</v>
      </c>
      <c r="C19" s="26" t="n">
        <v>18015</v>
      </c>
      <c r="D19" s="26" t="n">
        <f aca="false">Rota!$B$25</f>
        <v>18014.7025450332</v>
      </c>
      <c r="E19" s="26" t="n">
        <f aca="false">D19-C19</f>
        <v>-0.297454966814257</v>
      </c>
      <c r="F19" s="22" t="str">
        <f aca="false">IF(ISNUMBER(D19)=FALSE(),"to check",IF(ABS(E19)&lt;=0.5,"reproduced",IF(ABS(E19)&lt;=0.5*3,"rounding","to check")))</f>
        <v>reproduced</v>
      </c>
      <c r="H19" s="17" t="s">
        <v>113</v>
      </c>
    </row>
    <row r="20" customFormat="false" ht="15" hidden="false" customHeight="false" outlineLevel="0" collapsed="false">
      <c r="A20" s="22" t="s">
        <v>98</v>
      </c>
      <c r="B20" s="5" t="s">
        <v>114</v>
      </c>
      <c r="C20" s="26" t="n">
        <v>80402</v>
      </c>
      <c r="D20" s="26" t="n">
        <f aca="false">Rota!$B$27</f>
        <v>80401.6766279081</v>
      </c>
      <c r="E20" s="26" t="n">
        <f aca="false">D20-C20</f>
        <v>-0.323372091865167</v>
      </c>
      <c r="F20" s="22" t="str">
        <f aca="false">IF(ISNUMBER(D20)=FALSE(),"to check",IF(ABS(E20)&lt;=0.5,"reproduced",IF(ABS(E20)&lt;=0.5*3,"rounding","to check")))</f>
        <v>reproduced</v>
      </c>
    </row>
    <row r="21" customFormat="false" ht="15" hidden="false" customHeight="false" outlineLevel="0" collapsed="false">
      <c r="A21" s="22" t="s">
        <v>103</v>
      </c>
      <c r="B21" s="5" t="s">
        <v>115</v>
      </c>
      <c r="C21" s="27" t="n">
        <v>0.22</v>
      </c>
      <c r="D21" s="27" t="n">
        <f aca="false">Rota!$B$28</f>
        <v>0.224058792062305</v>
      </c>
      <c r="E21" s="27" t="n">
        <f aca="false">D21-C21</f>
        <v>0.00405879206230536</v>
      </c>
      <c r="F21" s="22" t="str">
        <f aca="false">IF(ISNUMBER(D21)=FALSE(),"to check",IF(ABS(E21)&lt;=0.005,"reproduced",IF(ABS(E21)&lt;=0.005*3,"rounding","to check")))</f>
        <v>reproduced</v>
      </c>
      <c r="H21" s="17" t="s">
        <v>116</v>
      </c>
    </row>
    <row r="22" customFormat="false" ht="15" hidden="false" customHeight="false" outlineLevel="0" collapsed="false">
      <c r="A22" s="22" t="s">
        <v>117</v>
      </c>
      <c r="B22" s="5" t="s">
        <v>71</v>
      </c>
      <c r="C22" s="26" t="n">
        <v>76548</v>
      </c>
      <c r="D22" s="26" t="n">
        <f aca="false">Rota!$B$19</f>
        <v>76548.4164793107</v>
      </c>
      <c r="E22" s="26" t="n">
        <f aca="false">D22-C22</f>
        <v>0.416479310661089</v>
      </c>
      <c r="F22" s="22" t="str">
        <f aca="false">IF(ISNUMBER(D22)=FALSE(),"to check",IF(ABS(E22)&lt;=0.5,"reproduced",IF(ABS(E22)&lt;=0.5*3,"rounding","to check")))</f>
        <v>reproduced</v>
      </c>
    </row>
    <row r="23" customFormat="false" ht="15" hidden="false" customHeight="false" outlineLevel="0" collapsed="false">
      <c r="A23" s="22" t="s">
        <v>118</v>
      </c>
      <c r="B23" s="5" t="s">
        <v>73</v>
      </c>
      <c r="C23" s="26" t="n">
        <v>2753034</v>
      </c>
      <c r="D23" s="26" t="n">
        <f aca="false">Rota!$B$21</f>
        <v>2753034.19473073</v>
      </c>
      <c r="E23" s="26" t="n">
        <f aca="false">D23-C23</f>
        <v>0.194730730727315</v>
      </c>
      <c r="F23" s="22" t="str">
        <f aca="false">IF(ISNUMBER(D23)=FALSE(),"to check",IF(ABS(E23)&lt;=0.5,"reproduced",IF(ABS(E23)&lt;=0.5*3,"rounding","to check")))</f>
        <v>reproduced</v>
      </c>
    </row>
    <row r="24" customFormat="false" ht="28.35" hidden="false" customHeight="false" outlineLevel="0" collapsed="false">
      <c r="A24" s="22" t="s">
        <v>119</v>
      </c>
      <c r="B24" s="5" t="s">
        <v>120</v>
      </c>
      <c r="C24" s="28" t="n">
        <v>0</v>
      </c>
      <c r="D24" s="28" t="n">
        <f aca="false">Rota!$B$26-(Rota!$B$15+Rota!$B$18)</f>
        <v>0</v>
      </c>
      <c r="E24" s="28" t="n">
        <f aca="false">D24-C24</f>
        <v>0</v>
      </c>
      <c r="F24" s="22" t="str">
        <f aca="false">IF(ISNUMBER(D24)=FALSE(),"to check",IF(ABS(E24)&lt;=0.000001,"reproduced",IF(ABS(E24)&lt;=0.000001*3,"rounding","to check")))</f>
        <v>reproduced</v>
      </c>
    </row>
    <row r="26" customFormat="false" ht="15" hidden="false" customHeight="false" outlineLevel="0" collapsed="false">
      <c r="A26" s="21" t="s">
        <v>121</v>
      </c>
      <c r="C26" s="21" t="n">
        <f aca="false">COUNTIF(F6:F24,"reproduced")</f>
        <v>19</v>
      </c>
    </row>
    <row r="27" customFormat="false" ht="15" hidden="false" customHeight="false" outlineLevel="0" collapsed="false">
      <c r="A27" s="21" t="s">
        <v>122</v>
      </c>
      <c r="C27" s="21" t="n">
        <f aca="false">COUNTIF(F6:F24,"rounding")</f>
        <v>0</v>
      </c>
    </row>
    <row r="28" customFormat="false" ht="15" hidden="false" customHeight="false" outlineLevel="0" collapsed="false">
      <c r="A28" s="21" t="s">
        <v>123</v>
      </c>
      <c r="C28" s="21" t="n">
        <f aca="false">COUNTIF(F6:F24,"to check")</f>
        <v>0</v>
      </c>
    </row>
    <row r="29" customFormat="false" ht="15" hidden="false" customHeight="false" outlineLevel="0" collapsed="false">
      <c r="A29" s="21" t="s">
        <v>124</v>
      </c>
      <c r="C29" s="21" t="str">
        <f aca="false">IF(C26=19,"ALL OK",C26&amp;" / 19 reproduced")</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2026-08-26T19:32:58Z</dcterms:created>
  <dc:creator>openpyxl</dc:creator>
  <dc:description/>
  <dc:language>en-US</dc:language>
  <cp:lastModifiedBy/>
  <dcterms:modified xsi:type="dcterms:W3CDTF">2026-09-23T23:45:29Z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