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ange" sheetId="1" state="visible" r:id="rId3"/>
    <sheet name="Inputs" sheetId="2" state="visible" r:id="rId4"/>
    <sheet name="Thickness" sheetId="3" state="visible" r:id="rId5"/>
    <sheet name="Where it closes" sheetId="4" state="visible" r:id="rId6"/>
    <sheet name="Contro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<sst xmlns="http://schemas.openxmlformats.org/spreadsheetml/2006/main" count="278" uniqueCount="210">
  <si>
    <t xml:space="preserve">Northwall 2026-1 — the bargaining range</t>
  </si>
  <si>
    <t xml:space="preserve">The bank's ceiling and the investor's floor on one sheet, every figure a live formula of the Inputs sheet.</t>
  </si>
  <si>
    <t xml:space="preserve">Margin</t>
  </si>
  <si>
    <t xml:space="preserve">What it represents</t>
  </si>
  <si>
    <t xml:space="preserve">Bank's return-neutral ceiling</t>
  </si>
  <si>
    <t xml:space="preserve">Above this the reported return on equity falls</t>
  </si>
  <si>
    <t xml:space="preserve">Bank's value-creation ceiling</t>
  </si>
  <si>
    <t xml:space="preserve">Above this the trade costs more than the capital it frees</t>
  </si>
  <si>
    <t xml:space="preserve">Agreed margin</t>
  </si>
  <si>
    <t xml:space="preserve">Where the transaction cleared</t>
  </si>
  <si>
    <t xml:space="preserve">Investor's floor</t>
  </si>
  <si>
    <t xml:space="preserve">Below this the fund misses its hurdle</t>
  </si>
  <si>
    <t xml:space="preserve">Width of the range</t>
  </si>
  <si>
    <t xml:space="preserve">The range against the fund's hurdle</t>
  </si>
  <si>
    <t xml:space="preserve">Fund's unlevered hurdle</t>
  </si>
  <si>
    <t xml:space="preserve">Width</t>
  </si>
  <si>
    <t xml:space="preserve">Deal exists?</t>
  </si>
  <si>
    <t xml:space="preserve">Does the agreed margin still clear?</t>
  </si>
  <si>
    <t xml:space="preserve">Hurdle at which the range closes</t>
  </si>
  <si>
    <t xml:space="preserve">What the levers are worth, in return on equity</t>
  </si>
  <si>
    <t xml:space="preserve">Lever</t>
  </si>
  <si>
    <t xml:space="preserve">Worth</t>
  </si>
  <si>
    <t xml:space="preserve">Who decides it</t>
  </si>
  <si>
    <t xml:space="preserve">Winning the entire bargaining range</t>
  </si>
  <si>
    <t xml:space="preserve">The other side</t>
  </si>
  <si>
    <t xml:space="preserve">The STS label, from the executed structure priced at the investor's floor</t>
  </si>
  <si>
    <t xml:space="preserve">A list of conditions</t>
  </si>
  <si>
    <t xml:space="preserve">Getting the thickness right</t>
  </si>
  <si>
    <t xml:space="preserve">The structurer</t>
  </si>
  <si>
    <t xml:space="preserve">Both together  (they interact)</t>
  </si>
  <si>
    <t xml:space="preserve">Naive sum of the two</t>
  </si>
  <si>
    <t xml:space="preserve">rows 23 and 24 added: the interaction is row 25 less this</t>
  </si>
  <si>
    <t xml:space="preserve">The STS label at the agreed margin  (Chapters 10 and 18)</t>
  </si>
  <si>
    <t xml:space="preserve">Interaction between label and thickness</t>
  </si>
  <si>
    <t xml:space="preserve">the halved p moves where the floor bites</t>
  </si>
  <si>
    <t xml:space="preserve">Winning fifty basis points on the margin</t>
  </si>
  <si>
    <t xml:space="preserve">The other side, across a table</t>
  </si>
  <si>
    <t xml:space="preserve">The structure the bank did not do  (Chapter 23)</t>
  </si>
  <si>
    <t xml:space="preserve">Return-maximising detachment, priced at the investor's floor</t>
  </si>
  <si>
    <t xml:space="preserve">  the margin the investor requires there</t>
  </si>
  <si>
    <t xml:space="preserve">  capital released</t>
  </si>
  <si>
    <t xml:space="preserve">  return on equity</t>
  </si>
  <si>
    <t xml:space="preserve">  tranche size</t>
  </si>
  <si>
    <t xml:space="preserve">  the bank's value-creation ceiling there</t>
  </si>
  <si>
    <t xml:space="preserve">Return-maximising detachment under STS</t>
  </si>
  <si>
    <t xml:space="preserve">Executed structure, priced at the investor's floor: return on equity</t>
  </si>
  <si>
    <t xml:space="preserve">Executed structure at the agreed margin: return on equity</t>
  </si>
  <si>
    <t xml:space="preserve">  the price effect</t>
  </si>
  <si>
    <t xml:space="preserve">The grid steps by a quarter of a point, as the book's does. The exact optimum is the detachment at which the senior reaches its floor, 9.74 percent (Tranche_Capital, Thresholds sheet); the return differs in the second decimal.</t>
  </si>
  <si>
    <t xml:space="preserve">Revised 24 September 2026: the first edition typed every figure on this sheet in. They are now computed, and the hurdle table carries the book's own question, in column E.</t>
  </si>
  <si>
    <t xml:space="preserve">Northwall 2026-1 — what both thresholds are computed from</t>
  </si>
  <si>
    <t xml:space="preserve">Everything on the Range sheet is now a live formula of these inputs. The first edition typed the answers in.</t>
  </si>
  <si>
    <t xml:space="preserve">The bank and the structure</t>
  </si>
  <si>
    <t xml:space="preserve">Portfolio exposure</t>
  </si>
  <si>
    <t xml:space="preserve">RWA before</t>
  </si>
  <si>
    <t xml:space="preserve">Expected loss, one year</t>
  </si>
  <si>
    <t xml:space="preserve">CET1 target</t>
  </si>
  <si>
    <t xml:space="preserve">Cost of equity</t>
  </si>
  <si>
    <t xml:space="preserve">Portfolio net margin</t>
  </si>
  <si>
    <t xml:space="preserve">Operating costs</t>
  </si>
  <si>
    <t xml:space="preserve">Tax rate</t>
  </si>
  <si>
    <t xml:space="preserve">KIRB</t>
  </si>
  <si>
    <t xml:space="preserve">Effective number of exposures</t>
  </si>
  <si>
    <t xml:space="preserve">Weighted average LGD</t>
  </si>
  <si>
    <t xml:space="preserve">Tranche maturity for the p-factor, years</t>
  </si>
  <si>
    <t xml:space="preserve">Detachment point</t>
  </si>
  <si>
    <t xml:space="preserve">Share of the junior retained, deducted</t>
  </si>
  <si>
    <t xml:space="preserve">Reference rate</t>
  </si>
  <si>
    <t xml:space="preserve">The investor</t>
  </si>
  <si>
    <t xml:space="preserve">Best-estimate loss rate, a year</t>
  </si>
  <si>
    <t xml:space="preserve">Replenishment period, years</t>
  </si>
  <si>
    <t xml:space="preserve">Portfolio amortisation after it, a year</t>
  </si>
  <si>
    <t xml:space="preserve">Derived</t>
  </si>
  <si>
    <t xml:space="preserve">Senior p</t>
  </si>
  <si>
    <t xml:space="preserve">Senior p under STS</t>
  </si>
  <si>
    <t xml:space="preserve">Capital before</t>
  </si>
  <si>
    <t xml:space="preserve">Profit before protection, pre-tax</t>
  </si>
  <si>
    <t xml:space="preserve">Return on equity before</t>
  </si>
  <si>
    <t xml:space="preserve">Year</t>
  </si>
  <si>
    <t xml:space="preserve">Pool, share of closing</t>
  </si>
  <si>
    <t xml:space="preserve">Losses charged to the sold share, before any cap</t>
  </si>
  <si>
    <t xml:space="preserve">Opening balance</t>
  </si>
  <si>
    <t xml:space="preserve">Written down</t>
  </si>
  <si>
    <t xml:space="preserve">Principal repaid</t>
  </si>
  <si>
    <t xml:space="preserve">Closing balance</t>
  </si>
  <si>
    <t xml:space="preserve">Sold notional</t>
  </si>
  <si>
    <t xml:space="preserve">Senior risk weight</t>
  </si>
  <si>
    <t xml:space="preserve">Senior risk weight under STS</t>
  </si>
  <si>
    <t xml:space="preserve">Capital after</t>
  </si>
  <si>
    <t xml:space="preserve">Capital after, STS</t>
  </si>
  <si>
    <t xml:space="preserve">Capital released</t>
  </si>
  <si>
    <t xml:space="preserve">Capital released, STS</t>
  </si>
  <si>
    <t xml:space="preserve">Every thickness, priced at the margin the investor requires for it  (Chapter 23)</t>
  </si>
  <si>
    <t xml:space="preserve">For each detachment: the senior weight, the capital released, the fund's five-year schedule on its best estimate, its floor margin in closed form, and the bank's return on equity at that margin.</t>
  </si>
  <si>
    <t xml:space="preserve">Detachment</t>
  </si>
  <si>
    <t xml:space="preserve">Position</t>
  </si>
  <si>
    <t xml:space="preserve">Tranche</t>
  </si>
  <si>
    <t xml:space="preserve">Sold</t>
  </si>
  <si>
    <t xml:space="preserve">Senior weight</t>
  </si>
  <si>
    <t xml:space="preserve">Senior weight, STS</t>
  </si>
  <si>
    <t xml:space="preserve">Released, STS</t>
  </si>
  <si>
    <t xml:space="preserve">Balance 1</t>
  </si>
  <si>
    <t xml:space="preserve">Balance 2</t>
  </si>
  <si>
    <t xml:space="preserve">Balance 3</t>
  </si>
  <si>
    <t xml:space="preserve">Balance 4</t>
  </si>
  <si>
    <t xml:space="preserve">Balance 5</t>
  </si>
  <si>
    <t xml:space="preserve">Loss 1</t>
  </si>
  <si>
    <t xml:space="preserve">Loss 2</t>
  </si>
  <si>
    <t xml:space="preserve">Loss 3</t>
  </si>
  <si>
    <t xml:space="preserve">Loss 4</t>
  </si>
  <si>
    <t xml:space="preserve">Loss 5</t>
  </si>
  <si>
    <t xml:space="preserve">Principal 1</t>
  </si>
  <si>
    <t xml:space="preserve">Principal 2</t>
  </si>
  <si>
    <t xml:space="preserve">Principal 3</t>
  </si>
  <si>
    <t xml:space="preserve">Principal 4</t>
  </si>
  <si>
    <t xml:space="preserve">Principal 5</t>
  </si>
  <si>
    <t xml:space="preserve">PV balances</t>
  </si>
  <si>
    <t xml:space="preserve">PV principal</t>
  </si>
  <si>
    <t xml:space="preserve">Floor margin</t>
  </si>
  <si>
    <t xml:space="preserve">Cost at the floor</t>
  </si>
  <si>
    <t xml:space="preserve">Return on equity</t>
  </si>
  <si>
    <t xml:space="preserve">Return on equity, STS</t>
  </si>
  <si>
    <t xml:space="preserve">Cost per euro</t>
  </si>
  <si>
    <t xml:space="preserve">Value-creation ceiling</t>
  </si>
  <si>
    <t xml:space="preserve">The hurdle at which the bargaining range closes</t>
  </si>
  <si>
    <t xml:space="preserve">Forty halvings between the fund's hurdle and 30 percent: the floor rises with the hurdle until it meets the bank's ceiling.</t>
  </si>
  <si>
    <t xml:space="preserve">Step</t>
  </si>
  <si>
    <t xml:space="preserve">Low</t>
  </si>
  <si>
    <t xml:space="preserve">High</t>
  </si>
  <si>
    <t xml:space="preserve">Middle</t>
  </si>
  <si>
    <t xml:space="preserve">Floor at the middle</t>
  </si>
  <si>
    <t xml:space="preserve">Controls</t>
  </si>
  <si>
    <t xml:space="preserve">Each row reproduces a figure printed in the book, or tests something that must hold.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</si>
  <si>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</si>
  <si>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</si>
  <si>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</si>
  <si>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</si>
  <si>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</si>
  <si>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</si>
  <si>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Chapter 18: +5.30 points</t>
  </si>
  <si>
    <t xml:space="preserve">Chapter 18: +4.41 points</t>
  </si>
  <si>
    <t xml:space="preserve">Return-neutral ceiling</t>
  </si>
  <si>
    <t xml:space="preserve">first edition, typed in; now computed</t>
  </si>
  <si>
    <t xml:space="preserve">Floor at a 6.00% hurdle</t>
  </si>
  <si>
    <t xml:space="preserve">Chapter 18</t>
  </si>
  <si>
    <t xml:space="preserve">Floor at a 7.50% hurdle</t>
  </si>
  <si>
    <t xml:space="preserve">Floor at a 9.00% hurdle</t>
  </si>
  <si>
    <t xml:space="preserve">Floor at a 10.00% hurdle</t>
  </si>
  <si>
    <t xml:space="preserve">Floor at a 11.50% hurdle</t>
  </si>
  <si>
    <t xml:space="preserve">Floor at a 13.00% hurdle</t>
  </si>
  <si>
    <t xml:space="preserve">Winning the entire range</t>
  </si>
  <si>
    <t xml:space="preserve">The STS label, common baseline</t>
  </si>
  <si>
    <t xml:space="preserve">Both together</t>
  </si>
  <si>
    <t xml:space="preserve">Naive sum</t>
  </si>
  <si>
    <t xml:space="preserve">The STS label at the agreed margin</t>
  </si>
  <si>
    <t xml:space="preserve">Chapters 10 and 18</t>
  </si>
  <si>
    <t xml:space="preserve">Winning fifty basis points</t>
  </si>
  <si>
    <t xml:space="preserve">The agreed margin clears at hurdles up to 10 percent and not at 11.5 or 13</t>
  </si>
  <si>
    <t xml:space="preserve">—</t>
  </si>
  <si>
    <t xml:space="preserve">Chapter 18, last column</t>
  </si>
  <si>
    <t xml:space="preserve">No range at a 13 percent hurdle</t>
  </si>
  <si>
    <t xml:space="preserve">Chapter 18: "none"</t>
  </si>
  <si>
    <t xml:space="preserve">The range closes at a hurdle of</t>
  </si>
  <si>
    <t xml:space="preserve">Chapter 18: "about 12.8 percent"</t>
  </si>
  <si>
    <t xml:space="preserve">Optimal detachment</t>
  </si>
  <si>
    <t xml:space="preserve">Chapter 23</t>
  </si>
  <si>
    <t xml:space="preserve">  its margin</t>
  </si>
  <si>
    <t xml:space="preserve">  its capital released</t>
  </si>
  <si>
    <t xml:space="preserve">  its return on equity</t>
  </si>
  <si>
    <t xml:space="preserve">  its tranche</t>
  </si>
  <si>
    <t xml:space="preserve">  the bank's ceiling there</t>
  </si>
  <si>
    <t xml:space="preserve">Optimal detachment under STS</t>
  </si>
  <si>
    <t xml:space="preserve">Executed, priced at the floor</t>
  </si>
  <si>
    <t xml:space="preserve">Executed, at the agreed margin</t>
  </si>
  <si>
    <t xml:space="preserve">Chapter 14</t>
  </si>
  <si>
    <t xml:space="preserve">The price effect</t>
  </si>
  <si>
    <t xml:space="preserve">Detachment 3.00%: margin required</t>
  </si>
  <si>
    <t xml:space="preserve">Detachment 3.00%: return on equity</t>
  </si>
  <si>
    <t xml:space="preserve">Detachment 4.00%: margin required</t>
  </si>
  <si>
    <t xml:space="preserve">Detachment 4.00%: return on equity</t>
  </si>
  <si>
    <t xml:space="preserve">Detachment 4.00%: cost per euro</t>
  </si>
  <si>
    <t xml:space="preserve">Detachment 5.00%: margin required</t>
  </si>
  <si>
    <t xml:space="preserve">Detachment 5.00%: return on equity</t>
  </si>
  <si>
    <t xml:space="preserve">Detachment 5.00%: cost per euro</t>
  </si>
  <si>
    <t xml:space="preserve">Detachment 6.00%: margin required</t>
  </si>
  <si>
    <t xml:space="preserve">Detachment 6.00%: return on equity</t>
  </si>
  <si>
    <t xml:space="preserve">Detachment 6.00%: cost per euro</t>
  </si>
  <si>
    <t xml:space="preserve">Detachment 7.00%: margin required</t>
  </si>
  <si>
    <t xml:space="preserve">Detachment 7.00%: return on equity</t>
  </si>
  <si>
    <t xml:space="preserve">Detachment 7.00%: cost per euro</t>
  </si>
  <si>
    <t xml:space="preserve">Detachment 8.00%: margin required</t>
  </si>
  <si>
    <t xml:space="preserve">Detachment 8.00%: return on equity</t>
  </si>
  <si>
    <t xml:space="preserve">Detachment 8.00%: cost per euro</t>
  </si>
  <si>
    <t xml:space="preserve">Detachment 9.00%: margin required</t>
  </si>
  <si>
    <t xml:space="preserve">Detachment 9.00%: return on equity</t>
  </si>
  <si>
    <t xml:space="preserve">Detachment 9.00%: cost per euro</t>
  </si>
  <si>
    <t xml:space="preserve">Detachment 10.00%: margin required</t>
  </si>
  <si>
    <t xml:space="preserve">Detachment 10.00%: return on equity</t>
  </si>
  <si>
    <t xml:space="preserve">Detachment 10.00%: cost per euro</t>
  </si>
  <si>
    <t xml:space="preserve">Detachment 11.00%: margin required</t>
  </si>
  <si>
    <t xml:space="preserve">Detachment 11.00%: return on equity</t>
  </si>
  <si>
    <t xml:space="preserve">Detachment 11.00%: cost per euro</t>
  </si>
  <si>
    <t xml:space="preserve">Detachment 12.50%: margin required</t>
  </si>
  <si>
    <t xml:space="preserve">Detachment 12.50%: return on equity</t>
  </si>
  <si>
    <t xml:space="preserve">Detachment 12.50%: cost per euro</t>
  </si>
  <si>
    <t xml:space="preserve">At the floor, the fund earns its hurdle exactly</t>
  </si>
  <si>
    <t xml:space="preserve">Thickness row at 7.00 percent reproduces the executed structure</t>
  </si>
  <si>
    <t xml:space="preserve">Every detachment above KIRB releases capital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</si>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</sst>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%"/>
    <numFmt numFmtId="166" formatCode="#,##0"/>
    <numFmt numFmtId="167" formatCode="0.0000%"/>
    <numFmt numFmtId="168" formatCode="0.00"/>
    <numFmt numFmtId="169" formatCode="0.0"/>
    <numFmt numFmtId="170" formatCode="0.000000%"/>
    <numFmt numFmtId="171" formatCode="0"/>
    <numFmt numFmtId="172" formatCode="0.0000"/>
    <numFmt numFmtId="173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2CC"/>
      </patternFill>
    </fill>
    <fill>
      <patternFill patternType="solid">
        <fgColor rgb="FFFFF2CC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50"/>
    <col collapsed="false" customWidth="true" hidden="false" outlineLevel="0" max="4" min="4" style="0" width="14"/>
    <col collapsed="false" customWidth="true" hidden="false" outlineLevel="0" max="5" min="5" style="0" width="2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3" t="s">
        <v>2</v>
      </c>
      <c r="C4" s="3" t="s">
        <v>3</v>
      </c>
    </row>
    <row r="5" customFormat="false" ht="15" hidden="false" customHeight="false" outlineLevel="0" collapsed="false">
      <c r="A5" s="4" t="s">
        <v>4</v>
      </c>
      <c r="B5" s="5" t="n">
        <f aca="false">(Inputs!$B$31-Inputs!B32*Inputs!$B$51/(1-Inputs!$B$12))/Inputs!$B$48</f>
        <v>0.145854024123375</v>
      </c>
      <c r="C5" s="4" t="s">
        <v>5</v>
      </c>
    </row>
    <row r="6" customFormat="false" ht="15" hidden="false" customHeight="false" outlineLevel="0" collapsed="false">
      <c r="A6" s="4" t="s">
        <v>6</v>
      </c>
      <c r="B6" s="5" t="n">
        <f aca="false">Inputs!B9*Inputs!B53/(1-Inputs!$B$12)/Inputs!$B$48</f>
        <v>0.129093402950876</v>
      </c>
      <c r="C6" s="4" t="s">
        <v>7</v>
      </c>
    </row>
    <row r="7" customFormat="false" ht="15" hidden="false" customHeight="false" outlineLevel="0" collapsed="false">
      <c r="A7" s="4" t="s">
        <v>8</v>
      </c>
      <c r="B7" s="5" t="n">
        <f aca="false">Inputs!B19</f>
        <v>0.105</v>
      </c>
      <c r="C7" s="4" t="s">
        <v>9</v>
      </c>
    </row>
    <row r="8" customFormat="false" ht="15" hidden="false" customHeight="false" outlineLevel="0" collapsed="false">
      <c r="A8" s="4" t="s">
        <v>10</v>
      </c>
      <c r="B8" s="5" t="n">
        <f aca="false">(Inputs!$B$48-SUMPRODUCT(Inputs!$D$42:$D$46,1/(1+Inputs!$B$25)^Inputs!$A$42:$A$46))/SUMPRODUCT(Inputs!$B$42:$B$46,1/(1+Inputs!$B$25)^Inputs!$A$42:$A$46)-Inputs!$B$20</f>
        <v>0.0760979144777193</v>
      </c>
      <c r="C8" s="4" t="s">
        <v>11</v>
      </c>
    </row>
    <row r="9" customFormat="false" ht="15" hidden="false" customHeight="false" outlineLevel="0" collapsed="false">
      <c r="A9" s="4" t="s">
        <v>12</v>
      </c>
      <c r="B9" s="6" t="n">
        <f aca="false">B6-B8</f>
        <v>0.0529954884731567</v>
      </c>
    </row>
    <row r="11" customFormat="false" ht="15" hidden="false" customHeight="false" outlineLevel="0" collapsed="false">
      <c r="A11" s="7" t="s">
        <v>13</v>
      </c>
    </row>
    <row r="12" customFormat="false" ht="23.85" hidden="false" customHeight="false" outlineLevel="0" collapsed="false">
      <c r="A12" s="3" t="s">
        <v>14</v>
      </c>
      <c r="B12" s="3" t="s">
        <v>10</v>
      </c>
      <c r="C12" s="3" t="s">
        <v>15</v>
      </c>
      <c r="D12" s="3" t="s">
        <v>16</v>
      </c>
      <c r="E12" s="3" t="s">
        <v>17</v>
      </c>
    </row>
    <row r="13" customFormat="false" ht="15" hidden="false" customHeight="false" outlineLevel="0" collapsed="false">
      <c r="A13" s="8" t="n">
        <v>0.06</v>
      </c>
      <c r="B13" s="5" t="n">
        <f aca="false">(Inputs!$B$48-SUMPRODUCT(Inputs!$D$42:$D$46,1/(1+A13)^Inputs!$A$42:$A$46))/SUMPRODUCT(Inputs!$B$42:$B$46,1/(1+A13)^Inputs!$A$42:$A$46)-Inputs!$B$20</f>
        <v>0.0610980224403518</v>
      </c>
      <c r="C13" s="5" t="n">
        <f aca="false">$B$6-B13</f>
        <v>0.0679953805105242</v>
      </c>
      <c r="D13" s="4" t="str">
        <f aca="false">IF(C13&gt;0,"yes","no")</f>
        <v>yes</v>
      </c>
      <c r="E13" s="4" t="str">
        <f aca="false">IF($B$7&gt;=B13,"yes","no")</f>
        <v>yes</v>
      </c>
    </row>
    <row r="14" customFormat="false" ht="15" hidden="false" customHeight="false" outlineLevel="0" collapsed="false">
      <c r="A14" s="8" t="n">
        <v>0.075</v>
      </c>
      <c r="B14" s="5" t="n">
        <f aca="false">(Inputs!$B$48-SUMPRODUCT(Inputs!$D$42:$D$46,1/(1+A14)^Inputs!$A$42:$A$46))/SUMPRODUCT(Inputs!$B$42:$B$46,1/(1+A14)^Inputs!$A$42:$A$46)-Inputs!$B$20</f>
        <v>0.0760979144777193</v>
      </c>
      <c r="C14" s="5" t="n">
        <f aca="false">$B$6-B14</f>
        <v>0.0529954884731567</v>
      </c>
      <c r="D14" s="4" t="str">
        <f aca="false">IF(C14&gt;0,"yes","no")</f>
        <v>yes</v>
      </c>
      <c r="E14" s="4" t="str">
        <f aca="false">IF($B$7&gt;=B14,"yes","no")</f>
        <v>yes</v>
      </c>
    </row>
    <row r="15" customFormat="false" ht="15" hidden="false" customHeight="false" outlineLevel="0" collapsed="false">
      <c r="A15" s="8" t="n">
        <v>0.09</v>
      </c>
      <c r="B15" s="5" t="n">
        <f aca="false">(Inputs!$B$48-SUMPRODUCT(Inputs!$D$42:$D$46,1/(1+A15)^Inputs!$A$42:$A$46))/SUMPRODUCT(Inputs!$B$42:$B$46,1/(1+A15)^Inputs!$A$42:$A$46)-Inputs!$B$20</f>
        <v>0.0910978750845532</v>
      </c>
      <c r="C15" s="5" t="n">
        <f aca="false">$B$6-B15</f>
        <v>0.0379955278663228</v>
      </c>
      <c r="D15" s="4" t="str">
        <f aca="false">IF(C15&gt;0,"yes","no")</f>
        <v>yes</v>
      </c>
      <c r="E15" s="4" t="str">
        <f aca="false">IF($B$7&gt;=B15,"yes","no")</f>
        <v>yes</v>
      </c>
    </row>
    <row r="16" customFormat="false" ht="15" hidden="false" customHeight="false" outlineLevel="0" collapsed="false">
      <c r="A16" s="8" t="n">
        <v>0.1</v>
      </c>
      <c r="B16" s="5" t="n">
        <f aca="false">(Inputs!$B$48-SUMPRODUCT(Inputs!$D$42:$D$46,1/(1+A16)^Inputs!$A$42:$A$46))/SUMPRODUCT(Inputs!$B$42:$B$46,1/(1+A16)^Inputs!$A$42:$A$46)-Inputs!$B$20</f>
        <v>0.101097884489869</v>
      </c>
      <c r="C16" s="5" t="n">
        <f aca="false">$B$6-B16</f>
        <v>0.0279955184610073</v>
      </c>
      <c r="D16" s="4" t="str">
        <f aca="false">IF(C16&gt;0,"yes","no")</f>
        <v>yes</v>
      </c>
      <c r="E16" s="4" t="str">
        <f aca="false">IF($B$7&gt;=B16,"yes","no")</f>
        <v>yes</v>
      </c>
    </row>
    <row r="17" customFormat="false" ht="15" hidden="false" customHeight="false" outlineLevel="0" collapsed="false">
      <c r="A17" s="8" t="n">
        <v>0.115</v>
      </c>
      <c r="B17" s="5" t="n">
        <f aca="false">(Inputs!$B$48-SUMPRODUCT(Inputs!$D$42:$D$46,1/(1+A17)^Inputs!$A$42:$A$46))/SUMPRODUCT(Inputs!$B$42:$B$46,1/(1+A17)^Inputs!$A$42:$A$46)-Inputs!$B$20</f>
        <v>0.116097948620686</v>
      </c>
      <c r="C17" s="5" t="n">
        <f aca="false">$B$6-B17</f>
        <v>0.0129954543301896</v>
      </c>
      <c r="D17" s="4" t="str">
        <f aca="false">IF(C17&gt;0,"yes","no")</f>
        <v>yes</v>
      </c>
      <c r="E17" s="4" t="str">
        <f aca="false">IF($B$7&gt;=B17,"yes","no")</f>
        <v>no</v>
      </c>
    </row>
    <row r="18" customFormat="false" ht="15" hidden="false" customHeight="false" outlineLevel="0" collapsed="false">
      <c r="A18" s="8" t="n">
        <v>0.13</v>
      </c>
      <c r="B18" s="5" t="n">
        <f aca="false">(Inputs!$B$48-SUMPRODUCT(Inputs!$D$42:$D$46,1/(1+A18)^Inputs!$A$42:$A$46))/SUMPRODUCT(Inputs!$B$42:$B$46,1/(1+A18)^Inputs!$A$42:$A$46)-Inputs!$B$20</f>
        <v>0.131098068794446</v>
      </c>
      <c r="C18" s="5" t="n">
        <f aca="false">$B$6-B18</f>
        <v>-0.00200466584356965</v>
      </c>
      <c r="D18" s="4" t="str">
        <f aca="false">IF(C18&gt;0,"yes","no")</f>
        <v>no</v>
      </c>
      <c r="E18" s="4" t="str">
        <f aca="false">IF($B$7&gt;=B18,"yes","no")</f>
        <v>no</v>
      </c>
    </row>
    <row r="19" customFormat="false" ht="15" hidden="false" customHeight="false" outlineLevel="0" collapsed="false">
      <c r="A19" s="4" t="s">
        <v>18</v>
      </c>
      <c r="B19" s="6" t="n">
        <f aca="false">'Where it closes'!D44</f>
        <v>0.127995353305027</v>
      </c>
    </row>
    <row r="20" customFormat="false" ht="15" hidden="false" customHeight="false" outlineLevel="0" collapsed="false">
      <c r="A20" s="7" t="s">
        <v>19</v>
      </c>
    </row>
    <row r="21" customFormat="false" ht="15" hidden="false" customHeight="false" outlineLevel="0" collapsed="false">
      <c r="A21" s="3" t="s">
        <v>20</v>
      </c>
      <c r="B21" s="3" t="s">
        <v>21</v>
      </c>
      <c r="C21" s="3" t="s">
        <v>22</v>
      </c>
    </row>
    <row r="22" customFormat="false" ht="15" hidden="false" customHeight="false" outlineLevel="0" collapsed="false">
      <c r="A22" s="4" t="s">
        <v>23</v>
      </c>
      <c r="B22" s="5" t="n">
        <f aca="false">(B6-B8)*Inputs!$B$48*(1-Inputs!$B$12)/Inputs!$B$51</f>
        <v>0.0552219862657643</v>
      </c>
      <c r="C22" s="4" t="s">
        <v>24</v>
      </c>
    </row>
    <row r="23" customFormat="false" ht="15" hidden="false" customHeight="false" outlineLevel="0" collapsed="false">
      <c r="A23" s="4" t="s">
        <v>25</v>
      </c>
      <c r="B23" s="5" t="n">
        <f aca="false">(Inputs!$B$31-B8*Inputs!$B$48)*(1-Inputs!$B$12)/Inputs!$B$52-(Inputs!$B$31-B8*Inputs!$B$48)*(1-Inputs!$B$12)/Inputs!$B$51</f>
        <v>0.131177848295015</v>
      </c>
      <c r="C23" s="4" t="s">
        <v>26</v>
      </c>
    </row>
    <row r="24" customFormat="false" ht="15" hidden="false" customHeight="false" outlineLevel="0" collapsed="false">
      <c r="A24" s="4" t="s">
        <v>27</v>
      </c>
      <c r="B24" s="5" t="n">
        <f aca="false">MAX(Thickness!AD5:AD49)-(Inputs!$B$31-B8*Inputs!$B$48)*(1-Inputs!$B$12)/Inputs!$B$51</f>
        <v>0.174720472483361</v>
      </c>
      <c r="C24" s="4" t="s">
        <v>28</v>
      </c>
    </row>
    <row r="25" customFormat="false" ht="15" hidden="false" customHeight="false" outlineLevel="0" collapsed="false">
      <c r="A25" s="4" t="s">
        <v>29</v>
      </c>
      <c r="B25" s="5" t="n">
        <f aca="false">MAX(Thickness!AE5:AE49)-(Inputs!$B$31-B8*Inputs!$B$48)*(1-Inputs!$B$12)/Inputs!$B$51</f>
        <v>0.349982442934273</v>
      </c>
      <c r="C25" s="4" t="s">
        <v>28</v>
      </c>
    </row>
    <row r="26" customFormat="false" ht="15" hidden="false" customHeight="false" outlineLevel="0" collapsed="false">
      <c r="A26" s="4" t="s">
        <v>30</v>
      </c>
      <c r="B26" s="5" t="n">
        <f aca="false">B23+B24</f>
        <v>0.305898320778376</v>
      </c>
      <c r="C26" s="4" t="s">
        <v>31</v>
      </c>
    </row>
    <row r="27" customFormat="false" ht="15" hidden="false" customHeight="false" outlineLevel="0" collapsed="false">
      <c r="A27" s="4" t="s">
        <v>32</v>
      </c>
      <c r="B27" s="5" t="n">
        <f aca="false">(Inputs!$B$31-B7*Inputs!$B$48)*(1-Inputs!$B$12)/Inputs!$B$52-(Inputs!$B$31-B7*Inputs!$B$48)*(1-Inputs!$B$12)/Inputs!$B$51</f>
        <v>0.111680046839847</v>
      </c>
      <c r="C27" s="4" t="s">
        <v>26</v>
      </c>
    </row>
    <row r="28" customFormat="false" ht="15" hidden="false" customHeight="false" outlineLevel="0" collapsed="false">
      <c r="A28" s="4" t="s">
        <v>33</v>
      </c>
      <c r="B28" s="5" t="n">
        <f aca="false">B25-B26</f>
        <v>0.0440841221558975</v>
      </c>
      <c r="C28" s="4" t="s">
        <v>34</v>
      </c>
    </row>
    <row r="29" customFormat="false" ht="15" hidden="false" customHeight="false" outlineLevel="0" collapsed="false">
      <c r="A29" s="4" t="s">
        <v>35</v>
      </c>
      <c r="B29" s="5" t="n">
        <f aca="false">0.005*Inputs!$B$48*(1-Inputs!$B$12)/Inputs!$B$51</f>
        <v>0.00521006484294746</v>
      </c>
      <c r="C29" s="4" t="s">
        <v>36</v>
      </c>
    </row>
    <row r="31" customFormat="false" ht="15" hidden="false" customHeight="false" outlineLevel="0" collapsed="false">
      <c r="A31" s="7" t="s">
        <v>37</v>
      </c>
    </row>
    <row r="32" customFormat="false" ht="15" hidden="false" customHeight="false" outlineLevel="0" collapsed="false">
      <c r="A32" s="4" t="s">
        <v>38</v>
      </c>
      <c r="B32" s="5" t="n">
        <f aca="false">INDEX(Thickness!A5:A49,MATCH(MAX(Thickness!AD5:AD49),Thickness!AD5:AD49,0))</f>
        <v>0.0975</v>
      </c>
    </row>
    <row r="33" customFormat="false" ht="15" hidden="false" customHeight="false" outlineLevel="0" collapsed="false">
      <c r="A33" s="4" t="s">
        <v>39</v>
      </c>
      <c r="B33" s="5" t="n">
        <f aca="false">INDEX(Thickness!AB5:AB49,MATCH(B32,Thickness!A5:A49,0))</f>
        <v>0.068489469068595</v>
      </c>
    </row>
    <row r="34" customFormat="false" ht="15" hidden="false" customHeight="false" outlineLevel="0" collapsed="false">
      <c r="A34" s="4" t="s">
        <v>40</v>
      </c>
      <c r="B34" s="9" t="n">
        <f aca="false">INDEX(Thickness!H5:H49,MATCH(B32,Thickness!A5:A49,0))</f>
        <v>322802840.702342</v>
      </c>
    </row>
    <row r="35" customFormat="false" ht="15" hidden="false" customHeight="false" outlineLevel="0" collapsed="false">
      <c r="A35" s="4" t="s">
        <v>41</v>
      </c>
      <c r="B35" s="5" t="n">
        <f aca="false">MAX(Thickness!AD5:AD49)</f>
        <v>0.377338071678023</v>
      </c>
    </row>
    <row r="36" customFormat="false" ht="15" hidden="false" customHeight="false" outlineLevel="0" collapsed="false">
      <c r="A36" s="4" t="s">
        <v>42</v>
      </c>
      <c r="B36" s="9" t="n">
        <f aca="false">INDEX(Thickness!C5:C49,MATCH(B32,Thickness!A5:A49,0))</f>
        <v>390000000</v>
      </c>
    </row>
    <row r="37" customFormat="false" ht="15" hidden="false" customHeight="false" outlineLevel="0" collapsed="false">
      <c r="A37" s="4" t="s">
        <v>43</v>
      </c>
      <c r="B37" s="5" t="n">
        <f aca="false">INDEX(Thickness!AG5:AG49,MATCH(B32,Thickness!A5:A49,0))</f>
        <v>0.13359361828437</v>
      </c>
    </row>
    <row r="38" customFormat="false" ht="15" hidden="false" customHeight="false" outlineLevel="0" collapsed="false">
      <c r="A38" s="4" t="s">
        <v>44</v>
      </c>
      <c r="B38" s="5" t="n">
        <f aca="false">INDEX(Thickness!A5:A49,MATCH(MAX(Thickness!AE5:AE49),Thickness!AE5:AE49,0))</f>
        <v>0.085</v>
      </c>
    </row>
    <row r="39" customFormat="false" ht="15" hidden="false" customHeight="false" outlineLevel="0" collapsed="false">
      <c r="A39" s="4" t="s">
        <v>45</v>
      </c>
      <c r="B39" s="5" t="n">
        <f aca="false">(Inputs!$B$31-B8*Inputs!$B$48)*(1-Inputs!$B$12)/Inputs!$B$51</f>
        <v>0.202617599194663</v>
      </c>
    </row>
    <row r="40" customFormat="false" ht="15" hidden="false" customHeight="false" outlineLevel="0" collapsed="false">
      <c r="A40" s="4" t="s">
        <v>46</v>
      </c>
      <c r="B40" s="5" t="n">
        <f aca="false">(Inputs!$B$31-B7*Inputs!$B$48)*(1-Inputs!$B$12)/Inputs!$B$51</f>
        <v>0.172501251261164</v>
      </c>
    </row>
    <row r="41" customFormat="false" ht="15" hidden="false" customHeight="false" outlineLevel="0" collapsed="false">
      <c r="A41" s="4" t="s">
        <v>47</v>
      </c>
      <c r="B41" s="5" t="n">
        <f aca="false">B39-B40</f>
        <v>0.0301163479334991</v>
      </c>
    </row>
    <row r="43" customFormat="false" ht="15" hidden="false" customHeight="false" outlineLevel="0" collapsed="false">
      <c r="A43" s="10" t="s">
        <v>48</v>
      </c>
    </row>
    <row r="44" customFormat="false" ht="15" hidden="false" customHeight="false" outlineLevel="0" collapsed="false">
      <c r="A44" s="1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8"/>
  </cols>
  <sheetData>
    <row r="1" customFormat="false" ht="15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4" customFormat="false" ht="15" hidden="false" customHeight="false" outlineLevel="0" collapsed="false">
      <c r="A4" s="7" t="s">
        <v>52</v>
      </c>
    </row>
    <row r="5" customFormat="false" ht="15" hidden="false" customHeight="false" outlineLevel="0" collapsed="false">
      <c r="A5" s="4" t="s">
        <v>53</v>
      </c>
      <c r="B5" s="11" t="n">
        <v>4000000000</v>
      </c>
    </row>
    <row r="6" customFormat="false" ht="15" hidden="false" customHeight="false" outlineLevel="0" collapsed="false">
      <c r="A6" s="4" t="s">
        <v>54</v>
      </c>
      <c r="B6" s="11" t="n">
        <v>3077076597.79512</v>
      </c>
    </row>
    <row r="7" customFormat="false" ht="15" hidden="false" customHeight="false" outlineLevel="0" collapsed="false">
      <c r="A7" s="4" t="s">
        <v>55</v>
      </c>
      <c r="B7" s="11" t="n">
        <v>14034720</v>
      </c>
    </row>
    <row r="8" customFormat="false" ht="15" hidden="false" customHeight="false" outlineLevel="0" collapsed="false">
      <c r="A8" s="4" t="s">
        <v>56</v>
      </c>
      <c r="B8" s="8" t="n">
        <v>0.135</v>
      </c>
    </row>
    <row r="9" customFormat="false" ht="15" hidden="false" customHeight="false" outlineLevel="0" collapsed="false">
      <c r="A9" s="4" t="s">
        <v>57</v>
      </c>
      <c r="B9" s="8" t="n">
        <v>0.115</v>
      </c>
    </row>
    <row r="10" customFormat="false" ht="15" hidden="false" customHeight="false" outlineLevel="0" collapsed="false">
      <c r="A10" s="4" t="s">
        <v>58</v>
      </c>
      <c r="B10" s="8" t="n">
        <v>0.0245</v>
      </c>
    </row>
    <row r="11" customFormat="false" ht="15" hidden="false" customHeight="false" outlineLevel="0" collapsed="false">
      <c r="A11" s="4" t="s">
        <v>59</v>
      </c>
      <c r="B11" s="8" t="n">
        <v>0.003</v>
      </c>
    </row>
    <row r="12" customFormat="false" ht="15" hidden="false" customHeight="false" outlineLevel="0" collapsed="false">
      <c r="A12" s="4" t="s">
        <v>60</v>
      </c>
      <c r="B12" s="8" t="n">
        <v>0.25</v>
      </c>
    </row>
    <row r="13" customFormat="false" ht="15" hidden="false" customHeight="false" outlineLevel="0" collapsed="false">
      <c r="A13" s="4" t="s">
        <v>61</v>
      </c>
      <c r="B13" s="12" t="n">
        <v>0.0650502119559025</v>
      </c>
    </row>
    <row r="14" customFormat="false" ht="15" hidden="false" customHeight="false" outlineLevel="0" collapsed="false">
      <c r="A14" s="4" t="s">
        <v>62</v>
      </c>
      <c r="B14" s="13" t="n">
        <v>166.272130253699</v>
      </c>
    </row>
    <row r="15" customFormat="false" ht="15" hidden="false" customHeight="false" outlineLevel="0" collapsed="false">
      <c r="A15" s="4" t="s">
        <v>63</v>
      </c>
      <c r="B15" s="8" t="n">
        <v>0.40615</v>
      </c>
    </row>
    <row r="16" customFormat="false" ht="15" hidden="false" customHeight="false" outlineLevel="0" collapsed="false">
      <c r="A16" s="4" t="s">
        <v>64</v>
      </c>
      <c r="B16" s="14" t="n">
        <v>5</v>
      </c>
    </row>
    <row r="17" customFormat="false" ht="15" hidden="false" customHeight="false" outlineLevel="0" collapsed="false">
      <c r="A17" s="4" t="s">
        <v>65</v>
      </c>
      <c r="B17" s="8" t="n">
        <v>0.07</v>
      </c>
    </row>
    <row r="18" customFormat="false" ht="15" hidden="false" customHeight="false" outlineLevel="0" collapsed="false">
      <c r="A18" s="4" t="s">
        <v>66</v>
      </c>
      <c r="B18" s="8" t="n">
        <v>0.05</v>
      </c>
    </row>
    <row r="19" customFormat="false" ht="15" hidden="false" customHeight="false" outlineLevel="0" collapsed="false">
      <c r="A19" s="4" t="s">
        <v>8</v>
      </c>
      <c r="B19" s="8" t="n">
        <v>0.105</v>
      </c>
    </row>
    <row r="20" customFormat="false" ht="15" hidden="false" customHeight="false" outlineLevel="0" collapsed="false">
      <c r="A20" s="4" t="s">
        <v>67</v>
      </c>
      <c r="B20" s="8" t="n">
        <v>0.025</v>
      </c>
    </row>
    <row r="21" customFormat="false" ht="15" hidden="false" customHeight="false" outlineLevel="0" collapsed="false">
      <c r="A21" s="7" t="s">
        <v>68</v>
      </c>
    </row>
    <row r="22" customFormat="false" ht="15" hidden="false" customHeight="false" outlineLevel="0" collapsed="false">
      <c r="A22" s="4" t="s">
        <v>69</v>
      </c>
      <c r="B22" s="15" t="n">
        <v>0.0018223875</v>
      </c>
    </row>
    <row r="23" customFormat="false" ht="15" hidden="false" customHeight="false" outlineLevel="0" collapsed="false">
      <c r="A23" s="4" t="s">
        <v>70</v>
      </c>
      <c r="B23" s="16" t="n">
        <v>2</v>
      </c>
    </row>
    <row r="24" customFormat="false" ht="15" hidden="false" customHeight="false" outlineLevel="0" collapsed="false">
      <c r="A24" s="4" t="s">
        <v>71</v>
      </c>
      <c r="B24" s="8" t="n">
        <v>0.08</v>
      </c>
    </row>
    <row r="25" customFormat="false" ht="15" hidden="false" customHeight="false" outlineLevel="0" collapsed="false">
      <c r="A25" s="4" t="s">
        <v>14</v>
      </c>
      <c r="B25" s="8" t="n">
        <v>0.075</v>
      </c>
    </row>
    <row r="27" customFormat="false" ht="15" hidden="false" customHeight="false" outlineLevel="0" collapsed="false">
      <c r="A27" s="7" t="s">
        <v>72</v>
      </c>
    </row>
    <row r="28" customFormat="false" ht="15" hidden="false" customHeight="false" outlineLevel="0" collapsed="false">
      <c r="A28" s="4" t="s">
        <v>73</v>
      </c>
      <c r="B28" s="17" t="n">
        <f aca="false">MAX(0.3,IF($B$14&gt;=25,0+3.56/$B$14+(-1.85)*$B$13+0.55*$B$15+0.07*$B$16,0.11+2.61/$B$14+(-2.91)*$B$13+0.68*$B$15+0.07*$B$16))</f>
        <v>0.474450291647814</v>
      </c>
    </row>
    <row r="29" customFormat="false" ht="15" hidden="false" customHeight="false" outlineLevel="0" collapsed="false">
      <c r="A29" s="4" t="s">
        <v>74</v>
      </c>
      <c r="B29" s="17" t="n">
        <f aca="false">MAX(0.3,B28/2)</f>
        <v>0.3</v>
      </c>
    </row>
    <row r="30" customFormat="false" ht="15" hidden="false" customHeight="false" outlineLevel="0" collapsed="false">
      <c r="A30" s="4" t="s">
        <v>75</v>
      </c>
      <c r="B30" s="9" t="n">
        <f aca="false">B6*B8</f>
        <v>415405340.702342</v>
      </c>
    </row>
    <row r="31" customFormat="false" ht="15" hidden="false" customHeight="false" outlineLevel="0" collapsed="false">
      <c r="A31" s="4" t="s">
        <v>76</v>
      </c>
      <c r="B31" s="9" t="n">
        <f aca="false">(B10-B11)*B5-B7</f>
        <v>71965280</v>
      </c>
    </row>
    <row r="32" customFormat="false" ht="15" hidden="false" customHeight="false" outlineLevel="0" collapsed="false">
      <c r="A32" s="4" t="s">
        <v>77</v>
      </c>
      <c r="B32" s="5" t="n">
        <f aca="false">B31*(1-B12)/B30</f>
        <v>0.129930828305539</v>
      </c>
    </row>
    <row r="33" customFormat="false" ht="35.05" hidden="false" customHeight="false" outlineLevel="0" collapsed="false">
      <c r="A33" s="3" t="s">
        <v>78</v>
      </c>
      <c r="B33" s="3" t="s">
        <v>79</v>
      </c>
      <c r="C33" s="3" t="s">
        <v>80</v>
      </c>
    </row>
    <row r="34" customFormat="false" ht="15" hidden="false" customHeight="false" outlineLevel="0" collapsed="false">
      <c r="A34" s="4" t="n">
        <v>0</v>
      </c>
      <c r="B34" s="17" t="n">
        <f aca="false">1</f>
        <v>1</v>
      </c>
    </row>
    <row r="35" customFormat="false" ht="15" hidden="false" customHeight="false" outlineLevel="0" collapsed="false">
      <c r="A35" s="4" t="n">
        <v>1</v>
      </c>
      <c r="B35" s="17" t="n">
        <f aca="false">IF(A35&lt;=$B$23,1,(1-$B$24)^(A35-$B$23))</f>
        <v>1</v>
      </c>
      <c r="C35" s="9" t="n">
        <f aca="false">$B$22*$B$5*B35*(1-$B$18)</f>
        <v>6925072.5</v>
      </c>
    </row>
    <row r="36" customFormat="false" ht="15" hidden="false" customHeight="false" outlineLevel="0" collapsed="false">
      <c r="A36" s="4" t="n">
        <v>2</v>
      </c>
      <c r="B36" s="17" t="n">
        <f aca="false">IF(A36&lt;=$B$23,1,(1-$B$24)^(A36-$B$23))</f>
        <v>1</v>
      </c>
      <c r="C36" s="9" t="n">
        <f aca="false">$B$22*$B$5*B36*(1-$B$18)</f>
        <v>6925072.5</v>
      </c>
    </row>
    <row r="37" customFormat="false" ht="15" hidden="false" customHeight="false" outlineLevel="0" collapsed="false">
      <c r="A37" s="4" t="n">
        <v>3</v>
      </c>
      <c r="B37" s="17" t="n">
        <f aca="false">IF(A37&lt;=$B$23,1,(1-$B$24)^(A37-$B$23))</f>
        <v>0.92</v>
      </c>
      <c r="C37" s="9" t="n">
        <f aca="false">$B$22*$B$5*B37*(1-$B$18)</f>
        <v>6371066.7</v>
      </c>
    </row>
    <row r="38" customFormat="false" ht="15" hidden="false" customHeight="false" outlineLevel="0" collapsed="false">
      <c r="A38" s="4" t="n">
        <v>4</v>
      </c>
      <c r="B38" s="17" t="n">
        <f aca="false">IF(A38&lt;=$B$23,1,(1-$B$24)^(A38-$B$23))</f>
        <v>0.8464</v>
      </c>
      <c r="C38" s="9" t="n">
        <f aca="false">$B$22*$B$5*B38*(1-$B$18)</f>
        <v>5861381.364</v>
      </c>
    </row>
    <row r="39" customFormat="false" ht="15" hidden="false" customHeight="false" outlineLevel="0" collapsed="false">
      <c r="A39" s="4" t="n">
        <v>5</v>
      </c>
      <c r="B39" s="17" t="n">
        <f aca="false">IF(A39&lt;=$B$23,1,(1-$B$24)^(A39-$B$23))</f>
        <v>0.778688</v>
      </c>
      <c r="C39" s="9" t="n">
        <f aca="false">$B$22*$B$5*B39*(1-$B$18)</f>
        <v>5392470.85488</v>
      </c>
    </row>
    <row r="41" customFormat="false" ht="15" hidden="false" customHeight="false" outlineLevel="0" collapsed="false">
      <c r="A41" s="3" t="s">
        <v>78</v>
      </c>
      <c r="B41" s="3" t="s">
        <v>81</v>
      </c>
      <c r="C41" s="3" t="s">
        <v>82</v>
      </c>
      <c r="D41" s="3" t="s">
        <v>83</v>
      </c>
      <c r="E41" s="3" t="s">
        <v>84</v>
      </c>
    </row>
    <row r="42" customFormat="false" ht="15" hidden="false" customHeight="false" outlineLevel="0" collapsed="false">
      <c r="A42" s="4" t="n">
        <v>1</v>
      </c>
      <c r="B42" s="9" t="n">
        <f aca="false">$B$17*$B$5*(1-$B$18)</f>
        <v>266000000</v>
      </c>
      <c r="C42" s="9" t="n">
        <f aca="false">MIN(B42,C35)</f>
        <v>6925072.5</v>
      </c>
      <c r="D42" s="9" t="n">
        <f aca="false">(B42-C42)*(1-B35/B34)</f>
        <v>0</v>
      </c>
      <c r="E42" s="9" t="n">
        <f aca="false">B42-C42-D42</f>
        <v>259074927.5</v>
      </c>
    </row>
    <row r="43" customFormat="false" ht="15" hidden="false" customHeight="false" outlineLevel="0" collapsed="false">
      <c r="A43" s="4" t="n">
        <v>2</v>
      </c>
      <c r="B43" s="9" t="n">
        <f aca="false">E42</f>
        <v>259074927.5</v>
      </c>
      <c r="C43" s="9" t="n">
        <f aca="false">MIN(B43,C36)</f>
        <v>6925072.5</v>
      </c>
      <c r="D43" s="9" t="n">
        <f aca="false">(B43-C43)*(1-B36/B35)</f>
        <v>0</v>
      </c>
      <c r="E43" s="9" t="n">
        <f aca="false">B43-C43-D43</f>
        <v>252149855</v>
      </c>
    </row>
    <row r="44" customFormat="false" ht="15" hidden="false" customHeight="false" outlineLevel="0" collapsed="false">
      <c r="A44" s="4" t="n">
        <v>3</v>
      </c>
      <c r="B44" s="9" t="n">
        <f aca="false">E43</f>
        <v>252149855</v>
      </c>
      <c r="C44" s="9" t="n">
        <f aca="false">MIN(B44,C37)</f>
        <v>6371066.7</v>
      </c>
      <c r="D44" s="9" t="n">
        <f aca="false">(B44-C44)*(1-B37/B36)</f>
        <v>19662303.064</v>
      </c>
      <c r="E44" s="9" t="n">
        <f aca="false">B44-C44-D44</f>
        <v>226116485.236</v>
      </c>
    </row>
    <row r="45" customFormat="false" ht="15" hidden="false" customHeight="false" outlineLevel="0" collapsed="false">
      <c r="A45" s="4" t="n">
        <v>4</v>
      </c>
      <c r="B45" s="9" t="n">
        <f aca="false">E44</f>
        <v>226116485.236</v>
      </c>
      <c r="C45" s="9" t="n">
        <f aca="false">MIN(B45,C38)</f>
        <v>5861381.364</v>
      </c>
      <c r="D45" s="9" t="n">
        <f aca="false">(B45-C45)*(1-B38/B37)</f>
        <v>17620408.30976</v>
      </c>
      <c r="E45" s="9" t="n">
        <f aca="false">B45-C45-D45</f>
        <v>202634695.56224</v>
      </c>
    </row>
    <row r="46" customFormat="false" ht="15" hidden="false" customHeight="false" outlineLevel="0" collapsed="false">
      <c r="A46" s="4" t="n">
        <v>5</v>
      </c>
      <c r="B46" s="9" t="n">
        <f aca="false">E45</f>
        <v>202634695.56224</v>
      </c>
      <c r="C46" s="9" t="n">
        <f aca="false">MIN(B46,C39)</f>
        <v>5392470.85488</v>
      </c>
      <c r="D46" s="9" t="n">
        <f aca="false">B46-C46</f>
        <v>197242224.70736</v>
      </c>
      <c r="E46" s="9" t="n">
        <f aca="false">B46-C46-D46</f>
        <v>0</v>
      </c>
    </row>
    <row r="48" customFormat="false" ht="15" hidden="false" customHeight="false" outlineLevel="0" collapsed="false">
      <c r="A48" s="4" t="s">
        <v>85</v>
      </c>
      <c r="B48" s="9" t="n">
        <f aca="false">$B$17*$B$5*(1-$B$18)</f>
        <v>266000000</v>
      </c>
    </row>
    <row r="49" customFormat="false" ht="15" hidden="false" customHeight="false" outlineLevel="0" collapsed="false">
      <c r="A49" s="4" t="s">
        <v>86</v>
      </c>
      <c r="B49" s="5" t="n">
        <f aca="false">MAX(0.15,12.5*IF((1)&lt;=($B$13),1,IF(($B$17)&gt;=($B$13),(EXP((-1/(($B$28)*($B$13)))*((1)-($B$13)))-EXP((-1/(($B$28)*($B$13)))*MAX(($B$17)-($B$13),0)))/((-1/(($B$28)*($B$13)))*(((1)-($B$13))-MAX(($B$17)-($B$13),0))),(($B$13)-($B$17))/((1)-($B$17))+(1-(($B$13)-($B$17))/((1)-($B$17)))*(EXP((-1/(($B$28)*($B$13)))*((1)-($B$13)))-EXP((-1/(($B$28)*($B$13)))*MAX(($B$13)-($B$13),0)))/((-1/(($B$28)*($B$13)))*(((1)-($B$13))-MAX(($B$13)-($B$13),0))))))</f>
        <v>0.353357925857869</v>
      </c>
    </row>
    <row r="50" customFormat="false" ht="15" hidden="false" customHeight="false" outlineLevel="0" collapsed="false">
      <c r="A50" s="4" t="s">
        <v>87</v>
      </c>
      <c r="B50" s="5" t="n">
        <f aca="false">MAX(0.1,12.5*IF((1)&lt;=($B$13),1,IF(($B$17)&gt;=($B$13),(EXP((-1/(($B$29)*($B$13)))*((1)-($B$13)))-EXP((-1/(($B$29)*($B$13)))*MAX(($B$17)-($B$13),0)))/((-1/(($B$29)*($B$13)))*(((1)-($B$13))-MAX(($B$17)-($B$13),0))),(($B$13)-($B$17))/((1)-($B$17))+(1-(($B$13)-($B$17))/((1)-($B$17)))*(EXP((-1/(($B$29)*($B$13)))*((1)-($B$13)))-EXP((-1/(($B$29)*($B$13)))*MAX(($B$13)-($B$13),0)))/((-1/(($B$29)*($B$13)))*(((1)-($B$13))-MAX(($B$13)-($B$13),0))))))</f>
        <v>0.203536763805318</v>
      </c>
    </row>
    <row r="51" customFormat="false" ht="15" hidden="false" customHeight="false" outlineLevel="0" collapsed="false">
      <c r="A51" s="4" t="s">
        <v>88</v>
      </c>
      <c r="B51" s="9" t="n">
        <f aca="false">B49*(1-B17)*B5*B8+B17*B5*B18</f>
        <v>191456350.365822</v>
      </c>
    </row>
    <row r="52" customFormat="false" ht="15" hidden="false" customHeight="false" outlineLevel="0" collapsed="false">
      <c r="A52" s="4" t="s">
        <v>89</v>
      </c>
      <c r="B52" s="9" t="n">
        <f aca="false">B50*(1-B17)*B5*B8+B17*B5*B18</f>
        <v>116216162.783031</v>
      </c>
    </row>
    <row r="53" customFormat="false" ht="15" hidden="false" customHeight="false" outlineLevel="0" collapsed="false">
      <c r="A53" s="4" t="s">
        <v>90</v>
      </c>
      <c r="B53" s="9" t="n">
        <f aca="false">B30-B51</f>
        <v>223948990.33652</v>
      </c>
    </row>
    <row r="54" customFormat="false" ht="15" hidden="false" customHeight="false" outlineLevel="0" collapsed="false">
      <c r="A54" s="4" t="s">
        <v>91</v>
      </c>
      <c r="B54" s="9" t="n">
        <f aca="false">B30-B52</f>
        <v>299189177.919311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3" min="3" style="0" width="14"/>
  </cols>
  <sheetData>
    <row r="1" customFormat="false" ht="15" hidden="false" customHeight="false" outlineLevel="0" collapsed="false">
      <c r="A1" s="1" t="s">
        <v>92</v>
      </c>
    </row>
    <row r="2" customFormat="false" ht="15" hidden="false" customHeight="false" outlineLevel="0" collapsed="false">
      <c r="A2" s="2" t="s">
        <v>93</v>
      </c>
    </row>
    <row r="4" customFormat="false" ht="23.85" hidden="false" customHeight="false" outlineLevel="0" collapsed="false">
      <c r="A4" s="3" t="s">
        <v>94</v>
      </c>
      <c r="B4" s="3" t="s">
        <v>95</v>
      </c>
      <c r="C4" s="3" t="s">
        <v>96</v>
      </c>
      <c r="D4" s="3" t="s">
        <v>97</v>
      </c>
      <c r="E4" s="3" t="s">
        <v>98</v>
      </c>
      <c r="F4" s="3" t="s">
        <v>99</v>
      </c>
      <c r="G4" s="3" t="s">
        <v>88</v>
      </c>
      <c r="H4" s="3" t="s">
        <v>90</v>
      </c>
      <c r="I4" s="3" t="s">
        <v>89</v>
      </c>
      <c r="J4" s="3" t="s">
        <v>100</v>
      </c>
      <c r="K4" s="3" t="s">
        <v>101</v>
      </c>
      <c r="L4" s="3" t="s">
        <v>102</v>
      </c>
      <c r="M4" s="3" t="s">
        <v>103</v>
      </c>
      <c r="N4" s="3" t="s">
        <v>104</v>
      </c>
      <c r="O4" s="3" t="s">
        <v>105</v>
      </c>
      <c r="P4" s="3" t="s">
        <v>106</v>
      </c>
      <c r="Q4" s="3" t="s">
        <v>107</v>
      </c>
      <c r="R4" s="3" t="s">
        <v>108</v>
      </c>
      <c r="S4" s="3" t="s">
        <v>109</v>
      </c>
      <c r="T4" s="3" t="s">
        <v>110</v>
      </c>
      <c r="U4" s="3" t="s">
        <v>111</v>
      </c>
      <c r="V4" s="3" t="s">
        <v>112</v>
      </c>
      <c r="W4" s="3" t="s">
        <v>113</v>
      </c>
      <c r="X4" s="3" t="s">
        <v>114</v>
      </c>
      <c r="Y4" s="3" t="s">
        <v>115</v>
      </c>
      <c r="Z4" s="3" t="s">
        <v>116</v>
      </c>
      <c r="AA4" s="3" t="s">
        <v>117</v>
      </c>
      <c r="AB4" s="3" t="s">
        <v>118</v>
      </c>
      <c r="AC4" s="3" t="s">
        <v>119</v>
      </c>
      <c r="AD4" s="3" t="s">
        <v>120</v>
      </c>
      <c r="AE4" s="3" t="s">
        <v>121</v>
      </c>
      <c r="AF4" s="3" t="s">
        <v>122</v>
      </c>
      <c r="AG4" s="3" t="s">
        <v>123</v>
      </c>
    </row>
    <row r="5" customFormat="false" ht="15" hidden="false" customHeight="false" outlineLevel="0" collapsed="false">
      <c r="A5" s="5" t="n">
        <f aca="false">0.03+0.0025*0</f>
        <v>0.03</v>
      </c>
      <c r="B5" s="4" t="str">
        <f aca="false">IF(A5&lt;Inputs!$B$13,"below KIRB",IF(E5&lt;=0.15,"floor binds",""))</f>
        <v>below KIRB</v>
      </c>
      <c r="C5" s="9" t="n">
        <f aca="false">A5*Inputs!$B$5</f>
        <v>120000000</v>
      </c>
      <c r="D5" s="9" t="n">
        <f aca="false">C5*(1-Inputs!$B$18)</f>
        <v>114000000</v>
      </c>
      <c r="E5" s="5" t="n">
        <f aca="false">MAX(0.15,12.5*IF((1)&lt;=(Inputs!$B$13),1,IF((A5)&gt;=(Inputs!$B$13),(EXP((-1/((Inputs!$B$28)*(Inputs!$B$13)))*((1)-(Inputs!$B$13)))-EXP((-1/((Inputs!$B$28)*(Inputs!$B$13)))*MAX((A5)-(Inputs!$B$13),0)))/((-1/((Inputs!$B$28)*(Inputs!$B$13)))*(((1)-(Inputs!$B$13))-MAX((A5)-(Inputs!$B$13),0))),((Inputs!$B$13)-(A5))/((1)-(A5))+(1-((Inputs!$B$13)-(A5))/((1)-(A5)))*(EXP((-1/((Inputs!$B$28)*(Inputs!$B$13)))*((1)-(Inputs!$B$13)))-EXP((-1/((Inputs!$B$28)*(Inputs!$B$13)))*MAX((Inputs!$B$13)-(Inputs!$B$13),0)))/((-1/((Inputs!$B$28)*(Inputs!$B$13)))*(((1)-(Inputs!$B$13))-MAX((Inputs!$B$13)-(Inputs!$B$13),0))))))</f>
        <v>0.849398247295495</v>
      </c>
      <c r="F5" s="5" t="n">
        <f aca="false">MAX(0.1,12.5*IF((1)&lt;=(Inputs!$B$13),1,IF((A5)&gt;=(Inputs!$B$13),(EXP((-1/((Inputs!$B$29)*(Inputs!$B$13)))*((1)-(Inputs!$B$13)))-EXP((-1/((Inputs!$B$29)*(Inputs!$B$13)))*MAX((A5)-(Inputs!$B$13),0)))/((-1/((Inputs!$B$29)*(Inputs!$B$13)))*(((1)-(Inputs!$B$13))-MAX((A5)-(Inputs!$B$13),0))),((Inputs!$B$13)-(A5))/((1)-(A5))+(1-((Inputs!$B$13)-(A5))/((1)-(A5)))*(EXP((-1/((Inputs!$B$29)*(Inputs!$B$13)))*((1)-(Inputs!$B$13)))-EXP((-1/((Inputs!$B$29)*(Inputs!$B$13)))*MAX((Inputs!$B$13)-(Inputs!$B$13),0)))/((-1/((Inputs!$B$29)*(Inputs!$B$13)))*(((1)-(Inputs!$B$13))-MAX((Inputs!$B$13)-(Inputs!$B$13),0))))))</f>
        <v>0.70316076730249</v>
      </c>
      <c r="G5" s="9" t="n">
        <f aca="false">E5*(1-A5)*Inputs!$B$5*Inputs!$B$8+A5*Inputs!$B$5*Inputs!$B$18</f>
        <v>450914801.93338</v>
      </c>
      <c r="H5" s="9" t="n">
        <f aca="false">Inputs!$B$30-G5</f>
        <v>-35509461.2310385</v>
      </c>
      <c r="I5" s="9" t="n">
        <f aca="false">F5*(1-A5)*Inputs!$B$5*Inputs!$B$8+A5*Inputs!$B$5*Inputs!$B$18</f>
        <v>374315609.913044</v>
      </c>
      <c r="J5" s="9" t="n">
        <f aca="false">Inputs!$B$30-I5</f>
        <v>41089730.7892975</v>
      </c>
      <c r="K5" s="9" t="n">
        <f aca="false">D5</f>
        <v>114000000</v>
      </c>
      <c r="L5" s="9" t="n">
        <f aca="false">K5-P5-U5</f>
        <v>107074927.5</v>
      </c>
      <c r="M5" s="9" t="n">
        <f aca="false">L5-Q5-V5</f>
        <v>100149855</v>
      </c>
      <c r="N5" s="9" t="n">
        <f aca="false">M5-R5-W5</f>
        <v>86276485.236</v>
      </c>
      <c r="O5" s="9" t="n">
        <f aca="false">N5-S5-X5</f>
        <v>73981895.56224</v>
      </c>
      <c r="P5" s="9" t="n">
        <f aca="false">MIN(K5,Inputs!$C$35)</f>
        <v>6925072.5</v>
      </c>
      <c r="Q5" s="9" t="n">
        <f aca="false">MIN(L5,Inputs!$C$36)</f>
        <v>6925072.5</v>
      </c>
      <c r="R5" s="9" t="n">
        <f aca="false">MIN(M5,Inputs!$C$37)</f>
        <v>6371066.7</v>
      </c>
      <c r="S5" s="9" t="n">
        <f aca="false">MIN(N5,Inputs!$C$38)</f>
        <v>5861381.364</v>
      </c>
      <c r="T5" s="9" t="n">
        <f aca="false">MIN(O5,Inputs!$C$39)</f>
        <v>5392470.85488</v>
      </c>
      <c r="U5" s="9" t="n">
        <f aca="false">(K5-P5)*(1-Inputs!$B$35/Inputs!$B$34)</f>
        <v>0</v>
      </c>
      <c r="V5" s="9" t="n">
        <f aca="false">(L5-Q5)*(1-Inputs!$B$36/Inputs!$B$35)</f>
        <v>0</v>
      </c>
      <c r="W5" s="9" t="n">
        <f aca="false">(M5-R5)*(1-Inputs!$B$37/Inputs!$B$36)</f>
        <v>7502303.064</v>
      </c>
      <c r="X5" s="9" t="n">
        <f aca="false">(N5-S5)*(1-Inputs!$B$38/Inputs!$B$37)</f>
        <v>6433208.30976</v>
      </c>
      <c r="Y5" s="9" t="n">
        <f aca="false">O5-T5</f>
        <v>68589424.70736</v>
      </c>
      <c r="Z5" s="9" t="n">
        <f aca="false">K5/(1+Inputs!$B$25)^1+L5/(1+Inputs!$B$25)^2+M5/(1+Inputs!$B$25)^3+N5/(1+Inputs!$B$25)^4+O5/(1+Inputs!$B$25)^5</f>
        <v>395455228.505619</v>
      </c>
      <c r="AA5" s="9" t="n">
        <f aca="false">U5/(1+Inputs!$B$25)^1+V5/(1+Inputs!$B$25)^2+W5/(1+Inputs!$B$25)^3+X5/(1+Inputs!$B$25)^4+Y5/(1+Inputs!$B$25)^5</f>
        <v>58632803.8053811</v>
      </c>
      <c r="AB5" s="5" t="n">
        <f aca="false">(D5-AA5)/Z5-Inputs!$B$20</f>
        <v>0.115008760040537</v>
      </c>
      <c r="AC5" s="9" t="n">
        <f aca="false">AB5*D5</f>
        <v>13110998.6446212</v>
      </c>
      <c r="AD5" s="5" t="n">
        <f aca="false">(Inputs!$B$31-AC5)*(1-Inputs!$B$12)/G5</f>
        <v>0.097891466031438</v>
      </c>
      <c r="AE5" s="5" t="n">
        <f aca="false">(Inputs!$B$31-AC5)*(1-Inputs!$B$12)/I5</f>
        <v>0.117923778350543</v>
      </c>
      <c r="AF5" s="5" t="str">
        <f aca="false">IF(H5&gt;0,AC5/H5,"")</f>
        <v/>
      </c>
      <c r="AG5" s="5" t="n">
        <f aca="false">Inputs!$B$9*H5/(1-Inputs!$B$12)/D5</f>
        <v>-0.0477612636440868</v>
      </c>
    </row>
    <row r="6" customFormat="false" ht="15" hidden="false" customHeight="false" outlineLevel="0" collapsed="false">
      <c r="A6" s="5" t="n">
        <f aca="false">0.03+0.0025*1</f>
        <v>0.0325</v>
      </c>
      <c r="B6" s="4" t="str">
        <f aca="false">IF(A6&lt;Inputs!$B$13,"below KIRB",IF(E6&lt;=0.15,"floor binds",""))</f>
        <v>below KIRB</v>
      </c>
      <c r="C6" s="9" t="n">
        <f aca="false">A6*Inputs!$B$5</f>
        <v>130000000</v>
      </c>
      <c r="D6" s="9" t="n">
        <f aca="false">C6*(1-Inputs!$B$18)</f>
        <v>123500000</v>
      </c>
      <c r="E6" s="5" t="n">
        <f aca="false">MAX(0.15,12.5*IF((1)&lt;=(Inputs!$B$13),1,IF((A6)&gt;=(Inputs!$B$13),(EXP((-1/((Inputs!$B$28)*(Inputs!$B$13)))*((1)-(Inputs!$B$13)))-EXP((-1/((Inputs!$B$28)*(Inputs!$B$13)))*MAX((A6)-(Inputs!$B$13),0)))/((-1/((Inputs!$B$28)*(Inputs!$B$13)))*(((1)-(Inputs!$B$13))-MAX((A6)-(Inputs!$B$13),0))),((Inputs!$B$13)-(A6))/((1)-(A6))+(1-((Inputs!$B$13)-(A6))/((1)-(A6)))*(EXP((-1/((Inputs!$B$28)*(Inputs!$B$13)))*((1)-(Inputs!$B$13)))-EXP((-1/((Inputs!$B$28)*(Inputs!$B$13)))*MAX((Inputs!$B$13)-(Inputs!$B$13),0)))/((-1/((Inputs!$B$28)*(Inputs!$B$13)))*(((1)-(Inputs!$B$13))-MAX((Inputs!$B$13)-(Inputs!$B$13),0))))))</f>
        <v>0.819293333205819</v>
      </c>
      <c r="F6" s="5" t="n">
        <f aca="false">MAX(0.1,12.5*IF((1)&lt;=(Inputs!$B$13),1,IF((A6)&gt;=(Inputs!$B$13),(EXP((-1/((Inputs!$B$29)*(Inputs!$B$13)))*((1)-(Inputs!$B$13)))-EXP((-1/((Inputs!$B$29)*(Inputs!$B$13)))*MAX((A6)-(Inputs!$B$13),0)))/((-1/((Inputs!$B$29)*(Inputs!$B$13)))*(((1)-(Inputs!$B$13))-MAX((A6)-(Inputs!$B$13),0))),((Inputs!$B$13)-(A6))/((1)-(A6))+(1-((Inputs!$B$13)-(A6))/((1)-(A6)))*(EXP((-1/((Inputs!$B$29)*(Inputs!$B$13)))*((1)-(Inputs!$B$13)))-EXP((-1/((Inputs!$B$29)*(Inputs!$B$13)))*MAX((Inputs!$B$13)-(Inputs!$B$13),0)))/((-1/((Inputs!$B$29)*(Inputs!$B$13)))*(((1)-(Inputs!$B$13))-MAX((Inputs!$B$13)-(Inputs!$B$13),0))))))</f>
        <v>0.672677978587509</v>
      </c>
      <c r="G6" s="9" t="n">
        <f aca="false">E6*(1-A6)*Inputs!$B$5*Inputs!$B$8+A6*Inputs!$B$5*Inputs!$B$18</f>
        <v>434539801.93338</v>
      </c>
      <c r="H6" s="9" t="n">
        <f aca="false">Inputs!$B$30-G6</f>
        <v>-19134461.2310384</v>
      </c>
      <c r="I6" s="9" t="n">
        <f aca="false">F6*(1-A6)*Inputs!$B$5*Inputs!$B$8+A6*Inputs!$B$5*Inputs!$B$18</f>
        <v>357940609.913044</v>
      </c>
      <c r="J6" s="9" t="n">
        <f aca="false">Inputs!$B$30-I6</f>
        <v>57464730.7892975</v>
      </c>
      <c r="K6" s="9" t="n">
        <f aca="false">D6</f>
        <v>123500000</v>
      </c>
      <c r="L6" s="9" t="n">
        <f aca="false">K6-P6-U6</f>
        <v>116574927.5</v>
      </c>
      <c r="M6" s="9" t="n">
        <f aca="false">L6-Q6-V6</f>
        <v>109649855</v>
      </c>
      <c r="N6" s="9" t="n">
        <f aca="false">M6-R6-W6</f>
        <v>95016485.236</v>
      </c>
      <c r="O6" s="9" t="n">
        <f aca="false">N6-S6-X6</f>
        <v>82022695.56224</v>
      </c>
      <c r="P6" s="9" t="n">
        <f aca="false">MIN(K6,Inputs!$C$35)</f>
        <v>6925072.5</v>
      </c>
      <c r="Q6" s="9" t="n">
        <f aca="false">MIN(L6,Inputs!$C$36)</f>
        <v>6925072.5</v>
      </c>
      <c r="R6" s="9" t="n">
        <f aca="false">MIN(M6,Inputs!$C$37)</f>
        <v>6371066.7</v>
      </c>
      <c r="S6" s="9" t="n">
        <f aca="false">MIN(N6,Inputs!$C$38)</f>
        <v>5861381.364</v>
      </c>
      <c r="T6" s="9" t="n">
        <f aca="false">MIN(O6,Inputs!$C$39)</f>
        <v>5392470.85488</v>
      </c>
      <c r="U6" s="9" t="n">
        <f aca="false">(K6-P6)*(1-Inputs!$B$35/Inputs!$B$34)</f>
        <v>0</v>
      </c>
      <c r="V6" s="9" t="n">
        <f aca="false">(L6-Q6)*(1-Inputs!$B$36/Inputs!$B$35)</f>
        <v>0</v>
      </c>
      <c r="W6" s="9" t="n">
        <f aca="false">(M6-R6)*(1-Inputs!$B$37/Inputs!$B$36)</f>
        <v>8262303.064</v>
      </c>
      <c r="X6" s="9" t="n">
        <f aca="false">(N6-S6)*(1-Inputs!$B$38/Inputs!$B$37)</f>
        <v>7132408.30976</v>
      </c>
      <c r="Y6" s="9" t="n">
        <f aca="false">O6-T6</f>
        <v>76630224.70736</v>
      </c>
      <c r="Z6" s="9" t="n">
        <f aca="false">K6/(1+Inputs!$B$25)^1+L6/(1+Inputs!$B$25)^2+M6/(1+Inputs!$B$25)^3+N6/(1+Inputs!$B$25)^4+O6/(1+Inputs!$B$25)^5</f>
        <v>432305628.315649</v>
      </c>
      <c r="AA6" s="9" t="n">
        <f aca="false">U6/(1+Inputs!$B$25)^1+V6/(1+Inputs!$B$25)^2+W6/(1+Inputs!$B$25)^3+X6/(1+Inputs!$B$25)^4+Y6/(1+Inputs!$B$25)^5</f>
        <v>65369023.8196289</v>
      </c>
      <c r="AB6" s="5" t="n">
        <f aca="false">(D6-AA6)/Z6-Inputs!$B$20</f>
        <v>0.109467312875063</v>
      </c>
      <c r="AC6" s="9" t="n">
        <f aca="false">AB6*D6</f>
        <v>13519213.1400703</v>
      </c>
      <c r="AD6" s="5" t="n">
        <f aca="false">(Inputs!$B$31-AC6)*(1-Inputs!$B$12)/G6</f>
        <v>0.100875799984066</v>
      </c>
      <c r="AE6" s="5" t="n">
        <f aca="false">(Inputs!$B$31-AC6)*(1-Inputs!$B$12)/I6</f>
        <v>0.12246319342082</v>
      </c>
      <c r="AF6" s="5" t="str">
        <f aca="false">IF(H6&gt;0,AC6/H6,"")</f>
        <v/>
      </c>
      <c r="AG6" s="5" t="n">
        <f aca="false">Inputs!$B$9*H6/(1-Inputs!$B$12)/D6</f>
        <v>-0.0237566860088466</v>
      </c>
    </row>
    <row r="7" customFormat="false" ht="15" hidden="false" customHeight="false" outlineLevel="0" collapsed="false">
      <c r="A7" s="5" t="n">
        <f aca="false">0.03+0.0025*2</f>
        <v>0.035</v>
      </c>
      <c r="B7" s="4" t="str">
        <f aca="false">IF(A7&lt;Inputs!$B$13,"below KIRB",IF(E7&lt;=0.15,"floor binds",""))</f>
        <v>below KIRB</v>
      </c>
      <c r="C7" s="9" t="n">
        <f aca="false">A7*Inputs!$B$5</f>
        <v>140000000</v>
      </c>
      <c r="D7" s="9" t="n">
        <f aca="false">C7*(1-Inputs!$B$18)</f>
        <v>133000000</v>
      </c>
      <c r="E7" s="5" t="n">
        <f aca="false">MAX(0.15,12.5*IF((1)&lt;=(Inputs!$B$13),1,IF((A7)&gt;=(Inputs!$B$13),(EXP((-1/((Inputs!$B$28)*(Inputs!$B$13)))*((1)-(Inputs!$B$13)))-EXP((-1/((Inputs!$B$28)*(Inputs!$B$13)))*MAX((A7)-(Inputs!$B$13),0)))/((-1/((Inputs!$B$28)*(Inputs!$B$13)))*(((1)-(Inputs!$B$13))-MAX((A7)-(Inputs!$B$13),0))),((Inputs!$B$13)-(A7))/((1)-(A7))+(1-((Inputs!$B$13)-(A7))/((1)-(A7)))*(EXP((-1/((Inputs!$B$28)*(Inputs!$B$13)))*((1)-(Inputs!$B$13)))-EXP((-1/((Inputs!$B$28)*(Inputs!$B$13)))*MAX((Inputs!$B$13)-(Inputs!$B$13),0)))/((-1/((Inputs!$B$28)*(Inputs!$B$13)))*(((1)-(Inputs!$B$13))-MAX((Inputs!$B$13)-(Inputs!$B$13),0))))))</f>
        <v>0.789032435105316</v>
      </c>
      <c r="F7" s="5" t="n">
        <f aca="false">MAX(0.1,12.5*IF((1)&lt;=(Inputs!$B$13),1,IF((A7)&gt;=(Inputs!$B$13),(EXP((-1/((Inputs!$B$29)*(Inputs!$B$13)))*((1)-(Inputs!$B$13)))-EXP((-1/((Inputs!$B$29)*(Inputs!$B$13)))*MAX((A7)-(Inputs!$B$13),0)))/((-1/((Inputs!$B$29)*(Inputs!$B$13)))*(((1)-(Inputs!$B$13))-MAX((A7)-(Inputs!$B$13),0))),((Inputs!$B$13)-(A7))/((1)-(A7))+(1-((Inputs!$B$13)-(A7))/((1)-(A7)))*(EXP((-1/((Inputs!$B$29)*(Inputs!$B$13)))*((1)-(Inputs!$B$13)))-EXP((-1/((Inputs!$B$29)*(Inputs!$B$13)))*MAX((Inputs!$B$13)-(Inputs!$B$13),0)))/((-1/((Inputs!$B$29)*(Inputs!$B$13)))*(((1)-(Inputs!$B$13))-MAX((Inputs!$B$13)-(Inputs!$B$13),0))))))</f>
        <v>0.642037247962088</v>
      </c>
      <c r="G7" s="9" t="n">
        <f aca="false">E7*(1-A7)*Inputs!$B$5*Inputs!$B$8+A7*Inputs!$B$5*Inputs!$B$18</f>
        <v>418164801.93338</v>
      </c>
      <c r="H7" s="9" t="n">
        <f aca="false">Inputs!$B$30-G7</f>
        <v>-2759461.23103851</v>
      </c>
      <c r="I7" s="9" t="n">
        <f aca="false">F7*(1-A7)*Inputs!$B$5*Inputs!$B$8+A7*Inputs!$B$5*Inputs!$B$18</f>
        <v>341565609.913044</v>
      </c>
      <c r="J7" s="9" t="n">
        <f aca="false">Inputs!$B$30-I7</f>
        <v>73839730.7892975</v>
      </c>
      <c r="K7" s="9" t="n">
        <f aca="false">D7</f>
        <v>133000000</v>
      </c>
      <c r="L7" s="9" t="n">
        <f aca="false">K7-P7-U7</f>
        <v>126074927.5</v>
      </c>
      <c r="M7" s="9" t="n">
        <f aca="false">L7-Q7-V7</f>
        <v>119149855</v>
      </c>
      <c r="N7" s="9" t="n">
        <f aca="false">M7-R7-W7</f>
        <v>103756485.236</v>
      </c>
      <c r="O7" s="9" t="n">
        <f aca="false">N7-S7-X7</f>
        <v>90063495.56224</v>
      </c>
      <c r="P7" s="9" t="n">
        <f aca="false">MIN(K7,Inputs!$C$35)</f>
        <v>6925072.5</v>
      </c>
      <c r="Q7" s="9" t="n">
        <f aca="false">MIN(L7,Inputs!$C$36)</f>
        <v>6925072.5</v>
      </c>
      <c r="R7" s="9" t="n">
        <f aca="false">MIN(M7,Inputs!$C$37)</f>
        <v>6371066.7</v>
      </c>
      <c r="S7" s="9" t="n">
        <f aca="false">MIN(N7,Inputs!$C$38)</f>
        <v>5861381.364</v>
      </c>
      <c r="T7" s="9" t="n">
        <f aca="false">MIN(O7,Inputs!$C$39)</f>
        <v>5392470.85488</v>
      </c>
      <c r="U7" s="9" t="n">
        <f aca="false">(K7-P7)*(1-Inputs!$B$35/Inputs!$B$34)</f>
        <v>0</v>
      </c>
      <c r="V7" s="9" t="n">
        <f aca="false">(L7-Q7)*(1-Inputs!$B$36/Inputs!$B$35)</f>
        <v>0</v>
      </c>
      <c r="W7" s="9" t="n">
        <f aca="false">(M7-R7)*(1-Inputs!$B$37/Inputs!$B$36)</f>
        <v>9022303.064</v>
      </c>
      <c r="X7" s="9" t="n">
        <f aca="false">(N7-S7)*(1-Inputs!$B$38/Inputs!$B$37)</f>
        <v>7831608.30976</v>
      </c>
      <c r="Y7" s="9" t="n">
        <f aca="false">O7-T7</f>
        <v>84671024.70736</v>
      </c>
      <c r="Z7" s="9" t="n">
        <f aca="false">K7/(1+Inputs!$B$25)^1+L7/(1+Inputs!$B$25)^2+M7/(1+Inputs!$B$25)^3+N7/(1+Inputs!$B$25)^4+O7/(1+Inputs!$B$25)^5</f>
        <v>469156028.125679</v>
      </c>
      <c r="AA7" s="9" t="n">
        <f aca="false">U7/(1+Inputs!$B$25)^1+V7/(1+Inputs!$B$25)^2+W7/(1+Inputs!$B$25)^3+X7/(1+Inputs!$B$25)^4+Y7/(1+Inputs!$B$25)^5</f>
        <v>72105243.8338766</v>
      </c>
      <c r="AB7" s="5" t="n">
        <f aca="false">(D7-AA7)/Z7-Inputs!$B$20</f>
        <v>0.104796384391358</v>
      </c>
      <c r="AC7" s="9" t="n">
        <f aca="false">AB7*D7</f>
        <v>13937919.1240506</v>
      </c>
      <c r="AD7" s="5" t="n">
        <f aca="false">(Inputs!$B$31-AC7)*(1-Inputs!$B$12)/G7</f>
        <v>0.104075045187317</v>
      </c>
      <c r="AE7" s="5" t="n">
        <f aca="false">(Inputs!$B$31-AC7)*(1-Inputs!$B$12)/I7</f>
        <v>0.127414819858596</v>
      </c>
      <c r="AF7" s="5" t="str">
        <f aca="false">IF(H7&gt;0,AC7/H7,"")</f>
        <v/>
      </c>
      <c r="AG7" s="5" t="n">
        <f aca="false">Inputs!$B$9*H7/(1-Inputs!$B$12)/D7</f>
        <v>-0.00318133375006946</v>
      </c>
    </row>
    <row r="8" customFormat="false" ht="15" hidden="false" customHeight="false" outlineLevel="0" collapsed="false">
      <c r="A8" s="5" t="n">
        <f aca="false">0.03+0.0025*3</f>
        <v>0.0375</v>
      </c>
      <c r="B8" s="4" t="str">
        <f aca="false">IF(A8&lt;Inputs!$B$13,"below KIRB",IF(E8&lt;=0.15,"floor binds",""))</f>
        <v>below KIRB</v>
      </c>
      <c r="C8" s="9" t="n">
        <f aca="false">A8*Inputs!$B$5</f>
        <v>150000000</v>
      </c>
      <c r="D8" s="9" t="n">
        <f aca="false">C8*(1-Inputs!$B$18)</f>
        <v>142500000</v>
      </c>
      <c r="E8" s="5" t="n">
        <f aca="false">MAX(0.15,12.5*IF((1)&lt;=(Inputs!$B$13),1,IF((A8)&gt;=(Inputs!$B$13),(EXP((-1/((Inputs!$B$28)*(Inputs!$B$13)))*((1)-(Inputs!$B$13)))-EXP((-1/((Inputs!$B$28)*(Inputs!$B$13)))*MAX((A8)-(Inputs!$B$13),0)))/((-1/((Inputs!$B$28)*(Inputs!$B$13)))*(((1)-(Inputs!$B$13))-MAX((A8)-(Inputs!$B$13),0))),((Inputs!$B$13)-(A8))/((1)-(A8))+(1-((Inputs!$B$13)-(A8))/((1)-(A8)))*(EXP((-1/((Inputs!$B$28)*(Inputs!$B$13)))*((1)-(Inputs!$B$13)))-EXP((-1/((Inputs!$B$28)*(Inputs!$B$13)))*MAX((Inputs!$B$13)-(Inputs!$B$13),0)))/((-1/((Inputs!$B$28)*(Inputs!$B$13)))*(((1)-(Inputs!$B$13))-MAX((Inputs!$B$13)-(Inputs!$B$13),0))))))</f>
        <v>0.758614337534161</v>
      </c>
      <c r="F8" s="5" t="n">
        <f aca="false">MAX(0.1,12.5*IF((1)&lt;=(Inputs!$B$13),1,IF((A8)&gt;=(Inputs!$B$13),(EXP((-1/((Inputs!$B$29)*(Inputs!$B$13)))*((1)-(Inputs!$B$13)))-EXP((-1/((Inputs!$B$29)*(Inputs!$B$13)))*MAX((A8)-(Inputs!$B$13),0)))/((-1/((Inputs!$B$29)*(Inputs!$B$13)))*(((1)-(Inputs!$B$13))-MAX((A8)-(Inputs!$B$13),0))),((Inputs!$B$13)-(A8))/((1)-(A8))+(1-((Inputs!$B$13)-(A8))/((1)-(A8)))*(EXP((-1/((Inputs!$B$29)*(Inputs!$B$13)))*((1)-(Inputs!$B$13)))-EXP((-1/((Inputs!$B$29)*(Inputs!$B$13)))*MAX((Inputs!$B$13)-(Inputs!$B$13),0)))/((-1/((Inputs!$B$29)*(Inputs!$B$13)))*(((1)-(Inputs!$B$13))-MAX((Inputs!$B$13)-(Inputs!$B$13),0))))))</f>
        <v>0.611237344710042</v>
      </c>
      <c r="G8" s="9" t="n">
        <f aca="false">E8*(1-A8)*Inputs!$B$5*Inputs!$B$8+A8*Inputs!$B$5*Inputs!$B$18</f>
        <v>401789801.93338</v>
      </c>
      <c r="H8" s="9" t="n">
        <f aca="false">Inputs!$B$30-G8</f>
        <v>13615538.7689616</v>
      </c>
      <c r="I8" s="9" t="n">
        <f aca="false">F8*(1-A8)*Inputs!$B$5*Inputs!$B$8+A8*Inputs!$B$5*Inputs!$B$18</f>
        <v>325190609.913044</v>
      </c>
      <c r="J8" s="9" t="n">
        <f aca="false">Inputs!$B$30-I8</f>
        <v>90214730.7892975</v>
      </c>
      <c r="K8" s="9" t="n">
        <f aca="false">D8</f>
        <v>142500000</v>
      </c>
      <c r="L8" s="9" t="n">
        <f aca="false">K8-P8-U8</f>
        <v>135574927.5</v>
      </c>
      <c r="M8" s="9" t="n">
        <f aca="false">L8-Q8-V8</f>
        <v>128649855</v>
      </c>
      <c r="N8" s="9" t="n">
        <f aca="false">M8-R8-W8</f>
        <v>112496485.236</v>
      </c>
      <c r="O8" s="9" t="n">
        <f aca="false">N8-S8-X8</f>
        <v>98104295.56224</v>
      </c>
      <c r="P8" s="9" t="n">
        <f aca="false">MIN(K8,Inputs!$C$35)</f>
        <v>6925072.5</v>
      </c>
      <c r="Q8" s="9" t="n">
        <f aca="false">MIN(L8,Inputs!$C$36)</f>
        <v>6925072.5</v>
      </c>
      <c r="R8" s="9" t="n">
        <f aca="false">MIN(M8,Inputs!$C$37)</f>
        <v>6371066.7</v>
      </c>
      <c r="S8" s="9" t="n">
        <f aca="false">MIN(N8,Inputs!$C$38)</f>
        <v>5861381.364</v>
      </c>
      <c r="T8" s="9" t="n">
        <f aca="false">MIN(O8,Inputs!$C$39)</f>
        <v>5392470.85488</v>
      </c>
      <c r="U8" s="9" t="n">
        <f aca="false">(K8-P8)*(1-Inputs!$B$35/Inputs!$B$34)</f>
        <v>0</v>
      </c>
      <c r="V8" s="9" t="n">
        <f aca="false">(L8-Q8)*(1-Inputs!$B$36/Inputs!$B$35)</f>
        <v>0</v>
      </c>
      <c r="W8" s="9" t="n">
        <f aca="false">(M8-R8)*(1-Inputs!$B$37/Inputs!$B$36)</f>
        <v>9782303.064</v>
      </c>
      <c r="X8" s="9" t="n">
        <f aca="false">(N8-S8)*(1-Inputs!$B$38/Inputs!$B$37)</f>
        <v>8530808.30976</v>
      </c>
      <c r="Y8" s="9" t="n">
        <f aca="false">O8-T8</f>
        <v>92711824.70736</v>
      </c>
      <c r="Z8" s="9" t="n">
        <f aca="false">K8/(1+Inputs!$B$25)^1+L8/(1+Inputs!$B$25)^2+M8/(1+Inputs!$B$25)^3+N8/(1+Inputs!$B$25)^4+O8/(1+Inputs!$B$25)^5</f>
        <v>506006427.935709</v>
      </c>
      <c r="AA8" s="9" t="n">
        <f aca="false">U8/(1+Inputs!$B$25)^1+V8/(1+Inputs!$B$25)^2+W8/(1+Inputs!$B$25)^3+X8/(1+Inputs!$B$25)^4+Y8/(1+Inputs!$B$25)^5</f>
        <v>78841463.8481244</v>
      </c>
      <c r="AB8" s="5" t="n">
        <f aca="false">(D8-AA8)/Z8-Inputs!$B$20</f>
        <v>0.100805785534337</v>
      </c>
      <c r="AC8" s="9" t="n">
        <f aca="false">AB8*D8</f>
        <v>14364824.438643</v>
      </c>
      <c r="AD8" s="5" t="n">
        <f aca="false">(Inputs!$B$31-AC8)*(1-Inputs!$B$12)/G8</f>
        <v>0.107519756507361</v>
      </c>
      <c r="AE8" s="5" t="n">
        <f aca="false">(Inputs!$B$31-AC8)*(1-Inputs!$B$12)/I8</f>
        <v>0.132846214970874</v>
      </c>
      <c r="AF8" s="5" t="n">
        <f aca="false">IF(H8&gt;0,AC8/H8,"")</f>
        <v>1.05503165775485</v>
      </c>
      <c r="AG8" s="5" t="n">
        <f aca="false">Inputs!$B$9*H8/(1-Inputs!$B$12)/D8</f>
        <v>0.0146506382075376</v>
      </c>
    </row>
    <row r="9" customFormat="false" ht="15" hidden="false" customHeight="false" outlineLevel="0" collapsed="false">
      <c r="A9" s="5" t="n">
        <f aca="false">0.03+0.0025*4</f>
        <v>0.04</v>
      </c>
      <c r="B9" s="4" t="str">
        <f aca="false">IF(A9&lt;Inputs!$B$13,"below KIRB",IF(E9&lt;=0.15,"floor binds",""))</f>
        <v>below KIRB</v>
      </c>
      <c r="C9" s="9" t="n">
        <f aca="false">A9*Inputs!$B$5</f>
        <v>160000000</v>
      </c>
      <c r="D9" s="9" t="n">
        <f aca="false">C9*(1-Inputs!$B$18)</f>
        <v>152000000</v>
      </c>
      <c r="E9" s="5" t="n">
        <f aca="false">MAX(0.15,12.5*IF((1)&lt;=(Inputs!$B$13),1,IF((A9)&gt;=(Inputs!$B$13),(EXP((-1/((Inputs!$B$28)*(Inputs!$B$13)))*((1)-(Inputs!$B$13)))-EXP((-1/((Inputs!$B$28)*(Inputs!$B$13)))*MAX((A9)-(Inputs!$B$13),0)))/((-1/((Inputs!$B$28)*(Inputs!$B$13)))*(((1)-(Inputs!$B$13))-MAX((A9)-(Inputs!$B$13),0))),((Inputs!$B$13)-(A9))/((1)-(A9))+(1-((Inputs!$B$13)-(A9))/((1)-(A9)))*(EXP((-1/((Inputs!$B$28)*(Inputs!$B$13)))*((1)-(Inputs!$B$13)))-EXP((-1/((Inputs!$B$28)*(Inputs!$B$13)))*MAX((Inputs!$B$13)-(Inputs!$B$13),0)))/((-1/((Inputs!$B$28)*(Inputs!$B$13)))*(((1)-(Inputs!$B$13))-MAX((Inputs!$B$13)-(Inputs!$B$13),0))))))</f>
        <v>0.728037812371489</v>
      </c>
      <c r="F9" s="5" t="n">
        <f aca="false">MAX(0.1,12.5*IF((1)&lt;=(Inputs!$B$13),1,IF((A9)&gt;=(Inputs!$B$13),(EXP((-1/((Inputs!$B$29)*(Inputs!$B$13)))*((1)-(Inputs!$B$13)))-EXP((-1/((Inputs!$B$29)*(Inputs!$B$13)))*MAX((A9)-(Inputs!$B$13),0)))/((-1/((Inputs!$B$29)*(Inputs!$B$13)))*(((1)-(Inputs!$B$13))-MAX((A9)-(Inputs!$B$13),0))),((Inputs!$B$13)-(A9))/((1)-(A9))+(1-((Inputs!$B$13)-(A9))/((1)-(A9)))*(EXP((-1/((Inputs!$B$29)*(Inputs!$B$13)))*((1)-(Inputs!$B$13)))-EXP((-1/((Inputs!$B$29)*(Inputs!$B$13)))*MAX((Inputs!$B$13)-(Inputs!$B$13),0)))/((-1/((Inputs!$B$29)*(Inputs!$B$13)))*(((1)-(Inputs!$B$13))-MAX((Inputs!$B$13)-(Inputs!$B$13),0))))))</f>
        <v>0.580277025295224</v>
      </c>
      <c r="G9" s="9" t="n">
        <f aca="false">E9*(1-A9)*Inputs!$B$5*Inputs!$B$8+A9*Inputs!$B$5*Inputs!$B$18</f>
        <v>385414801.93338</v>
      </c>
      <c r="H9" s="9" t="n">
        <f aca="false">Inputs!$B$30-G9</f>
        <v>29990538.7689616</v>
      </c>
      <c r="I9" s="9" t="n">
        <f aca="false">F9*(1-A9)*Inputs!$B$5*Inputs!$B$8+A9*Inputs!$B$5*Inputs!$B$18</f>
        <v>308815609.913044</v>
      </c>
      <c r="J9" s="9" t="n">
        <f aca="false">Inputs!$B$30-I9</f>
        <v>106589730.789298</v>
      </c>
      <c r="K9" s="9" t="n">
        <f aca="false">D9</f>
        <v>152000000</v>
      </c>
      <c r="L9" s="9" t="n">
        <f aca="false">K9-P9-U9</f>
        <v>145074927.5</v>
      </c>
      <c r="M9" s="9" t="n">
        <f aca="false">L9-Q9-V9</f>
        <v>138149855</v>
      </c>
      <c r="N9" s="9" t="n">
        <f aca="false">M9-R9-W9</f>
        <v>121236485.236</v>
      </c>
      <c r="O9" s="9" t="n">
        <f aca="false">N9-S9-X9</f>
        <v>106145095.56224</v>
      </c>
      <c r="P9" s="9" t="n">
        <f aca="false">MIN(K9,Inputs!$C$35)</f>
        <v>6925072.5</v>
      </c>
      <c r="Q9" s="9" t="n">
        <f aca="false">MIN(L9,Inputs!$C$36)</f>
        <v>6925072.5</v>
      </c>
      <c r="R9" s="9" t="n">
        <f aca="false">MIN(M9,Inputs!$C$37)</f>
        <v>6371066.7</v>
      </c>
      <c r="S9" s="9" t="n">
        <f aca="false">MIN(N9,Inputs!$C$38)</f>
        <v>5861381.364</v>
      </c>
      <c r="T9" s="9" t="n">
        <f aca="false">MIN(O9,Inputs!$C$39)</f>
        <v>5392470.85488</v>
      </c>
      <c r="U9" s="9" t="n">
        <f aca="false">(K9-P9)*(1-Inputs!$B$35/Inputs!$B$34)</f>
        <v>0</v>
      </c>
      <c r="V9" s="9" t="n">
        <f aca="false">(L9-Q9)*(1-Inputs!$B$36/Inputs!$B$35)</f>
        <v>0</v>
      </c>
      <c r="W9" s="9" t="n">
        <f aca="false">(M9-R9)*(1-Inputs!$B$37/Inputs!$B$36)</f>
        <v>10542303.064</v>
      </c>
      <c r="X9" s="9" t="n">
        <f aca="false">(N9-S9)*(1-Inputs!$B$38/Inputs!$B$37)</f>
        <v>9230008.30976</v>
      </c>
      <c r="Y9" s="9" t="n">
        <f aca="false">O9-T9</f>
        <v>100752624.70736</v>
      </c>
      <c r="Z9" s="9" t="n">
        <f aca="false">K9/(1+Inputs!$B$25)^1+L9/(1+Inputs!$B$25)^2+M9/(1+Inputs!$B$25)^3+N9/(1+Inputs!$B$25)^4+O9/(1+Inputs!$B$25)^5</f>
        <v>542856827.745739</v>
      </c>
      <c r="AA9" s="9" t="n">
        <f aca="false">U9/(1+Inputs!$B$25)^1+V9/(1+Inputs!$B$25)^2+W9/(1+Inputs!$B$25)^3+X9/(1+Inputs!$B$25)^4+Y9/(1+Inputs!$B$25)^5</f>
        <v>85577683.8623721</v>
      </c>
      <c r="AB9" s="5" t="n">
        <f aca="false">(D9-AA9)/Z9-Inputs!$B$20</f>
        <v>0.0973569691726131</v>
      </c>
      <c r="AC9" s="9" t="n">
        <f aca="false">AB9*D9</f>
        <v>14798259.3142372</v>
      </c>
      <c r="AD9" s="5" t="n">
        <f aca="false">(Inputs!$B$31-AC9)*(1-Inputs!$B$12)/G9</f>
        <v>0.111244470371258</v>
      </c>
      <c r="AE9" s="5" t="n">
        <f aca="false">(Inputs!$B$31-AC9)*(1-Inputs!$B$12)/I9</f>
        <v>0.138837753461993</v>
      </c>
      <c r="AF9" s="5" t="n">
        <f aca="false">IF(H9&gt;0,AC9/H9,"")</f>
        <v>0.493430925940968</v>
      </c>
      <c r="AG9" s="5" t="n">
        <f aca="false">Inputs!$B$9*H9/(1-Inputs!$B$12)/D9</f>
        <v>0.0302536136704437</v>
      </c>
    </row>
    <row r="10" customFormat="false" ht="15" hidden="false" customHeight="false" outlineLevel="0" collapsed="false">
      <c r="A10" s="5" t="n">
        <f aca="false">0.03+0.0025*5</f>
        <v>0.0425</v>
      </c>
      <c r="B10" s="4" t="str">
        <f aca="false">IF(A10&lt;Inputs!$B$13,"below KIRB",IF(E10&lt;=0.15,"floor binds",""))</f>
        <v>below KIRB</v>
      </c>
      <c r="C10" s="9" t="n">
        <f aca="false">A10*Inputs!$B$5</f>
        <v>170000000</v>
      </c>
      <c r="D10" s="9" t="n">
        <f aca="false">C10*(1-Inputs!$B$18)</f>
        <v>161500000</v>
      </c>
      <c r="E10" s="5" t="n">
        <f aca="false">MAX(0.15,12.5*IF((1)&lt;=(Inputs!$B$13),1,IF((A10)&gt;=(Inputs!$B$13),(EXP((-1/((Inputs!$B$28)*(Inputs!$B$13)))*((1)-(Inputs!$B$13)))-EXP((-1/((Inputs!$B$28)*(Inputs!$B$13)))*MAX((A10)-(Inputs!$B$13),0)))/((-1/((Inputs!$B$28)*(Inputs!$B$13)))*(((1)-(Inputs!$B$13))-MAX((A10)-(Inputs!$B$13),0))),((Inputs!$B$13)-(A10))/((1)-(A10))+(1-((Inputs!$B$13)-(A10))/((1)-(A10)))*(EXP((-1/((Inputs!$B$28)*(Inputs!$B$13)))*((1)-(Inputs!$B$13)))-EXP((-1/((Inputs!$B$28)*(Inputs!$B$13)))*MAX((Inputs!$B$13)-(Inputs!$B$13),0)))/((-1/((Inputs!$B$28)*(Inputs!$B$13)))*(((1)-(Inputs!$B$13))-MAX((Inputs!$B$13)-(Inputs!$B$13),0))))))</f>
        <v>0.697301618670109</v>
      </c>
      <c r="F10" s="5" t="n">
        <f aca="false">MAX(0.1,12.5*IF((1)&lt;=(Inputs!$B$13),1,IF((A10)&gt;=(Inputs!$B$13),(EXP((-1/((Inputs!$B$29)*(Inputs!$B$13)))*((1)-(Inputs!$B$13)))-EXP((-1/((Inputs!$B$29)*(Inputs!$B$13)))*MAX((A10)-(Inputs!$B$13),0)))/((-1/((Inputs!$B$29)*(Inputs!$B$13)))*(((1)-(Inputs!$B$13))-MAX((A10)-(Inputs!$B$13),0))),((Inputs!$B$13)-(A10))/((1)-(A10))+(1-((Inputs!$B$13)-(A10))/((1)-(A10)))*(EXP((-1/((Inputs!$B$29)*(Inputs!$B$13)))*((1)-(Inputs!$B$13)))-EXP((-1/((Inputs!$B$29)*(Inputs!$B$13)))*MAX((Inputs!$B$13)-(Inputs!$B$13),0)))/((-1/((Inputs!$B$29)*(Inputs!$B$13)))*(((1)-(Inputs!$B$13))-MAX((Inputs!$B$13)-(Inputs!$B$13),0))))))</f>
        <v>0.549155033194167</v>
      </c>
      <c r="G10" s="9" t="n">
        <f aca="false">E10*(1-A10)*Inputs!$B$5*Inputs!$B$8+A10*Inputs!$B$5*Inputs!$B$18</f>
        <v>369039801.93338</v>
      </c>
      <c r="H10" s="9" t="n">
        <f aca="false">Inputs!$B$30-G10</f>
        <v>46365538.7689616</v>
      </c>
      <c r="I10" s="9" t="n">
        <f aca="false">F10*(1-A10)*Inputs!$B$5*Inputs!$B$8+A10*Inputs!$B$5*Inputs!$B$18</f>
        <v>292440609.913044</v>
      </c>
      <c r="J10" s="9" t="n">
        <f aca="false">Inputs!$B$30-I10</f>
        <v>122964730.789297</v>
      </c>
      <c r="K10" s="9" t="n">
        <f aca="false">D10</f>
        <v>161500000</v>
      </c>
      <c r="L10" s="9" t="n">
        <f aca="false">K10-P10-U10</f>
        <v>154574927.5</v>
      </c>
      <c r="M10" s="9" t="n">
        <f aca="false">L10-Q10-V10</f>
        <v>147649855</v>
      </c>
      <c r="N10" s="9" t="n">
        <f aca="false">M10-R10-W10</f>
        <v>129976485.236</v>
      </c>
      <c r="O10" s="9" t="n">
        <f aca="false">N10-S10-X10</f>
        <v>114185895.56224</v>
      </c>
      <c r="P10" s="9" t="n">
        <f aca="false">MIN(K10,Inputs!$C$35)</f>
        <v>6925072.5</v>
      </c>
      <c r="Q10" s="9" t="n">
        <f aca="false">MIN(L10,Inputs!$C$36)</f>
        <v>6925072.5</v>
      </c>
      <c r="R10" s="9" t="n">
        <f aca="false">MIN(M10,Inputs!$C$37)</f>
        <v>6371066.7</v>
      </c>
      <c r="S10" s="9" t="n">
        <f aca="false">MIN(N10,Inputs!$C$38)</f>
        <v>5861381.364</v>
      </c>
      <c r="T10" s="9" t="n">
        <f aca="false">MIN(O10,Inputs!$C$39)</f>
        <v>5392470.85488</v>
      </c>
      <c r="U10" s="9" t="n">
        <f aca="false">(K10-P10)*(1-Inputs!$B$35/Inputs!$B$34)</f>
        <v>0</v>
      </c>
      <c r="V10" s="9" t="n">
        <f aca="false">(L10-Q10)*(1-Inputs!$B$36/Inputs!$B$35)</f>
        <v>0</v>
      </c>
      <c r="W10" s="9" t="n">
        <f aca="false">(M10-R10)*(1-Inputs!$B$37/Inputs!$B$36)</f>
        <v>11302303.064</v>
      </c>
      <c r="X10" s="9" t="n">
        <f aca="false">(N10-S10)*(1-Inputs!$B$38/Inputs!$B$37)</f>
        <v>9929208.30975999</v>
      </c>
      <c r="Y10" s="9" t="n">
        <f aca="false">O10-T10</f>
        <v>108793424.70736</v>
      </c>
      <c r="Z10" s="9" t="n">
        <f aca="false">K10/(1+Inputs!$B$25)^1+L10/(1+Inputs!$B$25)^2+M10/(1+Inputs!$B$25)^3+N10/(1+Inputs!$B$25)^4+O10/(1+Inputs!$B$25)^5</f>
        <v>579707227.555769</v>
      </c>
      <c r="AA10" s="9" t="n">
        <f aca="false">U10/(1+Inputs!$B$25)^1+V10/(1+Inputs!$B$25)^2+W10/(1+Inputs!$B$25)^3+X10/(1+Inputs!$B$25)^4+Y10/(1+Inputs!$B$25)^5</f>
        <v>92313903.8766199</v>
      </c>
      <c r="AB10" s="5" t="n">
        <f aca="false">(D10-AA10)/Z10-Inputs!$B$20</f>
        <v>0.0943466164206557</v>
      </c>
      <c r="AC10" s="9" t="n">
        <f aca="false">AB10*D10</f>
        <v>15236978.5519359</v>
      </c>
      <c r="AD10" s="5" t="n">
        <f aca="false">(Inputs!$B$31-AC10)*(1-Inputs!$B$12)/G10</f>
        <v>0.115288990139141</v>
      </c>
      <c r="AE10" s="5" t="n">
        <f aca="false">(Inputs!$B$31-AC10)*(1-Inputs!$B$12)/I10</f>
        <v>0.14548672326562</v>
      </c>
      <c r="AF10" s="5" t="n">
        <f aca="false">IF(H10&gt;0,AC10/H10,"")</f>
        <v>0.328627229543507</v>
      </c>
      <c r="AG10" s="5" t="n">
        <f aca="false">Inputs!$B$9*H10/(1-Inputs!$B$12)/D10</f>
        <v>0.0440209449612432</v>
      </c>
    </row>
    <row r="11" customFormat="false" ht="15" hidden="false" customHeight="false" outlineLevel="0" collapsed="false">
      <c r="A11" s="5" t="n">
        <f aca="false">0.03+0.0025*6</f>
        <v>0.045</v>
      </c>
      <c r="B11" s="4" t="str">
        <f aca="false">IF(A11&lt;Inputs!$B$13,"below KIRB",IF(E11&lt;=0.15,"floor binds",""))</f>
        <v>below KIRB</v>
      </c>
      <c r="C11" s="9" t="n">
        <f aca="false">A11*Inputs!$B$5</f>
        <v>180000000</v>
      </c>
      <c r="D11" s="9" t="n">
        <f aca="false">C11*(1-Inputs!$B$18)</f>
        <v>171000000</v>
      </c>
      <c r="E11" s="5" t="n">
        <f aca="false">MAX(0.15,12.5*IF((1)&lt;=(Inputs!$B$13),1,IF((A11)&gt;=(Inputs!$B$13),(EXP((-1/((Inputs!$B$28)*(Inputs!$B$13)))*((1)-(Inputs!$B$13)))-EXP((-1/((Inputs!$B$28)*(Inputs!$B$13)))*MAX((A11)-(Inputs!$B$13),0)))/((-1/((Inputs!$B$28)*(Inputs!$B$13)))*(((1)-(Inputs!$B$13))-MAX((A11)-(Inputs!$B$13),0))),((Inputs!$B$13)-(A11))/((1)-(A11))+(1-((Inputs!$B$13)-(A11))/((1)-(A11)))*(EXP((-1/((Inputs!$B$28)*(Inputs!$B$13)))*((1)-(Inputs!$B$13)))-EXP((-1/((Inputs!$B$28)*(Inputs!$B$13)))*MAX((Inputs!$B$13)-(Inputs!$B$13),0)))/((-1/((Inputs!$B$28)*(Inputs!$B$13)))*(((1)-(Inputs!$B$13))-MAX((Inputs!$B$13)-(Inputs!$B$13),0))))))</f>
        <v>0.666404502488618</v>
      </c>
      <c r="F11" s="5" t="n">
        <f aca="false">MAX(0.1,12.5*IF((1)&lt;=(Inputs!$B$13),1,IF((A11)&gt;=(Inputs!$B$13),(EXP((-1/((Inputs!$B$29)*(Inputs!$B$13)))*((1)-(Inputs!$B$13)))-EXP((-1/((Inputs!$B$29)*(Inputs!$B$13)))*MAX((A11)-(Inputs!$B$13),0)))/((-1/((Inputs!$B$29)*(Inputs!$B$13)))*(((1)-(Inputs!$B$13))-MAX((A11)-(Inputs!$B$13),0))),((Inputs!$B$13)-(A11))/((1)-(A11))+(1-((Inputs!$B$13)-(A11))/((1)-(A11)))*(EXP((-1/((Inputs!$B$29)*(Inputs!$B$13)))*((1)-(Inputs!$B$13)))-EXP((-1/((Inputs!$B$29)*(Inputs!$B$13)))*MAX((Inputs!$B$13)-(Inputs!$B$13),0)))/((-1/((Inputs!$B$29)*(Inputs!$B$13)))*(((1)-(Inputs!$B$13))-MAX((Inputs!$B$13)-(Inputs!$B$13),0))))))</f>
        <v>0.517870098726089</v>
      </c>
      <c r="G11" s="9" t="n">
        <f aca="false">E11*(1-A11)*Inputs!$B$5*Inputs!$B$8+A11*Inputs!$B$5*Inputs!$B$18</f>
        <v>352664801.93338</v>
      </c>
      <c r="H11" s="9" t="n">
        <f aca="false">Inputs!$B$30-G11</f>
        <v>62740538.7689616</v>
      </c>
      <c r="I11" s="9" t="n">
        <f aca="false">F11*(1-A11)*Inputs!$B$5*Inputs!$B$8+A11*Inputs!$B$5*Inputs!$B$18</f>
        <v>276065609.913044</v>
      </c>
      <c r="J11" s="9" t="n">
        <f aca="false">Inputs!$B$30-I11</f>
        <v>139339730.789298</v>
      </c>
      <c r="K11" s="9" t="n">
        <f aca="false">D11</f>
        <v>171000000</v>
      </c>
      <c r="L11" s="9" t="n">
        <f aca="false">K11-P11-U11</f>
        <v>164074927.5</v>
      </c>
      <c r="M11" s="9" t="n">
        <f aca="false">L11-Q11-V11</f>
        <v>157149855</v>
      </c>
      <c r="N11" s="9" t="n">
        <f aca="false">M11-R11-W11</f>
        <v>138716485.236</v>
      </c>
      <c r="O11" s="9" t="n">
        <f aca="false">N11-S11-X11</f>
        <v>122226695.56224</v>
      </c>
      <c r="P11" s="9" t="n">
        <f aca="false">MIN(K11,Inputs!$C$35)</f>
        <v>6925072.5</v>
      </c>
      <c r="Q11" s="9" t="n">
        <f aca="false">MIN(L11,Inputs!$C$36)</f>
        <v>6925072.5</v>
      </c>
      <c r="R11" s="9" t="n">
        <f aca="false">MIN(M11,Inputs!$C$37)</f>
        <v>6371066.7</v>
      </c>
      <c r="S11" s="9" t="n">
        <f aca="false">MIN(N11,Inputs!$C$38)</f>
        <v>5861381.364</v>
      </c>
      <c r="T11" s="9" t="n">
        <f aca="false">MIN(O11,Inputs!$C$39)</f>
        <v>5392470.85488</v>
      </c>
      <c r="U11" s="9" t="n">
        <f aca="false">(K11-P11)*(1-Inputs!$B$35/Inputs!$B$34)</f>
        <v>0</v>
      </c>
      <c r="V11" s="9" t="n">
        <f aca="false">(L11-Q11)*(1-Inputs!$B$36/Inputs!$B$35)</f>
        <v>0</v>
      </c>
      <c r="W11" s="9" t="n">
        <f aca="false">(M11-R11)*(1-Inputs!$B$37/Inputs!$B$36)</f>
        <v>12062303.064</v>
      </c>
      <c r="X11" s="9" t="n">
        <f aca="false">(N11-S11)*(1-Inputs!$B$38/Inputs!$B$37)</f>
        <v>10628408.30976</v>
      </c>
      <c r="Y11" s="9" t="n">
        <f aca="false">O11-T11</f>
        <v>116834224.70736</v>
      </c>
      <c r="Z11" s="9" t="n">
        <f aca="false">K11/(1+Inputs!$B$25)^1+L11/(1+Inputs!$B$25)^2+M11/(1+Inputs!$B$25)^3+N11/(1+Inputs!$B$25)^4+O11/(1+Inputs!$B$25)^5</f>
        <v>616557627.365799</v>
      </c>
      <c r="AA11" s="9" t="n">
        <f aca="false">U11/(1+Inputs!$B$25)^1+V11/(1+Inputs!$B$25)^2+W11/(1+Inputs!$B$25)^3+X11/(1+Inputs!$B$25)^4+Y11/(1+Inputs!$B$25)^5</f>
        <v>99050123.8908676</v>
      </c>
      <c r="AB11" s="5" t="n">
        <f aca="false">(D11-AA11)/Z11-Inputs!$B$20</f>
        <v>0.0916961090345008</v>
      </c>
      <c r="AC11" s="9" t="n">
        <f aca="false">AB11*D11</f>
        <v>15680034.6448996</v>
      </c>
      <c r="AD11" s="5" t="n">
        <f aca="false">(Inputs!$B$31-AC11)*(1-Inputs!$B$12)/G11</f>
        <v>0.119699878708904</v>
      </c>
      <c r="AE11" s="5" t="n">
        <f aca="false">(Inputs!$B$31-AC11)*(1-Inputs!$B$12)/I11</f>
        <v>0.152912686334317</v>
      </c>
      <c r="AF11" s="5" t="n">
        <f aca="false">IF(H11&gt;0,AC11/H11,"")</f>
        <v>0.249918712088853</v>
      </c>
      <c r="AG11" s="5" t="n">
        <f aca="false">Inputs!$B$9*H11/(1-Inputs!$B$12)/D11</f>
        <v>0.0562585727752872</v>
      </c>
    </row>
    <row r="12" customFormat="false" ht="15" hidden="false" customHeight="false" outlineLevel="0" collapsed="false">
      <c r="A12" s="5" t="n">
        <f aca="false">0.03+0.0025*7</f>
        <v>0.0475</v>
      </c>
      <c r="B12" s="4" t="str">
        <f aca="false">IF(A12&lt;Inputs!$B$13,"below KIRB",IF(E12&lt;=0.15,"floor binds",""))</f>
        <v>below KIRB</v>
      </c>
      <c r="C12" s="9" t="n">
        <f aca="false">A12*Inputs!$B$5</f>
        <v>190000000</v>
      </c>
      <c r="D12" s="9" t="n">
        <f aca="false">C12*(1-Inputs!$B$18)</f>
        <v>180500000</v>
      </c>
      <c r="E12" s="5" t="n">
        <f aca="false">MAX(0.15,12.5*IF((1)&lt;=(Inputs!$B$13),1,IF((A12)&gt;=(Inputs!$B$13),(EXP((-1/((Inputs!$B$28)*(Inputs!$B$13)))*((1)-(Inputs!$B$13)))-EXP((-1/((Inputs!$B$28)*(Inputs!$B$13)))*MAX((A12)-(Inputs!$B$13),0)))/((-1/((Inputs!$B$28)*(Inputs!$B$13)))*(((1)-(Inputs!$B$13))-MAX((A12)-(Inputs!$B$13),0))),((Inputs!$B$13)-(A12))/((1)-(A12))+(1-((Inputs!$B$13)-(A12))/((1)-(A12)))*(EXP((-1/((Inputs!$B$28)*(Inputs!$B$13)))*((1)-(Inputs!$B$13)))-EXP((-1/((Inputs!$B$28)*(Inputs!$B$13)))*MAX((Inputs!$B$13)-(Inputs!$B$13),0)))/((-1/((Inputs!$B$28)*(Inputs!$B$13)))*(((1)-(Inputs!$B$13))-MAX((Inputs!$B$13)-(Inputs!$B$13),0))))))</f>
        <v>0.635345196720871</v>
      </c>
      <c r="F12" s="5" t="n">
        <f aca="false">MAX(0.1,12.5*IF((1)&lt;=(Inputs!$B$13),1,IF((A12)&gt;=(Inputs!$B$13),(EXP((-1/((Inputs!$B$29)*(Inputs!$B$13)))*((1)-(Inputs!$B$13)))-EXP((-1/((Inputs!$B$29)*(Inputs!$B$13)))*MAX((A12)-(Inputs!$B$13),0)))/((-1/((Inputs!$B$29)*(Inputs!$B$13)))*(((1)-(Inputs!$B$13))-MAX((A12)-(Inputs!$B$13),0))),((Inputs!$B$13)-(A12))/((1)-(A12))+(1-((Inputs!$B$13)-(A12))/((1)-(A12)))*(EXP((-1/((Inputs!$B$29)*(Inputs!$B$13)))*((1)-(Inputs!$B$13)))-EXP((-1/((Inputs!$B$29)*(Inputs!$B$13)))*MAX((Inputs!$B$13)-(Inputs!$B$13),0)))/((-1/((Inputs!$B$29)*(Inputs!$B$13)))*(((1)-(Inputs!$B$13))-MAX((Inputs!$B$13)-(Inputs!$B$13),0))))))</f>
        <v>0.486420938880226</v>
      </c>
      <c r="G12" s="9" t="n">
        <f aca="false">E12*(1-A12)*Inputs!$B$5*Inputs!$B$8+A12*Inputs!$B$5*Inputs!$B$18</f>
        <v>336289801.93338</v>
      </c>
      <c r="H12" s="9" t="n">
        <f aca="false">Inputs!$B$30-G12</f>
        <v>79115538.7689616</v>
      </c>
      <c r="I12" s="9" t="n">
        <f aca="false">F12*(1-A12)*Inputs!$B$5*Inputs!$B$8+A12*Inputs!$B$5*Inputs!$B$18</f>
        <v>259690609.913044</v>
      </c>
      <c r="J12" s="9" t="n">
        <f aca="false">Inputs!$B$30-I12</f>
        <v>155714730.789298</v>
      </c>
      <c r="K12" s="9" t="n">
        <f aca="false">D12</f>
        <v>180500000</v>
      </c>
      <c r="L12" s="9" t="n">
        <f aca="false">K12-P12-U12</f>
        <v>173574927.5</v>
      </c>
      <c r="M12" s="9" t="n">
        <f aca="false">L12-Q12-V12</f>
        <v>166649855</v>
      </c>
      <c r="N12" s="9" t="n">
        <f aca="false">M12-R12-W12</f>
        <v>147456485.236</v>
      </c>
      <c r="O12" s="9" t="n">
        <f aca="false">N12-S12-X12</f>
        <v>130267495.56224</v>
      </c>
      <c r="P12" s="9" t="n">
        <f aca="false">MIN(K12,Inputs!$C$35)</f>
        <v>6925072.5</v>
      </c>
      <c r="Q12" s="9" t="n">
        <f aca="false">MIN(L12,Inputs!$C$36)</f>
        <v>6925072.5</v>
      </c>
      <c r="R12" s="9" t="n">
        <f aca="false">MIN(M12,Inputs!$C$37)</f>
        <v>6371066.7</v>
      </c>
      <c r="S12" s="9" t="n">
        <f aca="false">MIN(N12,Inputs!$C$38)</f>
        <v>5861381.364</v>
      </c>
      <c r="T12" s="9" t="n">
        <f aca="false">MIN(O12,Inputs!$C$39)</f>
        <v>5392470.85488</v>
      </c>
      <c r="U12" s="9" t="n">
        <f aca="false">(K12-P12)*(1-Inputs!$B$35/Inputs!$B$34)</f>
        <v>0</v>
      </c>
      <c r="V12" s="9" t="n">
        <f aca="false">(L12-Q12)*(1-Inputs!$B$36/Inputs!$B$35)</f>
        <v>0</v>
      </c>
      <c r="W12" s="9" t="n">
        <f aca="false">(M12-R12)*(1-Inputs!$B$37/Inputs!$B$36)</f>
        <v>12822303.064</v>
      </c>
      <c r="X12" s="9" t="n">
        <f aca="false">(N12-S12)*(1-Inputs!$B$38/Inputs!$B$37)</f>
        <v>11327608.30976</v>
      </c>
      <c r="Y12" s="9" t="n">
        <f aca="false">O12-T12</f>
        <v>124875024.70736</v>
      </c>
      <c r="Z12" s="9" t="n">
        <f aca="false">K12/(1+Inputs!$B$25)^1+L12/(1+Inputs!$B$25)^2+M12/(1+Inputs!$B$25)^3+N12/(1+Inputs!$B$25)^4+O12/(1+Inputs!$B$25)^5</f>
        <v>653408027.175829</v>
      </c>
      <c r="AA12" s="9" t="n">
        <f aca="false">U12/(1+Inputs!$B$25)^1+V12/(1+Inputs!$B$25)^2+W12/(1+Inputs!$B$25)^3+X12/(1+Inputs!$B$25)^4+Y12/(1+Inputs!$B$25)^5</f>
        <v>105786343.905115</v>
      </c>
      <c r="AB12" s="5" t="n">
        <f aca="false">(D12-AA12)/Z12-Inputs!$B$20</f>
        <v>0.089344564173497</v>
      </c>
      <c r="AC12" s="9" t="n">
        <f aca="false">AB12*D12</f>
        <v>16126693.8333162</v>
      </c>
      <c r="AD12" s="5" t="n">
        <f aca="false">(Inputs!$B$31-AC12)*(1-Inputs!$B$12)/G12</f>
        <v>0.124532291446974</v>
      </c>
      <c r="AE12" s="5" t="n">
        <f aca="false">(Inputs!$B$31-AC12)*(1-Inputs!$B$12)/I12</f>
        <v>0.161264743607925</v>
      </c>
      <c r="AF12" s="5" t="n">
        <f aca="false">IF(H12&gt;0,AC12/H12,"")</f>
        <v>0.203837249726763</v>
      </c>
      <c r="AG12" s="5" t="n">
        <f aca="false">Inputs!$B$9*H12/(1-Inputs!$B$12)/D12</f>
        <v>0.0672080292404845</v>
      </c>
    </row>
    <row r="13" customFormat="false" ht="15" hidden="false" customHeight="false" outlineLevel="0" collapsed="false">
      <c r="A13" s="5" t="n">
        <f aca="false">0.03+0.0025*8</f>
        <v>0.05</v>
      </c>
      <c r="B13" s="4" t="str">
        <f aca="false">IF(A13&lt;Inputs!$B$13,"below KIRB",IF(E13&lt;=0.15,"floor binds",""))</f>
        <v>below KIRB</v>
      </c>
      <c r="C13" s="9" t="n">
        <f aca="false">A13*Inputs!$B$5</f>
        <v>200000000</v>
      </c>
      <c r="D13" s="9" t="n">
        <f aca="false">C13*(1-Inputs!$B$18)</f>
        <v>190000000</v>
      </c>
      <c r="E13" s="5" t="n">
        <f aca="false">MAX(0.15,12.5*IF((1)&lt;=(Inputs!$B$13),1,IF((A13)&gt;=(Inputs!$B$13),(EXP((-1/((Inputs!$B$28)*(Inputs!$B$13)))*((1)-(Inputs!$B$13)))-EXP((-1/((Inputs!$B$28)*(Inputs!$B$13)))*MAX((A13)-(Inputs!$B$13),0)))/((-1/((Inputs!$B$28)*(Inputs!$B$13)))*(((1)-(Inputs!$B$13))-MAX((A13)-(Inputs!$B$13),0))),((Inputs!$B$13)-(A13))/((1)-(A13))+(1-((Inputs!$B$13)-(A13))/((1)-(A13)))*(EXP((-1/((Inputs!$B$28)*(Inputs!$B$13)))*((1)-(Inputs!$B$13)))-EXP((-1/((Inputs!$B$28)*(Inputs!$B$13)))*MAX((Inputs!$B$13)-(Inputs!$B$13),0)))/((-1/((Inputs!$B$28)*(Inputs!$B$13)))*(((1)-(Inputs!$B$13))-MAX((Inputs!$B$13)-(Inputs!$B$13),0))))))</f>
        <v>0.604122420922768</v>
      </c>
      <c r="F13" s="5" t="n">
        <f aca="false">MAX(0.1,12.5*IF((1)&lt;=(Inputs!$B$13),1,IF((A13)&gt;=(Inputs!$B$13),(EXP((-1/((Inputs!$B$29)*(Inputs!$B$13)))*((1)-(Inputs!$B$13)))-EXP((-1/((Inputs!$B$29)*(Inputs!$B$13)))*MAX((A13)-(Inputs!$B$13),0)))/((-1/((Inputs!$B$29)*(Inputs!$B$13)))*(((1)-(Inputs!$B$13))-MAX((A13)-(Inputs!$B$13),0))),((Inputs!$B$13)-(A13))/((1)-(A13))+(1-((Inputs!$B$13)-(A13))/((1)-(A13)))*(EXP((-1/((Inputs!$B$29)*(Inputs!$B$13)))*((1)-(Inputs!$B$13)))-EXP((-1/((Inputs!$B$29)*(Inputs!$B$13)))*MAX((Inputs!$B$13)-(Inputs!$B$13),0)))/((-1/((Inputs!$B$29)*(Inputs!$B$13)))*(((1)-(Inputs!$B$13))-MAX((Inputs!$B$13)-(Inputs!$B$13),0))))))</f>
        <v>0.454806257140437</v>
      </c>
      <c r="G13" s="9" t="n">
        <f aca="false">E13*(1-A13)*Inputs!$B$5*Inputs!$B$8+A13*Inputs!$B$5*Inputs!$B$18</f>
        <v>319914801.93338</v>
      </c>
      <c r="H13" s="9" t="n">
        <f aca="false">Inputs!$B$30-G13</f>
        <v>95490538.7689616</v>
      </c>
      <c r="I13" s="9" t="n">
        <f aca="false">F13*(1-A13)*Inputs!$B$5*Inputs!$B$8+A13*Inputs!$B$5*Inputs!$B$18</f>
        <v>243315609.913044</v>
      </c>
      <c r="J13" s="9" t="n">
        <f aca="false">Inputs!$B$30-I13</f>
        <v>172089730.789298</v>
      </c>
      <c r="K13" s="9" t="n">
        <f aca="false">D13</f>
        <v>190000000</v>
      </c>
      <c r="L13" s="9" t="n">
        <f aca="false">K13-P13-U13</f>
        <v>183074927.5</v>
      </c>
      <c r="M13" s="9" t="n">
        <f aca="false">L13-Q13-V13</f>
        <v>176149855</v>
      </c>
      <c r="N13" s="9" t="n">
        <f aca="false">M13-R13-W13</f>
        <v>156196485.236</v>
      </c>
      <c r="O13" s="9" t="n">
        <f aca="false">N13-S13-X13</f>
        <v>138308295.56224</v>
      </c>
      <c r="P13" s="9" t="n">
        <f aca="false">MIN(K13,Inputs!$C$35)</f>
        <v>6925072.5</v>
      </c>
      <c r="Q13" s="9" t="n">
        <f aca="false">MIN(L13,Inputs!$C$36)</f>
        <v>6925072.5</v>
      </c>
      <c r="R13" s="9" t="n">
        <f aca="false">MIN(M13,Inputs!$C$37)</f>
        <v>6371066.7</v>
      </c>
      <c r="S13" s="9" t="n">
        <f aca="false">MIN(N13,Inputs!$C$38)</f>
        <v>5861381.364</v>
      </c>
      <c r="T13" s="9" t="n">
        <f aca="false">MIN(O13,Inputs!$C$39)</f>
        <v>5392470.85488</v>
      </c>
      <c r="U13" s="9" t="n">
        <f aca="false">(K13-P13)*(1-Inputs!$B$35/Inputs!$B$34)</f>
        <v>0</v>
      </c>
      <c r="V13" s="9" t="n">
        <f aca="false">(L13-Q13)*(1-Inputs!$B$36/Inputs!$B$35)</f>
        <v>0</v>
      </c>
      <c r="W13" s="9" t="n">
        <f aca="false">(M13-R13)*(1-Inputs!$B$37/Inputs!$B$36)</f>
        <v>13582303.064</v>
      </c>
      <c r="X13" s="9" t="n">
        <f aca="false">(N13-S13)*(1-Inputs!$B$38/Inputs!$B$37)</f>
        <v>12026808.30976</v>
      </c>
      <c r="Y13" s="9" t="n">
        <f aca="false">O13-T13</f>
        <v>132915824.70736</v>
      </c>
      <c r="Z13" s="9" t="n">
        <f aca="false">K13/(1+Inputs!$B$25)^1+L13/(1+Inputs!$B$25)^2+M13/(1+Inputs!$B$25)^3+N13/(1+Inputs!$B$25)^4+O13/(1+Inputs!$B$25)^5</f>
        <v>690258426.985859</v>
      </c>
      <c r="AA13" s="9" t="n">
        <f aca="false">U13/(1+Inputs!$B$25)^1+V13/(1+Inputs!$B$25)^2+W13/(1+Inputs!$B$25)^3+X13/(1+Inputs!$B$25)^4+Y13/(1+Inputs!$B$25)^5</f>
        <v>112522563.919363</v>
      </c>
      <c r="AB13" s="5" t="n">
        <f aca="false">(D13-AA13)/Z13-Inputs!$B$20</f>
        <v>0.0872441002552572</v>
      </c>
      <c r="AC13" s="9" t="n">
        <f aca="false">AB13*D13</f>
        <v>16576379.0484989</v>
      </c>
      <c r="AD13" s="5" t="n">
        <f aca="false">(Inputs!$B$31-AC13)*(1-Inputs!$B$12)/G13</f>
        <v>0.129852308997808</v>
      </c>
      <c r="AE13" s="5" t="n">
        <f aca="false">(Inputs!$B$31-AC13)*(1-Inputs!$B$12)/I13</f>
        <v>0.170731650667509</v>
      </c>
      <c r="AF13" s="5" t="n">
        <f aca="false">IF(H13&gt;0,AC13/H13,"")</f>
        <v>0.173591847550523</v>
      </c>
      <c r="AG13" s="5" t="n">
        <f aca="false">Inputs!$B$9*H13/(1-Inputs!$B$12)/D13</f>
        <v>0.077062540059162</v>
      </c>
    </row>
    <row r="14" customFormat="false" ht="15" hidden="false" customHeight="false" outlineLevel="0" collapsed="false">
      <c r="A14" s="5" t="n">
        <f aca="false">0.03+0.0025*9</f>
        <v>0.0525</v>
      </c>
      <c r="B14" s="4" t="str">
        <f aca="false">IF(A14&lt;Inputs!$B$13,"below KIRB",IF(E14&lt;=0.15,"floor binds",""))</f>
        <v>below KIRB</v>
      </c>
      <c r="C14" s="9" t="n">
        <f aca="false">A14*Inputs!$B$5</f>
        <v>210000000</v>
      </c>
      <c r="D14" s="9" t="n">
        <f aca="false">C14*(1-Inputs!$B$18)</f>
        <v>199500000</v>
      </c>
      <c r="E14" s="5" t="n">
        <f aca="false">MAX(0.15,12.5*IF((1)&lt;=(Inputs!$B$13),1,IF((A14)&gt;=(Inputs!$B$13),(EXP((-1/((Inputs!$B$28)*(Inputs!$B$13)))*((1)-(Inputs!$B$13)))-EXP((-1/((Inputs!$B$28)*(Inputs!$B$13)))*MAX((A14)-(Inputs!$B$13),0)))/((-1/((Inputs!$B$28)*(Inputs!$B$13)))*(((1)-(Inputs!$B$13))-MAX((A14)-(Inputs!$B$13),0))),((Inputs!$B$13)-(A14))/((1)-(A14))+(1-((Inputs!$B$13)-(A14))/((1)-(A14)))*(EXP((-1/((Inputs!$B$28)*(Inputs!$B$13)))*((1)-(Inputs!$B$13)))-EXP((-1/((Inputs!$B$28)*(Inputs!$B$13)))*MAX((Inputs!$B$13)-(Inputs!$B$13),0)))/((-1/((Inputs!$B$28)*(Inputs!$B$13)))*(((1)-(Inputs!$B$13))-MAX((Inputs!$B$13)-(Inputs!$B$13),0))))))</f>
        <v>0.572734881136285</v>
      </c>
      <c r="F14" s="5" t="n">
        <f aca="false">MAX(0.1,12.5*IF((1)&lt;=(Inputs!$B$13),1,IF((A14)&gt;=(Inputs!$B$13),(EXP((-1/((Inputs!$B$29)*(Inputs!$B$13)))*((1)-(Inputs!$B$13)))-EXP((-1/((Inputs!$B$29)*(Inputs!$B$13)))*MAX((A14)-(Inputs!$B$13),0)))/((-1/((Inputs!$B$29)*(Inputs!$B$13)))*(((1)-(Inputs!$B$13))-MAX((A14)-(Inputs!$B$13),0))),((Inputs!$B$13)-(A14))/((1)-(A14))+(1-((Inputs!$B$13)-(A14))/((1)-(A14)))*(EXP((-1/((Inputs!$B$29)*(Inputs!$B$13)))*((1)-(Inputs!$B$13)))-EXP((-1/((Inputs!$B$29)*(Inputs!$B$13)))*MAX((Inputs!$B$13)-(Inputs!$B$13),0)))/((-1/((Inputs!$B$29)*(Inputs!$B$13)))*(((1)-(Inputs!$B$13))-MAX((Inputs!$B$13)-(Inputs!$B$13),0))))))</f>
        <v>0.423024743307034</v>
      </c>
      <c r="G14" s="9" t="n">
        <f aca="false">E14*(1-A14)*Inputs!$B$5*Inputs!$B$8+A14*Inputs!$B$5*Inputs!$B$18</f>
        <v>303539801.93338</v>
      </c>
      <c r="H14" s="9" t="n">
        <f aca="false">Inputs!$B$30-G14</f>
        <v>111865538.768962</v>
      </c>
      <c r="I14" s="9" t="n">
        <f aca="false">F14*(1-A14)*Inputs!$B$5*Inputs!$B$8+A14*Inputs!$B$5*Inputs!$B$18</f>
        <v>226940609.913044</v>
      </c>
      <c r="J14" s="9" t="n">
        <f aca="false">Inputs!$B$30-I14</f>
        <v>188464730.789297</v>
      </c>
      <c r="K14" s="9" t="n">
        <f aca="false">D14</f>
        <v>199500000</v>
      </c>
      <c r="L14" s="9" t="n">
        <f aca="false">K14-P14-U14</f>
        <v>192574927.5</v>
      </c>
      <c r="M14" s="9" t="n">
        <f aca="false">L14-Q14-V14</f>
        <v>185649855</v>
      </c>
      <c r="N14" s="9" t="n">
        <f aca="false">M14-R14-W14</f>
        <v>164936485.236</v>
      </c>
      <c r="O14" s="9" t="n">
        <f aca="false">N14-S14-X14</f>
        <v>146349095.56224</v>
      </c>
      <c r="P14" s="9" t="n">
        <f aca="false">MIN(K14,Inputs!$C$35)</f>
        <v>6925072.5</v>
      </c>
      <c r="Q14" s="9" t="n">
        <f aca="false">MIN(L14,Inputs!$C$36)</f>
        <v>6925072.5</v>
      </c>
      <c r="R14" s="9" t="n">
        <f aca="false">MIN(M14,Inputs!$C$37)</f>
        <v>6371066.7</v>
      </c>
      <c r="S14" s="9" t="n">
        <f aca="false">MIN(N14,Inputs!$C$38)</f>
        <v>5861381.364</v>
      </c>
      <c r="T14" s="9" t="n">
        <f aca="false">MIN(O14,Inputs!$C$39)</f>
        <v>5392470.85488</v>
      </c>
      <c r="U14" s="9" t="n">
        <f aca="false">(K14-P14)*(1-Inputs!$B$35/Inputs!$B$34)</f>
        <v>0</v>
      </c>
      <c r="V14" s="9" t="n">
        <f aca="false">(L14-Q14)*(1-Inputs!$B$36/Inputs!$B$35)</f>
        <v>0</v>
      </c>
      <c r="W14" s="9" t="n">
        <f aca="false">(M14-R14)*(1-Inputs!$B$37/Inputs!$B$36)</f>
        <v>14342303.064</v>
      </c>
      <c r="X14" s="9" t="n">
        <f aca="false">(N14-S14)*(1-Inputs!$B$38/Inputs!$B$37)</f>
        <v>12726008.30976</v>
      </c>
      <c r="Y14" s="9" t="n">
        <f aca="false">O14-T14</f>
        <v>140956624.70736</v>
      </c>
      <c r="Z14" s="9" t="n">
        <f aca="false">K14/(1+Inputs!$B$25)^1+L14/(1+Inputs!$B$25)^2+M14/(1+Inputs!$B$25)^3+N14/(1+Inputs!$B$25)^4+O14/(1+Inputs!$B$25)^5</f>
        <v>727108826.795889</v>
      </c>
      <c r="AA14" s="9" t="n">
        <f aca="false">U14/(1+Inputs!$B$25)^1+V14/(1+Inputs!$B$25)^2+W14/(1+Inputs!$B$25)^3+X14/(1+Inputs!$B$25)^4+Y14/(1+Inputs!$B$25)^5</f>
        <v>119258783.933611</v>
      </c>
      <c r="AB14" s="5" t="n">
        <f aca="false">(D14-AA14)/Z14-Inputs!$B$20</f>
        <v>0.085356542389925</v>
      </c>
      <c r="AC14" s="9" t="n">
        <f aca="false">AB14*D14</f>
        <v>17028630.20679</v>
      </c>
      <c r="AD14" s="5" t="n">
        <f aca="false">(Inputs!$B$31-AC14)*(1-Inputs!$B$12)/G14</f>
        <v>0.135739982310295</v>
      </c>
      <c r="AE14" s="5" t="n">
        <f aca="false">(Inputs!$B$31-AC14)*(1-Inputs!$B$12)/I14</f>
        <v>0.181556255448044</v>
      </c>
      <c r="AF14" s="5" t="n">
        <f aca="false">IF(H14&gt;0,AC14/H14,"")</f>
        <v>0.152224093265752</v>
      </c>
      <c r="AG14" s="5" t="n">
        <f aca="false">Inputs!$B$9*H14/(1-Inputs!$B$12)/D14</f>
        <v>0.0859785260379655</v>
      </c>
    </row>
    <row r="15" customFormat="false" ht="15" hidden="false" customHeight="false" outlineLevel="0" collapsed="false">
      <c r="A15" s="5" t="n">
        <f aca="false">0.03+0.0025*10</f>
        <v>0.055</v>
      </c>
      <c r="B15" s="4" t="str">
        <f aca="false">IF(A15&lt;Inputs!$B$13,"below KIRB",IF(E15&lt;=0.15,"floor binds",""))</f>
        <v>below KIRB</v>
      </c>
      <c r="C15" s="9" t="n">
        <f aca="false">A15*Inputs!$B$5</f>
        <v>220000000</v>
      </c>
      <c r="D15" s="9" t="n">
        <f aca="false">C15*(1-Inputs!$B$18)</f>
        <v>209000000</v>
      </c>
      <c r="E15" s="5" t="n">
        <f aca="false">MAX(0.15,12.5*IF((1)&lt;=(Inputs!$B$13),1,IF((A15)&gt;=(Inputs!$B$13),(EXP((-1/((Inputs!$B$28)*(Inputs!$B$13)))*((1)-(Inputs!$B$13)))-EXP((-1/((Inputs!$B$28)*(Inputs!$B$13)))*MAX((A15)-(Inputs!$B$13),0)))/((-1/((Inputs!$B$28)*(Inputs!$B$13)))*(((1)-(Inputs!$B$13))-MAX((A15)-(Inputs!$B$13),0))),((Inputs!$B$13)-(A15))/((1)-(A15))+(1-((Inputs!$B$13)-(A15))/((1)-(A15)))*(EXP((-1/((Inputs!$B$28)*(Inputs!$B$13)))*((1)-(Inputs!$B$13)))-EXP((-1/((Inputs!$B$28)*(Inputs!$B$13)))*MAX((Inputs!$B$13)-(Inputs!$B$13),0)))/((-1/((Inputs!$B$28)*(Inputs!$B$13)))*(((1)-(Inputs!$B$13))-MAX((Inputs!$B$13)-(Inputs!$B$13),0))))))</f>
        <v>0.541181269710719</v>
      </c>
      <c r="F15" s="5" t="n">
        <f aca="false">MAX(0.1,12.5*IF((1)&lt;=(Inputs!$B$13),1,IF((A15)&gt;=(Inputs!$B$13),(EXP((-1/((Inputs!$B$29)*(Inputs!$B$13)))*((1)-(Inputs!$B$13)))-EXP((-1/((Inputs!$B$29)*(Inputs!$B$13)))*MAX((A15)-(Inputs!$B$13),0)))/((-1/((Inputs!$B$29)*(Inputs!$B$13)))*(((1)-(Inputs!$B$13))-MAX((A15)-(Inputs!$B$13),0))),((Inputs!$B$13)-(A15))/((1)-(A15))+(1-((Inputs!$B$13)-(A15))/((1)-(A15)))*(EXP((-1/((Inputs!$B$29)*(Inputs!$B$13)))*((1)-(Inputs!$B$13)))-EXP((-1/((Inputs!$B$29)*(Inputs!$B$13)))*MAX((Inputs!$B$13)-(Inputs!$B$13),0)))/((-1/((Inputs!$B$29)*(Inputs!$B$13)))*(((1)-(Inputs!$B$13))-MAX((Inputs!$B$13)-(Inputs!$B$13),0))))))</f>
        <v>0.391075073315783</v>
      </c>
      <c r="G15" s="9" t="n">
        <f aca="false">E15*(1-A15)*Inputs!$B$5*Inputs!$B$8+A15*Inputs!$B$5*Inputs!$B$18</f>
        <v>287164801.93338</v>
      </c>
      <c r="H15" s="9" t="n">
        <f aca="false">Inputs!$B$30-G15</f>
        <v>128240538.768962</v>
      </c>
      <c r="I15" s="9" t="n">
        <f aca="false">F15*(1-A15)*Inputs!$B$5*Inputs!$B$8+A15*Inputs!$B$5*Inputs!$B$18</f>
        <v>210565609.913044</v>
      </c>
      <c r="J15" s="9" t="n">
        <f aca="false">Inputs!$B$30-I15</f>
        <v>204839730.789298</v>
      </c>
      <c r="K15" s="9" t="n">
        <f aca="false">D15</f>
        <v>209000000</v>
      </c>
      <c r="L15" s="9" t="n">
        <f aca="false">K15-P15-U15</f>
        <v>202074927.5</v>
      </c>
      <c r="M15" s="9" t="n">
        <f aca="false">L15-Q15-V15</f>
        <v>195149855</v>
      </c>
      <c r="N15" s="9" t="n">
        <f aca="false">M15-R15-W15</f>
        <v>173676485.236</v>
      </c>
      <c r="O15" s="9" t="n">
        <f aca="false">N15-S15-X15</f>
        <v>154389895.56224</v>
      </c>
      <c r="P15" s="9" t="n">
        <f aca="false">MIN(K15,Inputs!$C$35)</f>
        <v>6925072.5</v>
      </c>
      <c r="Q15" s="9" t="n">
        <f aca="false">MIN(L15,Inputs!$C$36)</f>
        <v>6925072.5</v>
      </c>
      <c r="R15" s="9" t="n">
        <f aca="false">MIN(M15,Inputs!$C$37)</f>
        <v>6371066.7</v>
      </c>
      <c r="S15" s="9" t="n">
        <f aca="false">MIN(N15,Inputs!$C$38)</f>
        <v>5861381.364</v>
      </c>
      <c r="T15" s="9" t="n">
        <f aca="false">MIN(O15,Inputs!$C$39)</f>
        <v>5392470.85488</v>
      </c>
      <c r="U15" s="9" t="n">
        <f aca="false">(K15-P15)*(1-Inputs!$B$35/Inputs!$B$34)</f>
        <v>0</v>
      </c>
      <c r="V15" s="9" t="n">
        <f aca="false">(L15-Q15)*(1-Inputs!$B$36/Inputs!$B$35)</f>
        <v>0</v>
      </c>
      <c r="W15" s="9" t="n">
        <f aca="false">(M15-R15)*(1-Inputs!$B$37/Inputs!$B$36)</f>
        <v>15102303.064</v>
      </c>
      <c r="X15" s="9" t="n">
        <f aca="false">(N15-S15)*(1-Inputs!$B$38/Inputs!$B$37)</f>
        <v>13425208.30976</v>
      </c>
      <c r="Y15" s="9" t="n">
        <f aca="false">O15-T15</f>
        <v>148997424.70736</v>
      </c>
      <c r="Z15" s="9" t="n">
        <f aca="false">K15/(1+Inputs!$B$25)^1+L15/(1+Inputs!$B$25)^2+M15/(1+Inputs!$B$25)^3+N15/(1+Inputs!$B$25)^4+O15/(1+Inputs!$B$25)^5</f>
        <v>763959226.605919</v>
      </c>
      <c r="AA15" s="9" t="n">
        <f aca="false">U15/(1+Inputs!$B$25)^1+V15/(1+Inputs!$B$25)^2+W15/(1+Inputs!$B$25)^3+X15/(1+Inputs!$B$25)^4+Y15/(1+Inputs!$B$25)^5</f>
        <v>125995003.947859</v>
      </c>
      <c r="AB15" s="5" t="n">
        <f aca="false">(D15-AA15)/Z15-Inputs!$B$20</f>
        <v>0.0836510813160958</v>
      </c>
      <c r="AC15" s="9" t="n">
        <f aca="false">AB15*D15</f>
        <v>17483075.995064</v>
      </c>
      <c r="AD15" s="5" t="n">
        <f aca="false">(Inputs!$B$31-AC15)*(1-Inputs!$B$12)/G15</f>
        <v>0.142293389470418</v>
      </c>
      <c r="AE15" s="5" t="n">
        <f aca="false">(Inputs!$B$31-AC15)*(1-Inputs!$B$12)/I15</f>
        <v>0.194056631662579</v>
      </c>
      <c r="AF15" s="5" t="n">
        <f aca="false">IF(H15&gt;0,AC15/H15,"")</f>
        <v>0.136330337995239</v>
      </c>
      <c r="AG15" s="5" t="n">
        <f aca="false">Inputs!$B$9*H15/(1-Inputs!$B$12)/D15</f>
        <v>0.0940839678368777</v>
      </c>
    </row>
    <row r="16" customFormat="false" ht="15" hidden="false" customHeight="false" outlineLevel="0" collapsed="false">
      <c r="A16" s="5" t="n">
        <f aca="false">0.03+0.0025*11</f>
        <v>0.0575</v>
      </c>
      <c r="B16" s="4" t="str">
        <f aca="false">IF(A16&lt;Inputs!$B$13,"below KIRB",IF(E16&lt;=0.15,"floor binds",""))</f>
        <v>below KIRB</v>
      </c>
      <c r="C16" s="9" t="n">
        <f aca="false">A16*Inputs!$B$5</f>
        <v>230000000</v>
      </c>
      <c r="D16" s="9" t="n">
        <f aca="false">C16*(1-Inputs!$B$18)</f>
        <v>218500000</v>
      </c>
      <c r="E16" s="5" t="n">
        <f aca="false">MAX(0.15,12.5*IF((1)&lt;=(Inputs!$B$13),1,IF((A16)&gt;=(Inputs!$B$13),(EXP((-1/((Inputs!$B$28)*(Inputs!$B$13)))*((1)-(Inputs!$B$13)))-EXP((-1/((Inputs!$B$28)*(Inputs!$B$13)))*MAX((A16)-(Inputs!$B$13),0)))/((-1/((Inputs!$B$28)*(Inputs!$B$13)))*(((1)-(Inputs!$B$13))-MAX((A16)-(Inputs!$B$13),0))),((Inputs!$B$13)-(A16))/((1)-(A16))+(1-((Inputs!$B$13)-(A16))/((1)-(A16)))*(EXP((-1/((Inputs!$B$28)*(Inputs!$B$13)))*((1)-(Inputs!$B$13)))-EXP((-1/((Inputs!$B$28)*(Inputs!$B$13)))*MAX((Inputs!$B$13)-(Inputs!$B$13),0)))/((-1/((Inputs!$B$28)*(Inputs!$B$13)))*(((1)-(Inputs!$B$13))-MAX((Inputs!$B$13)-(Inputs!$B$13),0))))))</f>
        <v>0.509460265121093</v>
      </c>
      <c r="F16" s="5" t="n">
        <f aca="false">MAX(0.1,12.5*IF((1)&lt;=(Inputs!$B$13),1,IF((A16)&gt;=(Inputs!$B$13),(EXP((-1/((Inputs!$B$29)*(Inputs!$B$13)))*((1)-(Inputs!$B$13)))-EXP((-1/((Inputs!$B$29)*(Inputs!$B$13)))*MAX((A16)-(Inputs!$B$13),0)))/((-1/((Inputs!$B$29)*(Inputs!$B$13)))*(((1)-(Inputs!$B$13))-MAX((A16)-(Inputs!$B$13),0))),((Inputs!$B$13)-(A16))/((1)-(A16))+(1-((Inputs!$B$13)-(A16))/((1)-(A16)))*(EXP((-1/((Inputs!$B$29)*(Inputs!$B$13)))*((1)-(Inputs!$B$13)))-EXP((-1/((Inputs!$B$29)*(Inputs!$B$13)))*MAX((Inputs!$B$13)-(Inputs!$B$13),0)))/((-1/((Inputs!$B$29)*(Inputs!$B$13)))*(((1)-(Inputs!$B$13))-MAX((Inputs!$B$13)-(Inputs!$B$13),0))))))</f>
        <v>0.358955909054021</v>
      </c>
      <c r="G16" s="9" t="n">
        <f aca="false">E16*(1-A16)*Inputs!$B$5*Inputs!$B$8+A16*Inputs!$B$5*Inputs!$B$18</f>
        <v>270789801.93338</v>
      </c>
      <c r="H16" s="9" t="n">
        <f aca="false">Inputs!$B$30-G16</f>
        <v>144615538.768962</v>
      </c>
      <c r="I16" s="9" t="n">
        <f aca="false">F16*(1-A16)*Inputs!$B$5*Inputs!$B$8+A16*Inputs!$B$5*Inputs!$B$18</f>
        <v>194190609.913044</v>
      </c>
      <c r="J16" s="9" t="n">
        <f aca="false">Inputs!$B$30-I16</f>
        <v>221214730.789297</v>
      </c>
      <c r="K16" s="9" t="n">
        <f aca="false">D16</f>
        <v>218500000</v>
      </c>
      <c r="L16" s="9" t="n">
        <f aca="false">K16-P16-U16</f>
        <v>211574927.5</v>
      </c>
      <c r="M16" s="9" t="n">
        <f aca="false">L16-Q16-V16</f>
        <v>204649855</v>
      </c>
      <c r="N16" s="9" t="n">
        <f aca="false">M16-R16-W16</f>
        <v>182416485.236</v>
      </c>
      <c r="O16" s="9" t="n">
        <f aca="false">N16-S16-X16</f>
        <v>162430695.56224</v>
      </c>
      <c r="P16" s="9" t="n">
        <f aca="false">MIN(K16,Inputs!$C$35)</f>
        <v>6925072.5</v>
      </c>
      <c r="Q16" s="9" t="n">
        <f aca="false">MIN(L16,Inputs!$C$36)</f>
        <v>6925072.5</v>
      </c>
      <c r="R16" s="9" t="n">
        <f aca="false">MIN(M16,Inputs!$C$37)</f>
        <v>6371066.7</v>
      </c>
      <c r="S16" s="9" t="n">
        <f aca="false">MIN(N16,Inputs!$C$38)</f>
        <v>5861381.364</v>
      </c>
      <c r="T16" s="9" t="n">
        <f aca="false">MIN(O16,Inputs!$C$39)</f>
        <v>5392470.85488</v>
      </c>
      <c r="U16" s="9" t="n">
        <f aca="false">(K16-P16)*(1-Inputs!$B$35/Inputs!$B$34)</f>
        <v>0</v>
      </c>
      <c r="V16" s="9" t="n">
        <f aca="false">(L16-Q16)*(1-Inputs!$B$36/Inputs!$B$35)</f>
        <v>0</v>
      </c>
      <c r="W16" s="9" t="n">
        <f aca="false">(M16-R16)*(1-Inputs!$B$37/Inputs!$B$36)</f>
        <v>15862303.064</v>
      </c>
      <c r="X16" s="9" t="n">
        <f aca="false">(N16-S16)*(1-Inputs!$B$38/Inputs!$B$37)</f>
        <v>14124408.30976</v>
      </c>
      <c r="Y16" s="9" t="n">
        <f aca="false">O16-T16</f>
        <v>157038224.70736</v>
      </c>
      <c r="Z16" s="9" t="n">
        <f aca="false">K16/(1+Inputs!$B$25)^1+L16/(1+Inputs!$B$25)^2+M16/(1+Inputs!$B$25)^3+N16/(1+Inputs!$B$25)^4+O16/(1+Inputs!$B$25)^5</f>
        <v>800809626.415948</v>
      </c>
      <c r="AA16" s="9" t="n">
        <f aca="false">U16/(1+Inputs!$B$25)^1+V16/(1+Inputs!$B$25)^2+W16/(1+Inputs!$B$25)^3+X16/(1+Inputs!$B$25)^4+Y16/(1+Inputs!$B$25)^5</f>
        <v>132731223.962106</v>
      </c>
      <c r="AB16" s="5" t="n">
        <f aca="false">(D16-AA16)/Z16-Inputs!$B$20</f>
        <v>0.0821025787012011</v>
      </c>
      <c r="AC16" s="9" t="n">
        <f aca="false">AB16*D16</f>
        <v>17939413.4462124</v>
      </c>
      <c r="AD16" s="5" t="n">
        <f aca="false">(Inputs!$B$31-AC16)*(1-Inputs!$B$12)/G16</f>
        <v>0.149634142888842</v>
      </c>
      <c r="AE16" s="5" t="n">
        <f aca="false">(Inputs!$B$31-AC16)*(1-Inputs!$B$12)/I16</f>
        <v>0.208657874515584</v>
      </c>
      <c r="AF16" s="5" t="n">
        <f aca="false">IF(H16&gt;0,AC16/H16,"")</f>
        <v>0.124049003301592</v>
      </c>
      <c r="AG16" s="5" t="n">
        <f aca="false">Inputs!$B$9*H16/(1-Inputs!$B$12)/D16</f>
        <v>0.101484588609798</v>
      </c>
    </row>
    <row r="17" customFormat="false" ht="15" hidden="false" customHeight="false" outlineLevel="0" collapsed="false">
      <c r="A17" s="5" t="n">
        <f aca="false">0.03+0.0025*12</f>
        <v>0.06</v>
      </c>
      <c r="B17" s="4" t="str">
        <f aca="false">IF(A17&lt;Inputs!$B$13,"below KIRB",IF(E17&lt;=0.15,"floor binds",""))</f>
        <v>below KIRB</v>
      </c>
      <c r="C17" s="9" t="n">
        <f aca="false">A17*Inputs!$B$5</f>
        <v>240000000</v>
      </c>
      <c r="D17" s="9" t="n">
        <f aca="false">C17*(1-Inputs!$B$18)</f>
        <v>228000000</v>
      </c>
      <c r="E17" s="5" t="n">
        <f aca="false">MAX(0.15,12.5*IF((1)&lt;=(Inputs!$B$13),1,IF((A17)&gt;=(Inputs!$B$13),(EXP((-1/((Inputs!$B$28)*(Inputs!$B$13)))*((1)-(Inputs!$B$13)))-EXP((-1/((Inputs!$B$28)*(Inputs!$B$13)))*MAX((A17)-(Inputs!$B$13),0)))/((-1/((Inputs!$B$28)*(Inputs!$B$13)))*(((1)-(Inputs!$B$13))-MAX((A17)-(Inputs!$B$13),0))),((Inputs!$B$13)-(A17))/((1)-(A17))+(1-((Inputs!$B$13)-(A17))/((1)-(A17)))*(EXP((-1/((Inputs!$B$28)*(Inputs!$B$13)))*((1)-(Inputs!$B$13)))-EXP((-1/((Inputs!$B$28)*(Inputs!$B$13)))*MAX((Inputs!$B$13)-(Inputs!$B$13),0)))/((-1/((Inputs!$B$28)*(Inputs!$B$13)))*(((1)-(Inputs!$B$13))-MAX((Inputs!$B$13)-(Inputs!$B$13),0))))))</f>
        <v>0.477570531783649</v>
      </c>
      <c r="F17" s="5" t="n">
        <f aca="false">MAX(0.1,12.5*IF((1)&lt;=(Inputs!$B$13),1,IF((A17)&gt;=(Inputs!$B$13),(EXP((-1/((Inputs!$B$29)*(Inputs!$B$13)))*((1)-(Inputs!$B$13)))-EXP((-1/((Inputs!$B$29)*(Inputs!$B$13)))*MAX((A17)-(Inputs!$B$13),0)))/((-1/((Inputs!$B$29)*(Inputs!$B$13)))*(((1)-(Inputs!$B$13))-MAX((A17)-(Inputs!$B$13),0))),((Inputs!$B$13)-(A17))/((1)-(A17))+(1-((Inputs!$B$13)-(A17))/((1)-(A17)))*(EXP((-1/((Inputs!$B$29)*(Inputs!$B$13)))*((1)-(Inputs!$B$13)))-EXP((-1/((Inputs!$B$29)*(Inputs!$B$13)))*MAX((Inputs!$B$13)-(Inputs!$B$13),0)))/((-1/((Inputs!$B$29)*(Inputs!$B$13)))*(((1)-(Inputs!$B$13))-MAX((Inputs!$B$13)-(Inputs!$B$13),0))))))</f>
        <v>0.326665898173846</v>
      </c>
      <c r="G17" s="9" t="n">
        <f aca="false">E17*(1-A17)*Inputs!$B$5*Inputs!$B$8+A17*Inputs!$B$5*Inputs!$B$18</f>
        <v>254414801.93338</v>
      </c>
      <c r="H17" s="9" t="n">
        <f aca="false">Inputs!$B$30-G17</f>
        <v>160990538.768962</v>
      </c>
      <c r="I17" s="9" t="n">
        <f aca="false">F17*(1-A17)*Inputs!$B$5*Inputs!$B$8+A17*Inputs!$B$5*Inputs!$B$18</f>
        <v>177815609.913044</v>
      </c>
      <c r="J17" s="9" t="n">
        <f aca="false">Inputs!$B$30-I17</f>
        <v>237589730.789298</v>
      </c>
      <c r="K17" s="9" t="n">
        <f aca="false">D17</f>
        <v>228000000</v>
      </c>
      <c r="L17" s="9" t="n">
        <f aca="false">K17-P17-U17</f>
        <v>221074927.5</v>
      </c>
      <c r="M17" s="9" t="n">
        <f aca="false">L17-Q17-V17</f>
        <v>214149855</v>
      </c>
      <c r="N17" s="9" t="n">
        <f aca="false">M17-R17-W17</f>
        <v>191156485.236</v>
      </c>
      <c r="O17" s="9" t="n">
        <f aca="false">N17-S17-X17</f>
        <v>170471495.56224</v>
      </c>
      <c r="P17" s="9" t="n">
        <f aca="false">MIN(K17,Inputs!$C$35)</f>
        <v>6925072.5</v>
      </c>
      <c r="Q17" s="9" t="n">
        <f aca="false">MIN(L17,Inputs!$C$36)</f>
        <v>6925072.5</v>
      </c>
      <c r="R17" s="9" t="n">
        <f aca="false">MIN(M17,Inputs!$C$37)</f>
        <v>6371066.7</v>
      </c>
      <c r="S17" s="9" t="n">
        <f aca="false">MIN(N17,Inputs!$C$38)</f>
        <v>5861381.364</v>
      </c>
      <c r="T17" s="9" t="n">
        <f aca="false">MIN(O17,Inputs!$C$39)</f>
        <v>5392470.85488</v>
      </c>
      <c r="U17" s="9" t="n">
        <f aca="false">(K17-P17)*(1-Inputs!$B$35/Inputs!$B$34)</f>
        <v>0</v>
      </c>
      <c r="V17" s="9" t="n">
        <f aca="false">(L17-Q17)*(1-Inputs!$B$36/Inputs!$B$35)</f>
        <v>0</v>
      </c>
      <c r="W17" s="9" t="n">
        <f aca="false">(M17-R17)*(1-Inputs!$B$37/Inputs!$B$36)</f>
        <v>16622303.064</v>
      </c>
      <c r="X17" s="9" t="n">
        <f aca="false">(N17-S17)*(1-Inputs!$B$38/Inputs!$B$37)</f>
        <v>14823608.30976</v>
      </c>
      <c r="Y17" s="9" t="n">
        <f aca="false">O17-T17</f>
        <v>165079024.70736</v>
      </c>
      <c r="Z17" s="9" t="n">
        <f aca="false">K17/(1+Inputs!$B$25)^1+L17/(1+Inputs!$B$25)^2+M17/(1+Inputs!$B$25)^3+N17/(1+Inputs!$B$25)^4+O17/(1+Inputs!$B$25)^5</f>
        <v>837660026.225979</v>
      </c>
      <c r="AA17" s="9" t="n">
        <f aca="false">U17/(1+Inputs!$B$25)^1+V17/(1+Inputs!$B$25)^2+W17/(1+Inputs!$B$25)^3+X17/(1+Inputs!$B$25)^4+Y17/(1+Inputs!$B$25)^5</f>
        <v>139467443.976354</v>
      </c>
      <c r="AB17" s="5" t="n">
        <f aca="false">(D17-AA17)/Z17-Inputs!$B$20</f>
        <v>0.0806903197619724</v>
      </c>
      <c r="AC17" s="9" t="n">
        <f aca="false">AB17*D17</f>
        <v>18397392.9057297</v>
      </c>
      <c r="AD17" s="5" t="n">
        <f aca="false">(Inputs!$B$31-AC17)*(1-Inputs!$B$12)/G17</f>
        <v>0.157915007363538</v>
      </c>
      <c r="AE17" s="5" t="n">
        <f aca="false">(Inputs!$B$31-AC17)*(1-Inputs!$B$12)/I17</f>
        <v>0.225941442038467</v>
      </c>
      <c r="AF17" s="5" t="n">
        <f aca="false">IF(H17&gt;0,AC17/H17,"")</f>
        <v>0.11427623664352</v>
      </c>
      <c r="AG17" s="5" t="n">
        <f aca="false">Inputs!$B$9*H17/(1-Inputs!$B$12)/D17</f>
        <v>0.108268490984974</v>
      </c>
    </row>
    <row r="18" customFormat="false" ht="15" hidden="false" customHeight="false" outlineLevel="0" collapsed="false">
      <c r="A18" s="5" t="n">
        <f aca="false">0.03+0.0025*13</f>
        <v>0.0625</v>
      </c>
      <c r="B18" s="4" t="str">
        <f aca="false">IF(A18&lt;Inputs!$B$13,"below KIRB",IF(E18&lt;=0.15,"floor binds",""))</f>
        <v>below KIRB</v>
      </c>
      <c r="C18" s="9" t="n">
        <f aca="false">A18*Inputs!$B$5</f>
        <v>250000000</v>
      </c>
      <c r="D18" s="9" t="n">
        <f aca="false">C18*(1-Inputs!$B$18)</f>
        <v>237500000</v>
      </c>
      <c r="E18" s="5" t="n">
        <f aca="false">MAX(0.15,12.5*IF((1)&lt;=(Inputs!$B$13),1,IF((A18)&gt;=(Inputs!$B$13),(EXP((-1/((Inputs!$B$28)*(Inputs!$B$13)))*((1)-(Inputs!$B$13)))-EXP((-1/((Inputs!$B$28)*(Inputs!$B$13)))*MAX((A18)-(Inputs!$B$13),0)))/((-1/((Inputs!$B$28)*(Inputs!$B$13)))*(((1)-(Inputs!$B$13))-MAX((A18)-(Inputs!$B$13),0))),((Inputs!$B$13)-(A18))/((1)-(A18))+(1-((Inputs!$B$13)-(A18))/((1)-(A18)))*(EXP((-1/((Inputs!$B$28)*(Inputs!$B$13)))*((1)-(Inputs!$B$13)))-EXP((-1/((Inputs!$B$28)*(Inputs!$B$13)))*MAX((Inputs!$B$13)-(Inputs!$B$13),0)))/((-1/((Inputs!$B$28)*(Inputs!$B$13)))*(((1)-(Inputs!$B$13))-MAX((Inputs!$B$13)-(Inputs!$B$13),0))))))</f>
        <v>0.445510719868405</v>
      </c>
      <c r="F18" s="5" t="n">
        <f aca="false">MAX(0.1,12.5*IF((1)&lt;=(Inputs!$B$13),1,IF((A18)&gt;=(Inputs!$B$13),(EXP((-1/((Inputs!$B$29)*(Inputs!$B$13)))*((1)-(Inputs!$B$13)))-EXP((-1/((Inputs!$B$29)*(Inputs!$B$13)))*MAX((A18)-(Inputs!$B$13),0)))/((-1/((Inputs!$B$29)*(Inputs!$B$13)))*(((1)-(Inputs!$B$13))-MAX((A18)-(Inputs!$B$13),0))),((Inputs!$B$13)-(A18))/((1)-(A18))+(1-((Inputs!$B$13)-(A18))/((1)-(A18)))*(EXP((-1/((Inputs!$B$29)*(Inputs!$B$13)))*((1)-(Inputs!$B$13)))-EXP((-1/((Inputs!$B$29)*(Inputs!$B$13)))*MAX((Inputs!$B$13)-(Inputs!$B$13),0)))/((-1/((Inputs!$B$29)*(Inputs!$B$13)))*(((1)-(Inputs!$B$13))-MAX((Inputs!$B$13)-(Inputs!$B$13),0))))))</f>
        <v>0.294203673902309</v>
      </c>
      <c r="G18" s="9" t="n">
        <f aca="false">E18*(1-A18)*Inputs!$B$5*Inputs!$B$8+A18*Inputs!$B$5*Inputs!$B$18</f>
        <v>238039801.93338</v>
      </c>
      <c r="H18" s="9" t="n">
        <f aca="false">Inputs!$B$30-G18</f>
        <v>177365538.768962</v>
      </c>
      <c r="I18" s="9" t="n">
        <f aca="false">F18*(1-A18)*Inputs!$B$5*Inputs!$B$8+A18*Inputs!$B$5*Inputs!$B$18</f>
        <v>161440609.913044</v>
      </c>
      <c r="J18" s="9" t="n">
        <f aca="false">Inputs!$B$30-I18</f>
        <v>253964730.789298</v>
      </c>
      <c r="K18" s="9" t="n">
        <f aca="false">D18</f>
        <v>237500000</v>
      </c>
      <c r="L18" s="9" t="n">
        <f aca="false">K18-P18-U18</f>
        <v>230574927.5</v>
      </c>
      <c r="M18" s="9" t="n">
        <f aca="false">L18-Q18-V18</f>
        <v>223649855</v>
      </c>
      <c r="N18" s="9" t="n">
        <f aca="false">M18-R18-W18</f>
        <v>199896485.236</v>
      </c>
      <c r="O18" s="9" t="n">
        <f aca="false">N18-S18-X18</f>
        <v>178512295.56224</v>
      </c>
      <c r="P18" s="9" t="n">
        <f aca="false">MIN(K18,Inputs!$C$35)</f>
        <v>6925072.5</v>
      </c>
      <c r="Q18" s="9" t="n">
        <f aca="false">MIN(L18,Inputs!$C$36)</f>
        <v>6925072.5</v>
      </c>
      <c r="R18" s="9" t="n">
        <f aca="false">MIN(M18,Inputs!$C$37)</f>
        <v>6371066.7</v>
      </c>
      <c r="S18" s="9" t="n">
        <f aca="false">MIN(N18,Inputs!$C$38)</f>
        <v>5861381.364</v>
      </c>
      <c r="T18" s="9" t="n">
        <f aca="false">MIN(O18,Inputs!$C$39)</f>
        <v>5392470.85488</v>
      </c>
      <c r="U18" s="9" t="n">
        <f aca="false">(K18-P18)*(1-Inputs!$B$35/Inputs!$B$34)</f>
        <v>0</v>
      </c>
      <c r="V18" s="9" t="n">
        <f aca="false">(L18-Q18)*(1-Inputs!$B$36/Inputs!$B$35)</f>
        <v>0</v>
      </c>
      <c r="W18" s="9" t="n">
        <f aca="false">(M18-R18)*(1-Inputs!$B$37/Inputs!$B$36)</f>
        <v>17382303.064</v>
      </c>
      <c r="X18" s="9" t="n">
        <f aca="false">(N18-S18)*(1-Inputs!$B$38/Inputs!$B$37)</f>
        <v>15522808.30976</v>
      </c>
      <c r="Y18" s="9" t="n">
        <f aca="false">O18-T18</f>
        <v>173119824.70736</v>
      </c>
      <c r="Z18" s="9" t="n">
        <f aca="false">K18/(1+Inputs!$B$25)^1+L18/(1+Inputs!$B$25)^2+M18/(1+Inputs!$B$25)^3+N18/(1+Inputs!$B$25)^4+O18/(1+Inputs!$B$25)^5</f>
        <v>874510426.036009</v>
      </c>
      <c r="AA18" s="9" t="n">
        <f aca="false">U18/(1+Inputs!$B$25)^1+V18/(1+Inputs!$B$25)^2+W18/(1+Inputs!$B$25)^3+X18/(1+Inputs!$B$25)^4+Y18/(1+Inputs!$B$25)^5</f>
        <v>146203663.990602</v>
      </c>
      <c r="AB18" s="5" t="n">
        <f aca="false">(D18-AA18)/Z18-Inputs!$B$20</f>
        <v>0.0793970812597709</v>
      </c>
      <c r="AC18" s="9" t="n">
        <f aca="false">AB18*D18</f>
        <v>18856806.7991956</v>
      </c>
      <c r="AD18" s="5" t="n">
        <f aca="false">(Inputs!$B$31-AC18)*(1-Inputs!$B$12)/G18</f>
        <v>0.167330650492437</v>
      </c>
      <c r="AE18" s="5" t="n">
        <f aca="false">(Inputs!$B$31-AC18)*(1-Inputs!$B$12)/I18</f>
        <v>0.246724507062117</v>
      </c>
      <c r="AF18" s="5" t="n">
        <f aca="false">IF(H18&gt;0,AC18/H18,"")</f>
        <v>0.106316068668552</v>
      </c>
      <c r="AG18" s="5" t="n">
        <f aca="false">Inputs!$B$9*H18/(1-Inputs!$B$12)/D18</f>
        <v>0.114509681170137</v>
      </c>
    </row>
    <row r="19" customFormat="false" ht="15" hidden="false" customHeight="false" outlineLevel="0" collapsed="false">
      <c r="A19" s="5" t="n">
        <f aca="false">0.03+0.0025*14</f>
        <v>0.065</v>
      </c>
      <c r="B19" s="4" t="str">
        <f aca="false">IF(A19&lt;Inputs!$B$13,"below KIRB",IF(E19&lt;=0.15,"floor binds",""))</f>
        <v>below KIRB</v>
      </c>
      <c r="C19" s="9" t="n">
        <f aca="false">A19*Inputs!$B$5</f>
        <v>260000000</v>
      </c>
      <c r="D19" s="9" t="n">
        <f aca="false">C19*(1-Inputs!$B$18)</f>
        <v>247000000</v>
      </c>
      <c r="E19" s="5" t="n">
        <f aca="false">MAX(0.15,12.5*IF((1)&lt;=(Inputs!$B$13),1,IF((A19)&gt;=(Inputs!$B$13),(EXP((-1/((Inputs!$B$28)*(Inputs!$B$13)))*((1)-(Inputs!$B$13)))-EXP((-1/((Inputs!$B$28)*(Inputs!$B$13)))*MAX((A19)-(Inputs!$B$13),0)))/((-1/((Inputs!$B$28)*(Inputs!$B$13)))*(((1)-(Inputs!$B$13))-MAX((A19)-(Inputs!$B$13),0))),((Inputs!$B$13)-(A19))/((1)-(A19))+(1-((Inputs!$B$13)-(A19))/((1)-(A19)))*(EXP((-1/((Inputs!$B$28)*(Inputs!$B$13)))*((1)-(Inputs!$B$13)))-EXP((-1/((Inputs!$B$28)*(Inputs!$B$13)))*MAX((Inputs!$B$13)-(Inputs!$B$13),0)))/((-1/((Inputs!$B$28)*(Inputs!$B$13)))*(((1)-(Inputs!$B$13))-MAX((Inputs!$B$13)-(Inputs!$B$13),0))))))</f>
        <v>0.413279465108695</v>
      </c>
      <c r="F19" s="5" t="n">
        <f aca="false">MAX(0.1,12.5*IF((1)&lt;=(Inputs!$B$13),1,IF((A19)&gt;=(Inputs!$B$13),(EXP((-1/((Inputs!$B$29)*(Inputs!$B$13)))*((1)-(Inputs!$B$13)))-EXP((-1/((Inputs!$B$29)*(Inputs!$B$13)))*MAX((A19)-(Inputs!$B$13),0)))/((-1/((Inputs!$B$29)*(Inputs!$B$13)))*(((1)-(Inputs!$B$13))-MAX((A19)-(Inputs!$B$13),0))),((Inputs!$B$13)-(A19))/((1)-(A19))+(1-((Inputs!$B$13)-(A19))/((1)-(A19)))*(EXP((-1/((Inputs!$B$29)*(Inputs!$B$13)))*((1)-(Inputs!$B$13)))-EXP((-1/((Inputs!$B$29)*(Inputs!$B$13)))*MAX((Inputs!$B$13)-(Inputs!$B$13),0)))/((-1/((Inputs!$B$29)*(Inputs!$B$13)))*(((1)-(Inputs!$B$13))-MAX((Inputs!$B$13)-(Inputs!$B$13),0))))))</f>
        <v>0.261567854848572</v>
      </c>
      <c r="G19" s="9" t="n">
        <f aca="false">E19*(1-A19)*Inputs!$B$5*Inputs!$B$8+A19*Inputs!$B$5*Inputs!$B$18</f>
        <v>221664801.93338</v>
      </c>
      <c r="H19" s="9" t="n">
        <f aca="false">Inputs!$B$30-G19</f>
        <v>193740538.768962</v>
      </c>
      <c r="I19" s="9" t="n">
        <f aca="false">F19*(1-A19)*Inputs!$B$5*Inputs!$B$8+A19*Inputs!$B$5*Inputs!$B$18</f>
        <v>145065609.913044</v>
      </c>
      <c r="J19" s="9" t="n">
        <f aca="false">Inputs!$B$30-I19</f>
        <v>270339730.789297</v>
      </c>
      <c r="K19" s="9" t="n">
        <f aca="false">D19</f>
        <v>247000000</v>
      </c>
      <c r="L19" s="9" t="n">
        <f aca="false">K19-P19-U19</f>
        <v>240074927.5</v>
      </c>
      <c r="M19" s="9" t="n">
        <f aca="false">L19-Q19-V19</f>
        <v>233149855</v>
      </c>
      <c r="N19" s="9" t="n">
        <f aca="false">M19-R19-W19</f>
        <v>208636485.236</v>
      </c>
      <c r="O19" s="9" t="n">
        <f aca="false">N19-S19-X19</f>
        <v>186553095.56224</v>
      </c>
      <c r="P19" s="9" t="n">
        <f aca="false">MIN(K19,Inputs!$C$35)</f>
        <v>6925072.5</v>
      </c>
      <c r="Q19" s="9" t="n">
        <f aca="false">MIN(L19,Inputs!$C$36)</f>
        <v>6925072.5</v>
      </c>
      <c r="R19" s="9" t="n">
        <f aca="false">MIN(M19,Inputs!$C$37)</f>
        <v>6371066.7</v>
      </c>
      <c r="S19" s="9" t="n">
        <f aca="false">MIN(N19,Inputs!$C$38)</f>
        <v>5861381.364</v>
      </c>
      <c r="T19" s="9" t="n">
        <f aca="false">MIN(O19,Inputs!$C$39)</f>
        <v>5392470.85488</v>
      </c>
      <c r="U19" s="9" t="n">
        <f aca="false">(K19-P19)*(1-Inputs!$B$35/Inputs!$B$34)</f>
        <v>0</v>
      </c>
      <c r="V19" s="9" t="n">
        <f aca="false">(L19-Q19)*(1-Inputs!$B$36/Inputs!$B$35)</f>
        <v>0</v>
      </c>
      <c r="W19" s="9" t="n">
        <f aca="false">(M19-R19)*(1-Inputs!$B$37/Inputs!$B$36)</f>
        <v>18142303.064</v>
      </c>
      <c r="X19" s="9" t="n">
        <f aca="false">(N19-S19)*(1-Inputs!$B$38/Inputs!$B$37)</f>
        <v>16222008.30976</v>
      </c>
      <c r="Y19" s="9" t="n">
        <f aca="false">O19-T19</f>
        <v>181160624.70736</v>
      </c>
      <c r="Z19" s="9" t="n">
        <f aca="false">K19/(1+Inputs!$B$25)^1+L19/(1+Inputs!$B$25)^2+M19/(1+Inputs!$B$25)^3+N19/(1+Inputs!$B$25)^4+O19/(1+Inputs!$B$25)^5</f>
        <v>911360825.846039</v>
      </c>
      <c r="AA19" s="9" t="n">
        <f aca="false">U19/(1+Inputs!$B$25)^1+V19/(1+Inputs!$B$25)^2+W19/(1+Inputs!$B$25)^3+X19/(1+Inputs!$B$25)^4+Y19/(1+Inputs!$B$25)^5</f>
        <v>152939884.00485</v>
      </c>
      <c r="AB19" s="5" t="n">
        <f aca="false">(D19-AA19)/Z19-Inputs!$B$20</f>
        <v>0.0782084256066548</v>
      </c>
      <c r="AC19" s="9" t="n">
        <f aca="false">AB19*D19</f>
        <v>19317481.1248437</v>
      </c>
      <c r="AD19" s="5" t="n">
        <f aca="false">(Inputs!$B$31-AC19)*(1-Inputs!$B$12)/G19</f>
        <v>0.178133148844418</v>
      </c>
      <c r="AE19" s="5" t="n">
        <f aca="false">(Inputs!$B$31-AC19)*(1-Inputs!$B$12)/I19</f>
        <v>0.272193038584651</v>
      </c>
      <c r="AF19" s="5" t="n">
        <f aca="false">IF(H19&gt;0,AC19/H19,"")</f>
        <v>0.0997079973431895</v>
      </c>
      <c r="AG19" s="5" t="n">
        <f aca="false">Inputs!$B$9*H19/(1-Inputs!$B$12)/D19</f>
        <v>0.120270779802594</v>
      </c>
    </row>
    <row r="20" customFormat="false" ht="15" hidden="false" customHeight="false" outlineLevel="0" collapsed="false">
      <c r="A20" s="5" t="n">
        <f aca="false">0.03+0.0025*15</f>
        <v>0.0675</v>
      </c>
      <c r="B20" s="4" t="str">
        <f aca="false">IF(A20&lt;Inputs!$B$13,"below KIRB",IF(E20&lt;=0.15,"floor binds",""))</f>
        <v/>
      </c>
      <c r="C20" s="9" t="n">
        <f aca="false">A20*Inputs!$B$5</f>
        <v>270000000</v>
      </c>
      <c r="D20" s="9" t="n">
        <f aca="false">C20*(1-Inputs!$B$18)</f>
        <v>256500000</v>
      </c>
      <c r="E20" s="5" t="n">
        <f aca="false">MAX(0.15,12.5*IF((1)&lt;=(Inputs!$B$13),1,IF((A20)&gt;=(Inputs!$B$13),(EXP((-1/((Inputs!$B$28)*(Inputs!$B$13)))*((1)-(Inputs!$B$13)))-EXP((-1/((Inputs!$B$28)*(Inputs!$B$13)))*MAX((A20)-(Inputs!$B$13),0)))/((-1/((Inputs!$B$28)*(Inputs!$B$13)))*(((1)-(Inputs!$B$13))-MAX((A20)-(Inputs!$B$13),0))),((Inputs!$B$13)-(A20))/((1)-(A20))+(1-((Inputs!$B$13)-(A20))/((1)-(A20)))*(EXP((-1/((Inputs!$B$28)*(Inputs!$B$13)))*((1)-(Inputs!$B$13)))-EXP((-1/((Inputs!$B$28)*(Inputs!$B$13)))*MAX((Inputs!$B$13)-(Inputs!$B$13),0)))/((-1/((Inputs!$B$28)*(Inputs!$B$13)))*(((1)-(Inputs!$B$13))-MAX((Inputs!$B$13)-(Inputs!$B$13),0))))))</f>
        <v>0.382144891380414</v>
      </c>
      <c r="F20" s="5" t="n">
        <f aca="false">MAX(0.1,12.5*IF((1)&lt;=(Inputs!$B$13),1,IF((A20)&gt;=(Inputs!$B$13),(EXP((-1/((Inputs!$B$29)*(Inputs!$B$13)))*((1)-(Inputs!$B$13)))-EXP((-1/((Inputs!$B$29)*(Inputs!$B$13)))*MAX((A20)-(Inputs!$B$13),0)))/((-1/((Inputs!$B$29)*(Inputs!$B$13)))*(((1)-(Inputs!$B$13))-MAX((A20)-(Inputs!$B$13),0))),((Inputs!$B$13)-(A20))/((1)-(A20))+(1-((Inputs!$B$13)-(A20))/((1)-(A20)))*(EXP((-1/((Inputs!$B$29)*(Inputs!$B$13)))*((1)-(Inputs!$B$13)))-EXP((-1/((Inputs!$B$29)*(Inputs!$B$13)))*MAX((Inputs!$B$13)-(Inputs!$B$13),0)))/((-1/((Inputs!$B$29)*(Inputs!$B$13)))*(((1)-(Inputs!$B$13))-MAX((Inputs!$B$13)-(Inputs!$B$13),0))))))</f>
        <v>0.230734626700082</v>
      </c>
      <c r="G20" s="9" t="n">
        <f aca="false">E20*(1-A20)*Inputs!$B$5*Inputs!$B$8+A20*Inputs!$B$5*Inputs!$B$18</f>
        <v>205929060.054608</v>
      </c>
      <c r="H20" s="9" t="n">
        <f aca="false">Inputs!$B$30-G20</f>
        <v>209476280.647734</v>
      </c>
      <c r="I20" s="9" t="n">
        <f aca="false">F20*(1-A20)*Inputs!$B$5*Inputs!$B$8+A20*Inputs!$B$5*Inputs!$B$18</f>
        <v>129686421.274826</v>
      </c>
      <c r="J20" s="9" t="n">
        <f aca="false">Inputs!$B$30-I20</f>
        <v>285718919.427516</v>
      </c>
      <c r="K20" s="9" t="n">
        <f aca="false">D20</f>
        <v>256500000</v>
      </c>
      <c r="L20" s="9" t="n">
        <f aca="false">K20-P20-U20</f>
        <v>249574927.5</v>
      </c>
      <c r="M20" s="9" t="n">
        <f aca="false">L20-Q20-V20</f>
        <v>242649855</v>
      </c>
      <c r="N20" s="9" t="n">
        <f aca="false">M20-R20-W20</f>
        <v>217376485.236</v>
      </c>
      <c r="O20" s="9" t="n">
        <f aca="false">N20-S20-X20</f>
        <v>194593895.56224</v>
      </c>
      <c r="P20" s="9" t="n">
        <f aca="false">MIN(K20,Inputs!$C$35)</f>
        <v>6925072.5</v>
      </c>
      <c r="Q20" s="9" t="n">
        <f aca="false">MIN(L20,Inputs!$C$36)</f>
        <v>6925072.5</v>
      </c>
      <c r="R20" s="9" t="n">
        <f aca="false">MIN(M20,Inputs!$C$37)</f>
        <v>6371066.7</v>
      </c>
      <c r="S20" s="9" t="n">
        <f aca="false">MIN(N20,Inputs!$C$38)</f>
        <v>5861381.364</v>
      </c>
      <c r="T20" s="9" t="n">
        <f aca="false">MIN(O20,Inputs!$C$39)</f>
        <v>5392470.85488</v>
      </c>
      <c r="U20" s="9" t="n">
        <f aca="false">(K20-P20)*(1-Inputs!$B$35/Inputs!$B$34)</f>
        <v>0</v>
      </c>
      <c r="V20" s="9" t="n">
        <f aca="false">(L20-Q20)*(1-Inputs!$B$36/Inputs!$B$35)</f>
        <v>0</v>
      </c>
      <c r="W20" s="9" t="n">
        <f aca="false">(M20-R20)*(1-Inputs!$B$37/Inputs!$B$36)</f>
        <v>18902303.064</v>
      </c>
      <c r="X20" s="9" t="n">
        <f aca="false">(N20-S20)*(1-Inputs!$B$38/Inputs!$B$37)</f>
        <v>16921208.30976</v>
      </c>
      <c r="Y20" s="9" t="n">
        <f aca="false">O20-T20</f>
        <v>189201424.70736</v>
      </c>
      <c r="Z20" s="9" t="n">
        <f aca="false">K20/(1+Inputs!$B$25)^1+L20/(1+Inputs!$B$25)^2+M20/(1+Inputs!$B$25)^3+N20/(1+Inputs!$B$25)^4+O20/(1+Inputs!$B$25)^5</f>
        <v>948211225.656068</v>
      </c>
      <c r="AA20" s="9" t="n">
        <f aca="false">U20/(1+Inputs!$B$25)^1+V20/(1+Inputs!$B$25)^2+W20/(1+Inputs!$B$25)^3+X20/(1+Inputs!$B$25)^4+Y20/(1+Inputs!$B$25)^5</f>
        <v>159676104.019097</v>
      </c>
      <c r="AB20" s="5" t="n">
        <f aca="false">(D20-AA20)/Z20-Inputs!$B$20</f>
        <v>0.0771121595706801</v>
      </c>
      <c r="AC20" s="9" t="n">
        <f aca="false">AB20*D20</f>
        <v>19779268.9298794</v>
      </c>
      <c r="AD20" s="5" t="n">
        <f aca="false">(Inputs!$B$31-AC20)*(1-Inputs!$B$12)/G20</f>
        <v>0.190063064883662</v>
      </c>
      <c r="AE20" s="5" t="n">
        <f aca="false">(Inputs!$B$31-AC20)*(1-Inputs!$B$12)/I20</f>
        <v>0.301801128582672</v>
      </c>
      <c r="AF20" s="5" t="n">
        <f aca="false">IF(H20&gt;0,AC20/H20,"")</f>
        <v>0.0944224752736625</v>
      </c>
      <c r="AG20" s="5" t="n">
        <f aca="false">Inputs!$B$9*H20/(1-Inputs!$B$12)/D20</f>
        <v>0.125222987781621</v>
      </c>
    </row>
    <row r="21" customFormat="false" ht="15" hidden="false" customHeight="false" outlineLevel="0" collapsed="false">
      <c r="A21" s="5" t="n">
        <f aca="false">0.03+0.0025*16</f>
        <v>0.07</v>
      </c>
      <c r="B21" s="4" t="str">
        <f aca="false">IF(A21&lt;Inputs!$B$13,"below KIRB",IF(E21&lt;=0.15,"floor binds",""))</f>
        <v/>
      </c>
      <c r="C21" s="9" t="n">
        <f aca="false">A21*Inputs!$B$5</f>
        <v>280000000</v>
      </c>
      <c r="D21" s="9" t="n">
        <f aca="false">C21*(1-Inputs!$B$18)</f>
        <v>266000000</v>
      </c>
      <c r="E21" s="5" t="n">
        <f aca="false">MAX(0.15,12.5*IF((1)&lt;=(Inputs!$B$13),1,IF((A21)&gt;=(Inputs!$B$13),(EXP((-1/((Inputs!$B$28)*(Inputs!$B$13)))*((1)-(Inputs!$B$13)))-EXP((-1/((Inputs!$B$28)*(Inputs!$B$13)))*MAX((A21)-(Inputs!$B$13),0)))/((-1/((Inputs!$B$28)*(Inputs!$B$13)))*(((1)-(Inputs!$B$13))-MAX((A21)-(Inputs!$B$13),0))),((Inputs!$B$13)-(A21))/((1)-(A21))+(1-((Inputs!$B$13)-(A21))/((1)-(A21)))*(EXP((-1/((Inputs!$B$28)*(Inputs!$B$13)))*((1)-(Inputs!$B$13)))-EXP((-1/((Inputs!$B$28)*(Inputs!$B$13)))*MAX((Inputs!$B$13)-(Inputs!$B$13),0)))/((-1/((Inputs!$B$28)*(Inputs!$B$13)))*(((1)-(Inputs!$B$13))-MAX((Inputs!$B$13)-(Inputs!$B$13),0))))))</f>
        <v>0.353357925857869</v>
      </c>
      <c r="F21" s="5" t="n">
        <f aca="false">MAX(0.1,12.5*IF((1)&lt;=(Inputs!$B$13),1,IF((A21)&gt;=(Inputs!$B$13),(EXP((-1/((Inputs!$B$29)*(Inputs!$B$13)))*((1)-(Inputs!$B$13)))-EXP((-1/((Inputs!$B$29)*(Inputs!$B$13)))*MAX((A21)-(Inputs!$B$13),0)))/((-1/((Inputs!$B$29)*(Inputs!$B$13)))*(((1)-(Inputs!$B$13))-MAX((A21)-(Inputs!$B$13),0))),((Inputs!$B$13)-(A21))/((1)-(A21))+(1-((Inputs!$B$13)-(A21))/((1)-(A21)))*(EXP((-1/((Inputs!$B$29)*(Inputs!$B$13)))*((1)-(Inputs!$B$13)))-EXP((-1/((Inputs!$B$29)*(Inputs!$B$13)))*MAX((Inputs!$B$13)-(Inputs!$B$13),0)))/((-1/((Inputs!$B$29)*(Inputs!$B$13)))*(((1)-(Inputs!$B$13))-MAX((Inputs!$B$13)-(Inputs!$B$13),0))))))</f>
        <v>0.203536763805318</v>
      </c>
      <c r="G21" s="9" t="n">
        <f aca="false">E21*(1-A21)*Inputs!$B$5*Inputs!$B$8+A21*Inputs!$B$5*Inputs!$B$18</f>
        <v>191456350.365822</v>
      </c>
      <c r="H21" s="9" t="n">
        <f aca="false">Inputs!$B$30-G21</f>
        <v>223948990.33652</v>
      </c>
      <c r="I21" s="9" t="n">
        <f aca="false">F21*(1-A21)*Inputs!$B$5*Inputs!$B$8+A21*Inputs!$B$5*Inputs!$B$18</f>
        <v>116216162.783031</v>
      </c>
      <c r="J21" s="9" t="n">
        <f aca="false">Inputs!$B$30-I21</f>
        <v>299189177.919311</v>
      </c>
      <c r="K21" s="9" t="n">
        <f aca="false">D21</f>
        <v>266000000</v>
      </c>
      <c r="L21" s="9" t="n">
        <f aca="false">K21-P21-U21</f>
        <v>259074927.5</v>
      </c>
      <c r="M21" s="9" t="n">
        <f aca="false">L21-Q21-V21</f>
        <v>252149855</v>
      </c>
      <c r="N21" s="9" t="n">
        <f aca="false">M21-R21-W21</f>
        <v>226116485.236</v>
      </c>
      <c r="O21" s="9" t="n">
        <f aca="false">N21-S21-X21</f>
        <v>202634695.56224</v>
      </c>
      <c r="P21" s="9" t="n">
        <f aca="false">MIN(K21,Inputs!$C$35)</f>
        <v>6925072.5</v>
      </c>
      <c r="Q21" s="9" t="n">
        <f aca="false">MIN(L21,Inputs!$C$36)</f>
        <v>6925072.5</v>
      </c>
      <c r="R21" s="9" t="n">
        <f aca="false">MIN(M21,Inputs!$C$37)</f>
        <v>6371066.7</v>
      </c>
      <c r="S21" s="9" t="n">
        <f aca="false">MIN(N21,Inputs!$C$38)</f>
        <v>5861381.364</v>
      </c>
      <c r="T21" s="9" t="n">
        <f aca="false">MIN(O21,Inputs!$C$39)</f>
        <v>5392470.85488</v>
      </c>
      <c r="U21" s="9" t="n">
        <f aca="false">(K21-P21)*(1-Inputs!$B$35/Inputs!$B$34)</f>
        <v>0</v>
      </c>
      <c r="V21" s="9" t="n">
        <f aca="false">(L21-Q21)*(1-Inputs!$B$36/Inputs!$B$35)</f>
        <v>0</v>
      </c>
      <c r="W21" s="9" t="n">
        <f aca="false">(M21-R21)*(1-Inputs!$B$37/Inputs!$B$36)</f>
        <v>19662303.064</v>
      </c>
      <c r="X21" s="9" t="n">
        <f aca="false">(N21-S21)*(1-Inputs!$B$38/Inputs!$B$37)</f>
        <v>17620408.30976</v>
      </c>
      <c r="Y21" s="9" t="n">
        <f aca="false">O21-T21</f>
        <v>197242224.70736</v>
      </c>
      <c r="Z21" s="9" t="n">
        <f aca="false">K21/(1+Inputs!$B$25)^1+L21/(1+Inputs!$B$25)^2+M21/(1+Inputs!$B$25)^3+N21/(1+Inputs!$B$25)^4+O21/(1+Inputs!$B$25)^5</f>
        <v>985061625.466098</v>
      </c>
      <c r="AA21" s="9" t="n">
        <f aca="false">U21/(1+Inputs!$B$25)^1+V21/(1+Inputs!$B$25)^2+W21/(1+Inputs!$B$25)^3+X21/(1+Inputs!$B$25)^4+Y21/(1+Inputs!$B$25)^5</f>
        <v>166412324.033345</v>
      </c>
      <c r="AB21" s="5" t="n">
        <f aca="false">(D21-AA21)/Z21-Inputs!$B$20</f>
        <v>0.0760979144777193</v>
      </c>
      <c r="AC21" s="9" t="n">
        <f aca="false">AB21*D21</f>
        <v>20242045.2510733</v>
      </c>
      <c r="AD21" s="5" t="n">
        <f aca="false">(Inputs!$B$31-AC21)*(1-Inputs!$B$12)/G21</f>
        <v>0.202617599194663</v>
      </c>
      <c r="AE21" s="5" t="n">
        <f aca="false">(Inputs!$B$31-AC21)*(1-Inputs!$B$12)/I21</f>
        <v>0.333795447489678</v>
      </c>
      <c r="AF21" s="5" t="n">
        <f aca="false">IF(H21&gt;0,AC21/H21,"")</f>
        <v>0.0903868564919912</v>
      </c>
      <c r="AG21" s="5" t="n">
        <f aca="false">Inputs!$B$9*H21/(1-Inputs!$B$12)/D21</f>
        <v>0.129093402950876</v>
      </c>
    </row>
    <row r="22" customFormat="false" ht="15" hidden="false" customHeight="false" outlineLevel="0" collapsed="false">
      <c r="A22" s="5" t="n">
        <f aca="false">0.03+0.0025*17</f>
        <v>0.0725</v>
      </c>
      <c r="B22" s="4" t="str">
        <f aca="false">IF(A22&lt;Inputs!$B$13,"below KIRB",IF(E22&lt;=0.15,"floor binds",""))</f>
        <v/>
      </c>
      <c r="C22" s="9" t="n">
        <f aca="false">A22*Inputs!$B$5</f>
        <v>290000000</v>
      </c>
      <c r="D22" s="9" t="n">
        <f aca="false">C22*(1-Inputs!$B$18)</f>
        <v>275500000</v>
      </c>
      <c r="E22" s="5" t="n">
        <f aca="false">MAX(0.15,12.5*IF((1)&lt;=(Inputs!$B$13),1,IF((A22)&gt;=(Inputs!$B$13),(EXP((-1/((Inputs!$B$28)*(Inputs!$B$13)))*((1)-(Inputs!$B$13)))-EXP((-1/((Inputs!$B$28)*(Inputs!$B$13)))*MAX((A22)-(Inputs!$B$13),0)))/((-1/((Inputs!$B$28)*(Inputs!$B$13)))*(((1)-(Inputs!$B$13))-MAX((A22)-(Inputs!$B$13),0))),((Inputs!$B$13)-(A22))/((1)-(A22))+(1-((Inputs!$B$13)-(A22))/((1)-(A22)))*(EXP((-1/((Inputs!$B$28)*(Inputs!$B$13)))*((1)-(Inputs!$B$13)))-EXP((-1/((Inputs!$B$28)*(Inputs!$B$13)))*MAX((Inputs!$B$13)-(Inputs!$B$13),0)))/((-1/((Inputs!$B$28)*(Inputs!$B$13)))*(((1)-(Inputs!$B$13))-MAX((Inputs!$B$13)-(Inputs!$B$13),0))))))</f>
        <v>0.326741842883662</v>
      </c>
      <c r="F22" s="5" t="n">
        <f aca="false">MAX(0.1,12.5*IF((1)&lt;=(Inputs!$B$13),1,IF((A22)&gt;=(Inputs!$B$13),(EXP((-1/((Inputs!$B$29)*(Inputs!$B$13)))*((1)-(Inputs!$B$13)))-EXP((-1/((Inputs!$B$29)*(Inputs!$B$13)))*MAX((A22)-(Inputs!$B$13),0)))/((-1/((Inputs!$B$29)*(Inputs!$B$13)))*(((1)-(Inputs!$B$13))-MAX((A22)-(Inputs!$B$13),0))),((Inputs!$B$13)-(A22))/((1)-(A22))+(1-((Inputs!$B$13)-(A22))/((1)-(A22)))*(EXP((-1/((Inputs!$B$29)*(Inputs!$B$13)))*((1)-(Inputs!$B$13)))-EXP((-1/((Inputs!$B$29)*(Inputs!$B$13)))*MAX((Inputs!$B$13)-(Inputs!$B$13),0)))/((-1/((Inputs!$B$29)*(Inputs!$B$13)))*(((1)-(Inputs!$B$13))-MAX((Inputs!$B$13)-(Inputs!$B$13),0))))))</f>
        <v>0.17954614866084</v>
      </c>
      <c r="G22" s="9" t="n">
        <f aca="false">E22*(1-A22)*Inputs!$B$5*Inputs!$B$8+A22*Inputs!$B$5*Inputs!$B$18</f>
        <v>178148652.008282</v>
      </c>
      <c r="H22" s="9" t="n">
        <f aca="false">Inputs!$B$30-G22</f>
        <v>237256688.69406</v>
      </c>
      <c r="I22" s="9" t="n">
        <f aca="false">F22*(1-A22)*Inputs!$B$5*Inputs!$B$8+A22*Inputs!$B$5*Inputs!$B$18</f>
        <v>104425688.556782</v>
      </c>
      <c r="J22" s="9" t="n">
        <f aca="false">Inputs!$B$30-I22</f>
        <v>310979652.14556</v>
      </c>
      <c r="K22" s="9" t="n">
        <f aca="false">D22</f>
        <v>275500000</v>
      </c>
      <c r="L22" s="9" t="n">
        <f aca="false">K22-P22-U22</f>
        <v>268574927.5</v>
      </c>
      <c r="M22" s="9" t="n">
        <f aca="false">L22-Q22-V22</f>
        <v>261649855</v>
      </c>
      <c r="N22" s="9" t="n">
        <f aca="false">M22-R22-W22</f>
        <v>234856485.236</v>
      </c>
      <c r="O22" s="9" t="n">
        <f aca="false">N22-S22-X22</f>
        <v>210675495.56224</v>
      </c>
      <c r="P22" s="9" t="n">
        <f aca="false">MIN(K22,Inputs!$C$35)</f>
        <v>6925072.5</v>
      </c>
      <c r="Q22" s="9" t="n">
        <f aca="false">MIN(L22,Inputs!$C$36)</f>
        <v>6925072.5</v>
      </c>
      <c r="R22" s="9" t="n">
        <f aca="false">MIN(M22,Inputs!$C$37)</f>
        <v>6371066.7</v>
      </c>
      <c r="S22" s="9" t="n">
        <f aca="false">MIN(N22,Inputs!$C$38)</f>
        <v>5861381.364</v>
      </c>
      <c r="T22" s="9" t="n">
        <f aca="false">MIN(O22,Inputs!$C$39)</f>
        <v>5392470.85488</v>
      </c>
      <c r="U22" s="9" t="n">
        <f aca="false">(K22-P22)*(1-Inputs!$B$35/Inputs!$B$34)</f>
        <v>0</v>
      </c>
      <c r="V22" s="9" t="n">
        <f aca="false">(L22-Q22)*(1-Inputs!$B$36/Inputs!$B$35)</f>
        <v>0</v>
      </c>
      <c r="W22" s="9" t="n">
        <f aca="false">(M22-R22)*(1-Inputs!$B$37/Inputs!$B$36)</f>
        <v>20422303.064</v>
      </c>
      <c r="X22" s="9" t="n">
        <f aca="false">(N22-S22)*(1-Inputs!$B$38/Inputs!$B$37)</f>
        <v>18319608.30976</v>
      </c>
      <c r="Y22" s="9" t="n">
        <f aca="false">O22-T22</f>
        <v>205283024.70736</v>
      </c>
      <c r="Z22" s="9" t="n">
        <f aca="false">K22/(1+Inputs!$B$25)^1+L22/(1+Inputs!$B$25)^2+M22/(1+Inputs!$B$25)^3+N22/(1+Inputs!$B$25)^4+O22/(1+Inputs!$B$25)^5</f>
        <v>1021912025.27613</v>
      </c>
      <c r="AA22" s="9" t="n">
        <f aca="false">U22/(1+Inputs!$B$25)^1+V22/(1+Inputs!$B$25)^2+W22/(1+Inputs!$B$25)^3+X22/(1+Inputs!$B$25)^4+Y22/(1+Inputs!$B$25)^5</f>
        <v>173148544.047593</v>
      </c>
      <c r="AB22" s="5" t="n">
        <f aca="false">(D22-AA22)/Z22-Inputs!$B$20</f>
        <v>0.0751568172414362</v>
      </c>
      <c r="AC22" s="9" t="n">
        <f aca="false">AB22*D22</f>
        <v>20705703.1500157</v>
      </c>
      <c r="AD22" s="5" t="n">
        <f aca="false">(Inputs!$B$31-AC22)*(1-Inputs!$B$12)/G22</f>
        <v>0.21580114249588</v>
      </c>
      <c r="AE22" s="5" t="n">
        <f aca="false">(Inputs!$B$31-AC22)*(1-Inputs!$B$12)/I22</f>
        <v>0.368153499094084</v>
      </c>
      <c r="AF22" s="5" t="n">
        <f aca="false">IF(H22&gt;0,AC22/H22,"")</f>
        <v>0.0872713147266229</v>
      </c>
      <c r="AG22" s="5" t="n">
        <f aca="false">Inputs!$B$9*H22/(1-Inputs!$B$12)/D22</f>
        <v>0.132048489775278</v>
      </c>
    </row>
    <row r="23" customFormat="false" ht="15" hidden="false" customHeight="false" outlineLevel="0" collapsed="false">
      <c r="A23" s="5" t="n">
        <f aca="false">0.03+0.0025*18</f>
        <v>0.075</v>
      </c>
      <c r="B23" s="4" t="str">
        <f aca="false">IF(A23&lt;Inputs!$B$13,"below KIRB",IF(E23&lt;=0.15,"floor binds",""))</f>
        <v/>
      </c>
      <c r="C23" s="9" t="n">
        <f aca="false">A23*Inputs!$B$5</f>
        <v>300000000</v>
      </c>
      <c r="D23" s="9" t="n">
        <f aca="false">C23*(1-Inputs!$B$18)</f>
        <v>285000000</v>
      </c>
      <c r="E23" s="5" t="n">
        <f aca="false">MAX(0.15,12.5*IF((1)&lt;=(Inputs!$B$13),1,IF((A23)&gt;=(Inputs!$B$13),(EXP((-1/((Inputs!$B$28)*(Inputs!$B$13)))*((1)-(Inputs!$B$13)))-EXP((-1/((Inputs!$B$28)*(Inputs!$B$13)))*MAX((A23)-(Inputs!$B$13),0)))/((-1/((Inputs!$B$28)*(Inputs!$B$13)))*(((1)-(Inputs!$B$13))-MAX((A23)-(Inputs!$B$13),0))),((Inputs!$B$13)-(A23))/((1)-(A23))+(1-((Inputs!$B$13)-(A23))/((1)-(A23)))*(EXP((-1/((Inputs!$B$28)*(Inputs!$B$13)))*((1)-(Inputs!$B$13)))-EXP((-1/((Inputs!$B$28)*(Inputs!$B$13)))*MAX((Inputs!$B$13)-(Inputs!$B$13),0)))/((-1/((Inputs!$B$28)*(Inputs!$B$13)))*(((1)-(Inputs!$B$13))-MAX((Inputs!$B$13)-(Inputs!$B$13),0))))))</f>
        <v>0.302132766033535</v>
      </c>
      <c r="F23" s="5" t="n">
        <f aca="false">MAX(0.1,12.5*IF((1)&lt;=(Inputs!$B$13),1,IF((A23)&gt;=(Inputs!$B$13),(EXP((-1/((Inputs!$B$29)*(Inputs!$B$13)))*((1)-(Inputs!$B$13)))-EXP((-1/((Inputs!$B$29)*(Inputs!$B$13)))*MAX((A23)-(Inputs!$B$13),0)))/((-1/((Inputs!$B$29)*(Inputs!$B$13)))*(((1)-(Inputs!$B$13))-MAX((A23)-(Inputs!$B$13),0))),((Inputs!$B$13)-(A23))/((1)-(A23))+(1-((Inputs!$B$13)-(A23))/((1)-(A23)))*(EXP((-1/((Inputs!$B$29)*(Inputs!$B$13)))*((1)-(Inputs!$B$13)))-EXP((-1/((Inputs!$B$29)*(Inputs!$B$13)))*MAX((Inputs!$B$13)-(Inputs!$B$13),0)))/((-1/((Inputs!$B$29)*(Inputs!$B$13)))*(((1)-(Inputs!$B$13))-MAX((Inputs!$B$13)-(Inputs!$B$13),0))))))</f>
        <v>0.158384427006523</v>
      </c>
      <c r="G23" s="9" t="n">
        <f aca="false">E23*(1-A23)*Inputs!$B$5*Inputs!$B$8+A23*Inputs!$B$5*Inputs!$B$18</f>
        <v>165915316.633751</v>
      </c>
      <c r="H23" s="9" t="n">
        <f aca="false">Inputs!$B$30-G23</f>
        <v>249490024.068591</v>
      </c>
      <c r="I23" s="9" t="n">
        <f aca="false">F23*(1-A23)*Inputs!$B$5*Inputs!$B$8+A23*Inputs!$B$5*Inputs!$B$18</f>
        <v>94113021.2897582</v>
      </c>
      <c r="J23" s="9" t="n">
        <f aca="false">Inputs!$B$30-I23</f>
        <v>321292319.412583</v>
      </c>
      <c r="K23" s="9" t="n">
        <f aca="false">D23</f>
        <v>285000000</v>
      </c>
      <c r="L23" s="9" t="n">
        <f aca="false">K23-P23-U23</f>
        <v>278074927.5</v>
      </c>
      <c r="M23" s="9" t="n">
        <f aca="false">L23-Q23-V23</f>
        <v>271149855</v>
      </c>
      <c r="N23" s="9" t="n">
        <f aca="false">M23-R23-W23</f>
        <v>243596485.236</v>
      </c>
      <c r="O23" s="9" t="n">
        <f aca="false">N23-S23-X23</f>
        <v>218716295.56224</v>
      </c>
      <c r="P23" s="9" t="n">
        <f aca="false">MIN(K23,Inputs!$C$35)</f>
        <v>6925072.5</v>
      </c>
      <c r="Q23" s="9" t="n">
        <f aca="false">MIN(L23,Inputs!$C$36)</f>
        <v>6925072.5</v>
      </c>
      <c r="R23" s="9" t="n">
        <f aca="false">MIN(M23,Inputs!$C$37)</f>
        <v>6371066.7</v>
      </c>
      <c r="S23" s="9" t="n">
        <f aca="false">MIN(N23,Inputs!$C$38)</f>
        <v>5861381.364</v>
      </c>
      <c r="T23" s="9" t="n">
        <f aca="false">MIN(O23,Inputs!$C$39)</f>
        <v>5392470.85488</v>
      </c>
      <c r="U23" s="9" t="n">
        <f aca="false">(K23-P23)*(1-Inputs!$B$35/Inputs!$B$34)</f>
        <v>0</v>
      </c>
      <c r="V23" s="9" t="n">
        <f aca="false">(L23-Q23)*(1-Inputs!$B$36/Inputs!$B$35)</f>
        <v>0</v>
      </c>
      <c r="W23" s="9" t="n">
        <f aca="false">(M23-R23)*(1-Inputs!$B$37/Inputs!$B$36)</f>
        <v>21182303.064</v>
      </c>
      <c r="X23" s="9" t="n">
        <f aca="false">(N23-S23)*(1-Inputs!$B$38/Inputs!$B$37)</f>
        <v>19018808.30976</v>
      </c>
      <c r="Y23" s="9" t="n">
        <f aca="false">O23-T23</f>
        <v>213323824.70736</v>
      </c>
      <c r="Z23" s="9" t="n">
        <f aca="false">K23/(1+Inputs!$B$25)^1+L23/(1+Inputs!$B$25)^2+M23/(1+Inputs!$B$25)^3+N23/(1+Inputs!$B$25)^4+O23/(1+Inputs!$B$25)^5</f>
        <v>1058762425.08616</v>
      </c>
      <c r="AA23" s="9" t="n">
        <f aca="false">U23/(1+Inputs!$B$25)^1+V23/(1+Inputs!$B$25)^2+W23/(1+Inputs!$B$25)^3+X23/(1+Inputs!$B$25)^4+Y23/(1+Inputs!$B$25)^5</f>
        <v>179884764.061841</v>
      </c>
      <c r="AB23" s="5" t="n">
        <f aca="false">(D23-AA23)/Z23-Inputs!$B$20</f>
        <v>0.0742812300923934</v>
      </c>
      <c r="AC23" s="9" t="n">
        <f aca="false">AB23*D23</f>
        <v>21170150.5763321</v>
      </c>
      <c r="AD23" s="5" t="n">
        <f aca="false">(Inputs!$B$31-AC23)*(1-Inputs!$B$12)/G23</f>
        <v>0.229613201726557</v>
      </c>
      <c r="AE23" s="5" t="n">
        <f aca="false">(Inputs!$B$31-AC23)*(1-Inputs!$B$12)/I23</f>
        <v>0.404793582712201</v>
      </c>
      <c r="AF23" s="5" t="n">
        <f aca="false">IF(H23&gt;0,AC23/H23,"")</f>
        <v>0.0848536956752705</v>
      </c>
      <c r="AG23" s="5" t="n">
        <f aca="false">Inputs!$B$9*H23/(1-Inputs!$B$12)/D23</f>
        <v>0.134228550960879</v>
      </c>
    </row>
    <row r="24" customFormat="false" ht="15" hidden="false" customHeight="false" outlineLevel="0" collapsed="false">
      <c r="A24" s="5" t="n">
        <f aca="false">0.03+0.0025*19</f>
        <v>0.0775</v>
      </c>
      <c r="B24" s="4" t="str">
        <f aca="false">IF(A24&lt;Inputs!$B$13,"below KIRB",IF(E24&lt;=0.15,"floor binds",""))</f>
        <v/>
      </c>
      <c r="C24" s="9" t="n">
        <f aca="false">A24*Inputs!$B$5</f>
        <v>310000000</v>
      </c>
      <c r="D24" s="9" t="n">
        <f aca="false">C24*(1-Inputs!$B$18)</f>
        <v>294500000</v>
      </c>
      <c r="E24" s="5" t="n">
        <f aca="false">MAX(0.15,12.5*IF((1)&lt;=(Inputs!$B$13),1,IF((A24)&gt;=(Inputs!$B$13),(EXP((-1/((Inputs!$B$28)*(Inputs!$B$13)))*((1)-(Inputs!$B$13)))-EXP((-1/((Inputs!$B$28)*(Inputs!$B$13)))*MAX((A24)-(Inputs!$B$13),0)))/((-1/((Inputs!$B$28)*(Inputs!$B$13)))*(((1)-(Inputs!$B$13))-MAX((A24)-(Inputs!$B$13),0))),((Inputs!$B$13)-(A24))/((1)-(A24))+(1-((Inputs!$B$13)-(A24))/((1)-(A24)))*(EXP((-1/((Inputs!$B$28)*(Inputs!$B$13)))*((1)-(Inputs!$B$13)))-EXP((-1/((Inputs!$B$28)*(Inputs!$B$13)))*MAX((Inputs!$B$13)-(Inputs!$B$13),0)))/((-1/((Inputs!$B$28)*(Inputs!$B$13)))*(((1)-(Inputs!$B$13))-MAX((Inputs!$B$13)-(Inputs!$B$13),0))))))</f>
        <v>0.279379201344742</v>
      </c>
      <c r="F24" s="5" t="n">
        <f aca="false">MAX(0.1,12.5*IF((1)&lt;=(Inputs!$B$13),1,IF((A24)&gt;=(Inputs!$B$13),(EXP((-1/((Inputs!$B$29)*(Inputs!$B$13)))*((1)-(Inputs!$B$13)))-EXP((-1/((Inputs!$B$29)*(Inputs!$B$13)))*MAX((A24)-(Inputs!$B$13),0)))/((-1/((Inputs!$B$29)*(Inputs!$B$13)))*(((1)-(Inputs!$B$13))-MAX((A24)-(Inputs!$B$13),0))),((Inputs!$B$13)-(A24))/((1)-(A24))+(1-((Inputs!$B$13)-(A24))/((1)-(A24)))*(EXP((-1/((Inputs!$B$29)*(Inputs!$B$13)))*((1)-(Inputs!$B$13)))-EXP((-1/((Inputs!$B$29)*(Inputs!$B$13)))*MAX((Inputs!$B$13)-(Inputs!$B$13),0)))/((-1/((Inputs!$B$29)*(Inputs!$B$13)))*(((1)-(Inputs!$B$13))-MAX((Inputs!$B$13)-(Inputs!$B$13),0))))))</f>
        <v>0.139717895076805</v>
      </c>
      <c r="G24" s="9" t="n">
        <f aca="false">E24*(1-A24)*Inputs!$B$5*Inputs!$B$8+A24*Inputs!$B$5*Inputs!$B$18</f>
        <v>154672749.149883</v>
      </c>
      <c r="H24" s="9" t="n">
        <f aca="false">Inputs!$B$30-G24</f>
        <v>260732591.552458</v>
      </c>
      <c r="I24" s="9" t="n">
        <f aca="false">F24*(1-A24)*Inputs!$B$5*Inputs!$B$8+A24*Inputs!$B$5*Inputs!$B$18</f>
        <v>85100469.4325104</v>
      </c>
      <c r="J24" s="9" t="n">
        <f aca="false">Inputs!$B$30-I24</f>
        <v>330304871.269831</v>
      </c>
      <c r="K24" s="9" t="n">
        <f aca="false">D24</f>
        <v>294500000</v>
      </c>
      <c r="L24" s="9" t="n">
        <f aca="false">K24-P24-U24</f>
        <v>287574927.5</v>
      </c>
      <c r="M24" s="9" t="n">
        <f aca="false">L24-Q24-V24</f>
        <v>280649855</v>
      </c>
      <c r="N24" s="9" t="n">
        <f aca="false">M24-R24-W24</f>
        <v>252336485.236</v>
      </c>
      <c r="O24" s="9" t="n">
        <f aca="false">N24-S24-X24</f>
        <v>226757095.56224</v>
      </c>
      <c r="P24" s="9" t="n">
        <f aca="false">MIN(K24,Inputs!$C$35)</f>
        <v>6925072.5</v>
      </c>
      <c r="Q24" s="9" t="n">
        <f aca="false">MIN(L24,Inputs!$C$36)</f>
        <v>6925072.5</v>
      </c>
      <c r="R24" s="9" t="n">
        <f aca="false">MIN(M24,Inputs!$C$37)</f>
        <v>6371066.7</v>
      </c>
      <c r="S24" s="9" t="n">
        <f aca="false">MIN(N24,Inputs!$C$38)</f>
        <v>5861381.364</v>
      </c>
      <c r="T24" s="9" t="n">
        <f aca="false">MIN(O24,Inputs!$C$39)</f>
        <v>5392470.85488</v>
      </c>
      <c r="U24" s="9" t="n">
        <f aca="false">(K24-P24)*(1-Inputs!$B$35/Inputs!$B$34)</f>
        <v>0</v>
      </c>
      <c r="V24" s="9" t="n">
        <f aca="false">(L24-Q24)*(1-Inputs!$B$36/Inputs!$B$35)</f>
        <v>0</v>
      </c>
      <c r="W24" s="9" t="n">
        <f aca="false">(M24-R24)*(1-Inputs!$B$37/Inputs!$B$36)</f>
        <v>21942303.064</v>
      </c>
      <c r="X24" s="9" t="n">
        <f aca="false">(N24-S24)*(1-Inputs!$B$38/Inputs!$B$37)</f>
        <v>19718008.30976</v>
      </c>
      <c r="Y24" s="9" t="n">
        <f aca="false">O24-T24</f>
        <v>221364624.70736</v>
      </c>
      <c r="Z24" s="9" t="n">
        <f aca="false">K24/(1+Inputs!$B$25)^1+L24/(1+Inputs!$B$25)^2+M24/(1+Inputs!$B$25)^3+N24/(1+Inputs!$B$25)^4+O24/(1+Inputs!$B$25)^5</f>
        <v>1095612824.89619</v>
      </c>
      <c r="AA24" s="9" t="n">
        <f aca="false">U24/(1+Inputs!$B$25)^1+V24/(1+Inputs!$B$25)^2+W24/(1+Inputs!$B$25)^3+X24/(1+Inputs!$B$25)^4+Y24/(1+Inputs!$B$25)^5</f>
        <v>186620984.076088</v>
      </c>
      <c r="AB24" s="5" t="n">
        <f aca="false">(D24-AA24)/Z24-Inputs!$B$20</f>
        <v>0.0734645428316644</v>
      </c>
      <c r="AC24" s="9" t="n">
        <f aca="false">AB24*D24</f>
        <v>21635307.8639252</v>
      </c>
      <c r="AD24" s="5" t="n">
        <f aca="false">(Inputs!$B$31-AC24)*(1-Inputs!$B$12)/G24</f>
        <v>0.24404737944806</v>
      </c>
      <c r="AE24" s="5" t="n">
        <f aca="false">(Inputs!$B$31-AC24)*(1-Inputs!$B$12)/I24</f>
        <v>0.443563700103818</v>
      </c>
      <c r="AF24" s="5" t="n">
        <f aca="false">IF(H24&gt;0,AC24/H24,"")</f>
        <v>0.0829789161957232</v>
      </c>
      <c r="AG24" s="5" t="n">
        <f aca="false">Inputs!$B$9*H24/(1-Inputs!$B$12)/D24</f>
        <v>0.135752113315372</v>
      </c>
    </row>
    <row r="25" customFormat="false" ht="15" hidden="false" customHeight="false" outlineLevel="0" collapsed="false">
      <c r="A25" s="5" t="n">
        <f aca="false">0.03+0.0025*20</f>
        <v>0.08</v>
      </c>
      <c r="B25" s="4" t="str">
        <f aca="false">IF(A25&lt;Inputs!$B$13,"below KIRB",IF(E25&lt;=0.15,"floor binds",""))</f>
        <v/>
      </c>
      <c r="C25" s="9" t="n">
        <f aca="false">A25*Inputs!$B$5</f>
        <v>320000000</v>
      </c>
      <c r="D25" s="9" t="n">
        <f aca="false">C25*(1-Inputs!$B$18)</f>
        <v>304000000</v>
      </c>
      <c r="E25" s="5" t="n">
        <f aca="false">MAX(0.15,12.5*IF((1)&lt;=(Inputs!$B$13),1,IF((A25)&gt;=(Inputs!$B$13),(EXP((-1/((Inputs!$B$28)*(Inputs!$B$13)))*((1)-(Inputs!$B$13)))-EXP((-1/((Inputs!$B$28)*(Inputs!$B$13)))*MAX((A25)-(Inputs!$B$13),0)))/((-1/((Inputs!$B$28)*(Inputs!$B$13)))*(((1)-(Inputs!$B$13))-MAX((A25)-(Inputs!$B$13),0))),((Inputs!$B$13)-(A25))/((1)-(A25))+(1-((Inputs!$B$13)-(A25))/((1)-(A25)))*(EXP((-1/((Inputs!$B$28)*(Inputs!$B$13)))*((1)-(Inputs!$B$13)))-EXP((-1/((Inputs!$B$28)*(Inputs!$B$13)))*MAX((Inputs!$B$13)-(Inputs!$B$13),0)))/((-1/((Inputs!$B$28)*(Inputs!$B$13)))*(((1)-(Inputs!$B$13))-MAX((Inputs!$B$13)-(Inputs!$B$13),0))))))</f>
        <v>0.258341100872692</v>
      </c>
      <c r="F25" s="5" t="n">
        <f aca="false">MAX(0.1,12.5*IF((1)&lt;=(Inputs!$B$13),1,IF((A25)&gt;=(Inputs!$B$13),(EXP((-1/((Inputs!$B$29)*(Inputs!$B$13)))*((1)-(Inputs!$B$13)))-EXP((-1/((Inputs!$B$29)*(Inputs!$B$13)))*MAX((A25)-(Inputs!$B$13),0)))/((-1/((Inputs!$B$29)*(Inputs!$B$13)))*(((1)-(Inputs!$B$13))-MAX((A25)-(Inputs!$B$13),0))),((Inputs!$B$13)-(A25))/((1)-(A25))+(1-((Inputs!$B$13)-(A25))/((1)-(A25)))*(EXP((-1/((Inputs!$B$29)*(Inputs!$B$13)))*((1)-(Inputs!$B$13)))-EXP((-1/((Inputs!$B$29)*(Inputs!$B$13)))*MAX((Inputs!$B$13)-(Inputs!$B$13),0)))/((-1/((Inputs!$B$29)*(Inputs!$B$13)))*(((1)-(Inputs!$B$13))-MAX((Inputs!$B$13)-(Inputs!$B$13),0))))))</f>
        <v>0.123252228406571</v>
      </c>
      <c r="G25" s="9" t="n">
        <f aca="false">E25*(1-A25)*Inputs!$B$5*Inputs!$B$8+A25*Inputs!$B$5*Inputs!$B$18</f>
        <v>144343858.913553</v>
      </c>
      <c r="H25" s="9" t="n">
        <f aca="false">Inputs!$B$30-G25</f>
        <v>271061481.788788</v>
      </c>
      <c r="I25" s="9" t="n">
        <f aca="false">F25*(1-A25)*Inputs!$B$5*Inputs!$B$8+A25*Inputs!$B$5*Inputs!$B$18</f>
        <v>77231707.0723847</v>
      </c>
      <c r="J25" s="9" t="n">
        <f aca="false">Inputs!$B$30-I25</f>
        <v>338173633.629957</v>
      </c>
      <c r="K25" s="9" t="n">
        <f aca="false">D25</f>
        <v>304000000</v>
      </c>
      <c r="L25" s="9" t="n">
        <f aca="false">K25-P25-U25</f>
        <v>297074927.5</v>
      </c>
      <c r="M25" s="9" t="n">
        <f aca="false">L25-Q25-V25</f>
        <v>290149855</v>
      </c>
      <c r="N25" s="9" t="n">
        <f aca="false">M25-R25-W25</f>
        <v>261076485.236</v>
      </c>
      <c r="O25" s="9" t="n">
        <f aca="false">N25-S25-X25</f>
        <v>234797895.56224</v>
      </c>
      <c r="P25" s="9" t="n">
        <f aca="false">MIN(K25,Inputs!$C$35)</f>
        <v>6925072.5</v>
      </c>
      <c r="Q25" s="9" t="n">
        <f aca="false">MIN(L25,Inputs!$C$36)</f>
        <v>6925072.5</v>
      </c>
      <c r="R25" s="9" t="n">
        <f aca="false">MIN(M25,Inputs!$C$37)</f>
        <v>6371066.7</v>
      </c>
      <c r="S25" s="9" t="n">
        <f aca="false">MIN(N25,Inputs!$C$38)</f>
        <v>5861381.364</v>
      </c>
      <c r="T25" s="9" t="n">
        <f aca="false">MIN(O25,Inputs!$C$39)</f>
        <v>5392470.85488</v>
      </c>
      <c r="U25" s="9" t="n">
        <f aca="false">(K25-P25)*(1-Inputs!$B$35/Inputs!$B$34)</f>
        <v>0</v>
      </c>
      <c r="V25" s="9" t="n">
        <f aca="false">(L25-Q25)*(1-Inputs!$B$36/Inputs!$B$35)</f>
        <v>0</v>
      </c>
      <c r="W25" s="9" t="n">
        <f aca="false">(M25-R25)*(1-Inputs!$B$37/Inputs!$B$36)</f>
        <v>22702303.064</v>
      </c>
      <c r="X25" s="9" t="n">
        <f aca="false">(N25-S25)*(1-Inputs!$B$38/Inputs!$B$37)</f>
        <v>20417208.30976</v>
      </c>
      <c r="Y25" s="9" t="n">
        <f aca="false">O25-T25</f>
        <v>229405424.70736</v>
      </c>
      <c r="Z25" s="9" t="n">
        <f aca="false">K25/(1+Inputs!$B$25)^1+L25/(1+Inputs!$B$25)^2+M25/(1+Inputs!$B$25)^3+N25/(1+Inputs!$B$25)^4+O25/(1+Inputs!$B$25)^5</f>
        <v>1132463224.70622</v>
      </c>
      <c r="AA25" s="9" t="n">
        <f aca="false">U25/(1+Inputs!$B$25)^1+V25/(1+Inputs!$B$25)^2+W25/(1+Inputs!$B$25)^3+X25/(1+Inputs!$B$25)^4+Y25/(1+Inputs!$B$25)^5</f>
        <v>193357204.090336</v>
      </c>
      <c r="AB25" s="5" t="n">
        <f aca="false">(D25-AA25)/Z25-Inputs!$B$20</f>
        <v>0.0727010056448999</v>
      </c>
      <c r="AC25" s="9" t="n">
        <f aca="false">AB25*D25</f>
        <v>22101105.7160496</v>
      </c>
      <c r="AD25" s="5" t="n">
        <f aca="false">(Inputs!$B$31-AC25)*(1-Inputs!$B$12)/G25</f>
        <v>0.259090556359314</v>
      </c>
      <c r="AE25" s="5" t="n">
        <f aca="false">(Inputs!$B$31-AC25)*(1-Inputs!$B$12)/I25</f>
        <v>0.484232864073712</v>
      </c>
      <c r="AF25" s="5" t="n">
        <f aca="false">IF(H25&gt;0,AC25/H25,"")</f>
        <v>0.0815353976898525</v>
      </c>
      <c r="AG25" s="5" t="n">
        <f aca="false">Inputs!$B$9*H25/(1-Inputs!$B$12)/D25</f>
        <v>0.136719607042591</v>
      </c>
    </row>
    <row r="26" customFormat="false" ht="15" hidden="false" customHeight="false" outlineLevel="0" collapsed="false">
      <c r="A26" s="5" t="n">
        <f aca="false">0.03+0.0025*21</f>
        <v>0.0825</v>
      </c>
      <c r="B26" s="4" t="str">
        <f aca="false">IF(A26&lt;Inputs!$B$13,"below KIRB",IF(E26&lt;=0.15,"floor binds",""))</f>
        <v/>
      </c>
      <c r="C26" s="9" t="n">
        <f aca="false">A26*Inputs!$B$5</f>
        <v>330000000</v>
      </c>
      <c r="D26" s="9" t="n">
        <f aca="false">C26*(1-Inputs!$B$18)</f>
        <v>313500000</v>
      </c>
      <c r="E26" s="5" t="n">
        <f aca="false">MAX(0.15,12.5*IF((1)&lt;=(Inputs!$B$13),1,IF((A26)&gt;=(Inputs!$B$13),(EXP((-1/((Inputs!$B$28)*(Inputs!$B$13)))*((1)-(Inputs!$B$13)))-EXP((-1/((Inputs!$B$28)*(Inputs!$B$13)))*MAX((A26)-(Inputs!$B$13),0)))/((-1/((Inputs!$B$28)*(Inputs!$B$13)))*(((1)-(Inputs!$B$13))-MAX((A26)-(Inputs!$B$13),0))),((Inputs!$B$13)-(A26))/((1)-(A26))+(1-((Inputs!$B$13)-(A26))/((1)-(A26)))*(EXP((-1/((Inputs!$B$28)*(Inputs!$B$13)))*((1)-(Inputs!$B$13)))-EXP((-1/((Inputs!$B$28)*(Inputs!$B$13)))*MAX((Inputs!$B$13)-(Inputs!$B$13),0)))/((-1/((Inputs!$B$28)*(Inputs!$B$13)))*(((1)-(Inputs!$B$13))-MAX((Inputs!$B$13)-(Inputs!$B$13),0))))))</f>
        <v>0.238888997126381</v>
      </c>
      <c r="F26" s="5" t="n">
        <f aca="false">MAX(0.1,12.5*IF((1)&lt;=(Inputs!$B$13),1,IF((A26)&gt;=(Inputs!$B$13),(EXP((-1/((Inputs!$B$29)*(Inputs!$B$13)))*((1)-(Inputs!$B$13)))-EXP((-1/((Inputs!$B$29)*(Inputs!$B$13)))*MAX((A26)-(Inputs!$B$13),0)))/((-1/((Inputs!$B$29)*(Inputs!$B$13)))*(((1)-(Inputs!$B$13))-MAX((A26)-(Inputs!$B$13),0))),((Inputs!$B$13)-(A26))/((1)-(A26))+(1-((Inputs!$B$13)-(A26))/((1)-(A26)))*(EXP((-1/((Inputs!$B$29)*(Inputs!$B$13)))*((1)-(Inputs!$B$13)))-EXP((-1/((Inputs!$B$29)*(Inputs!$B$13)))*MAX((Inputs!$B$13)-(Inputs!$B$13),0)))/((-1/((Inputs!$B$29)*(Inputs!$B$13)))*(((1)-(Inputs!$B$13))-MAX((Inputs!$B$13)-(Inputs!$B$13),0))))))</f>
        <v>0.108727833139101</v>
      </c>
      <c r="G26" s="9" t="n">
        <f aca="false">E26*(1-A26)*Inputs!$B$5*Inputs!$B$8+A26*Inputs!$B$5*Inputs!$B$18</f>
        <v>134857553.626265</v>
      </c>
      <c r="H26" s="9" t="n">
        <f aca="false">Inputs!$B$30-G26</f>
        <v>280547787.076076</v>
      </c>
      <c r="I26" s="9" t="n">
        <f aca="false">F26*(1-A26)*Inputs!$B$5*Inputs!$B$8+A26*Inputs!$B$5*Inputs!$B$18</f>
        <v>70369204.9287676</v>
      </c>
      <c r="J26" s="9" t="n">
        <f aca="false">Inputs!$B$30-I26</f>
        <v>345036135.773574</v>
      </c>
      <c r="K26" s="9" t="n">
        <f aca="false">D26</f>
        <v>313500000</v>
      </c>
      <c r="L26" s="9" t="n">
        <f aca="false">K26-P26-U26</f>
        <v>306574927.5</v>
      </c>
      <c r="M26" s="9" t="n">
        <f aca="false">L26-Q26-V26</f>
        <v>299649855</v>
      </c>
      <c r="N26" s="9" t="n">
        <f aca="false">M26-R26-W26</f>
        <v>269816485.236</v>
      </c>
      <c r="O26" s="9" t="n">
        <f aca="false">N26-S26-X26</f>
        <v>242838695.56224</v>
      </c>
      <c r="P26" s="9" t="n">
        <f aca="false">MIN(K26,Inputs!$C$35)</f>
        <v>6925072.5</v>
      </c>
      <c r="Q26" s="9" t="n">
        <f aca="false">MIN(L26,Inputs!$C$36)</f>
        <v>6925072.5</v>
      </c>
      <c r="R26" s="9" t="n">
        <f aca="false">MIN(M26,Inputs!$C$37)</f>
        <v>6371066.7</v>
      </c>
      <c r="S26" s="9" t="n">
        <f aca="false">MIN(N26,Inputs!$C$38)</f>
        <v>5861381.364</v>
      </c>
      <c r="T26" s="9" t="n">
        <f aca="false">MIN(O26,Inputs!$C$39)</f>
        <v>5392470.85488</v>
      </c>
      <c r="U26" s="9" t="n">
        <f aca="false">(K26-P26)*(1-Inputs!$B$35/Inputs!$B$34)</f>
        <v>0</v>
      </c>
      <c r="V26" s="9" t="n">
        <f aca="false">(L26-Q26)*(1-Inputs!$B$36/Inputs!$B$35)</f>
        <v>0</v>
      </c>
      <c r="W26" s="9" t="n">
        <f aca="false">(M26-R26)*(1-Inputs!$B$37/Inputs!$B$36)</f>
        <v>23462303.064</v>
      </c>
      <c r="X26" s="9" t="n">
        <f aca="false">(N26-S26)*(1-Inputs!$B$38/Inputs!$B$37)</f>
        <v>21116408.30976</v>
      </c>
      <c r="Y26" s="9" t="n">
        <f aca="false">O26-T26</f>
        <v>237446224.70736</v>
      </c>
      <c r="Z26" s="9" t="n">
        <f aca="false">K26/(1+Inputs!$B$25)^1+L26/(1+Inputs!$B$25)^2+M26/(1+Inputs!$B$25)^3+N26/(1+Inputs!$B$25)^4+O26/(1+Inputs!$B$25)^5</f>
        <v>1169313624.51625</v>
      </c>
      <c r="AA26" s="9" t="n">
        <f aca="false">U26/(1+Inputs!$B$25)^1+V26/(1+Inputs!$B$25)^2+W26/(1+Inputs!$B$25)^3+X26/(1+Inputs!$B$25)^4+Y26/(1+Inputs!$B$25)^5</f>
        <v>200093424.104584</v>
      </c>
      <c r="AB26" s="5" t="n">
        <f aca="false">(D26-AA26)/Z26-Inputs!$B$20</f>
        <v>0.0719855935291381</v>
      </c>
      <c r="AC26" s="9" t="n">
        <f aca="false">AB26*D26</f>
        <v>22567483.5713848</v>
      </c>
      <c r="AD26" s="5" t="n">
        <f aca="false">(Inputs!$B$31-AC26)*(1-Inputs!$B$12)/G26</f>
        <v>0.274722077668223</v>
      </c>
      <c r="AE26" s="5" t="n">
        <f aca="false">(Inputs!$B$31-AC26)*(1-Inputs!$B$12)/I26</f>
        <v>0.526485233973642</v>
      </c>
      <c r="AF26" s="5" t="n">
        <f aca="false">IF(H26&gt;0,AC26/H26,"")</f>
        <v>0.0804407826794412</v>
      </c>
      <c r="AG26" s="5" t="n">
        <f aca="false">Inputs!$B$9*H26/(1-Inputs!$B$12)/D26</f>
        <v>0.137216355188724</v>
      </c>
    </row>
    <row r="27" customFormat="false" ht="15" hidden="false" customHeight="false" outlineLevel="0" collapsed="false">
      <c r="A27" s="5" t="n">
        <f aca="false">0.03+0.0025*22</f>
        <v>0.085</v>
      </c>
      <c r="B27" s="4" t="str">
        <f aca="false">IF(A27&lt;Inputs!$B$13,"below KIRB",IF(E27&lt;=0.15,"floor binds",""))</f>
        <v/>
      </c>
      <c r="C27" s="9" t="n">
        <f aca="false">A27*Inputs!$B$5</f>
        <v>340000000</v>
      </c>
      <c r="D27" s="9" t="n">
        <f aca="false">C27*(1-Inputs!$B$18)</f>
        <v>323000000</v>
      </c>
      <c r="E27" s="5" t="n">
        <f aca="false">MAX(0.15,12.5*IF((1)&lt;=(Inputs!$B$13),1,IF((A27)&gt;=(Inputs!$B$13),(EXP((-1/((Inputs!$B$28)*(Inputs!$B$13)))*((1)-(Inputs!$B$13)))-EXP((-1/((Inputs!$B$28)*(Inputs!$B$13)))*MAX((A27)-(Inputs!$B$13),0)))/((-1/((Inputs!$B$28)*(Inputs!$B$13)))*(((1)-(Inputs!$B$13))-MAX((A27)-(Inputs!$B$13),0))),((Inputs!$B$13)-(A27))/((1)-(A27))+(1-((Inputs!$B$13)-(A27))/((1)-(A27)))*(EXP((-1/((Inputs!$B$28)*(Inputs!$B$13)))*((1)-(Inputs!$B$13)))-EXP((-1/((Inputs!$B$28)*(Inputs!$B$13)))*MAX((Inputs!$B$13)-(Inputs!$B$13),0)))/((-1/((Inputs!$B$28)*(Inputs!$B$13)))*(((1)-(Inputs!$B$13))-MAX((Inputs!$B$13)-(Inputs!$B$13),0))))))</f>
        <v>0.220903203013666</v>
      </c>
      <c r="F27" s="5" t="n">
        <f aca="false">MAX(0.1,12.5*IF((1)&lt;=(Inputs!$B$13),1,IF((A27)&gt;=(Inputs!$B$13),(EXP((-1/((Inputs!$B$29)*(Inputs!$B$13)))*((1)-(Inputs!$B$13)))-EXP((-1/((Inputs!$B$29)*(Inputs!$B$13)))*MAX((A27)-(Inputs!$B$13),0)))/((-1/((Inputs!$B$29)*(Inputs!$B$13)))*(((1)-(Inputs!$B$13))-MAX((A27)-(Inputs!$B$13),0))),((Inputs!$B$13)-(A27))/((1)-(A27))+(1-((Inputs!$B$13)-(A27))/((1)-(A27)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27" s="9" t="n">
        <f aca="false">E27*(1-A27)*Inputs!$B$5*Inputs!$B$8+A27*Inputs!$B$5*Inputs!$B$18</f>
        <v>126148272.609052</v>
      </c>
      <c r="H27" s="9" t="n">
        <f aca="false">Inputs!$B$30-G27</f>
        <v>289257068.093289</v>
      </c>
      <c r="I27" s="9" t="n">
        <f aca="false">F27*(1-A27)*Inputs!$B$5*Inputs!$B$8+A27*Inputs!$B$5*Inputs!$B$18</f>
        <v>66410000</v>
      </c>
      <c r="J27" s="9" t="n">
        <f aca="false">Inputs!$B$30-I27</f>
        <v>348995340.702342</v>
      </c>
      <c r="K27" s="9" t="n">
        <f aca="false">D27</f>
        <v>323000000</v>
      </c>
      <c r="L27" s="9" t="n">
        <f aca="false">K27-P27-U27</f>
        <v>316074927.5</v>
      </c>
      <c r="M27" s="9" t="n">
        <f aca="false">L27-Q27-V27</f>
        <v>309149855</v>
      </c>
      <c r="N27" s="9" t="n">
        <f aca="false">M27-R27-W27</f>
        <v>278556485.236</v>
      </c>
      <c r="O27" s="9" t="n">
        <f aca="false">N27-S27-X27</f>
        <v>250879495.56224</v>
      </c>
      <c r="P27" s="9" t="n">
        <f aca="false">MIN(K27,Inputs!$C$35)</f>
        <v>6925072.5</v>
      </c>
      <c r="Q27" s="9" t="n">
        <f aca="false">MIN(L27,Inputs!$C$36)</f>
        <v>6925072.5</v>
      </c>
      <c r="R27" s="9" t="n">
        <f aca="false">MIN(M27,Inputs!$C$37)</f>
        <v>6371066.7</v>
      </c>
      <c r="S27" s="9" t="n">
        <f aca="false">MIN(N27,Inputs!$C$38)</f>
        <v>5861381.364</v>
      </c>
      <c r="T27" s="9" t="n">
        <f aca="false">MIN(O27,Inputs!$C$39)</f>
        <v>5392470.85488</v>
      </c>
      <c r="U27" s="9" t="n">
        <f aca="false">(K27-P27)*(1-Inputs!$B$35/Inputs!$B$34)</f>
        <v>0</v>
      </c>
      <c r="V27" s="9" t="n">
        <f aca="false">(L27-Q27)*(1-Inputs!$B$36/Inputs!$B$35)</f>
        <v>0</v>
      </c>
      <c r="W27" s="9" t="n">
        <f aca="false">(M27-R27)*(1-Inputs!$B$37/Inputs!$B$36)</f>
        <v>24222303.064</v>
      </c>
      <c r="X27" s="9" t="n">
        <f aca="false">(N27-S27)*(1-Inputs!$B$38/Inputs!$B$37)</f>
        <v>21815608.30976</v>
      </c>
      <c r="Y27" s="9" t="n">
        <f aca="false">O27-T27</f>
        <v>245487024.70736</v>
      </c>
      <c r="Z27" s="9" t="n">
        <f aca="false">K27/(1+Inputs!$B$25)^1+L27/(1+Inputs!$B$25)^2+M27/(1+Inputs!$B$25)^3+N27/(1+Inputs!$B$25)^4+O27/(1+Inputs!$B$25)^5</f>
        <v>1206164024.32628</v>
      </c>
      <c r="AA27" s="9" t="n">
        <f aca="false">U27/(1+Inputs!$B$25)^1+V27/(1+Inputs!$B$25)^2+W27/(1+Inputs!$B$25)^3+X27/(1+Inputs!$B$25)^4+Y27/(1+Inputs!$B$25)^5</f>
        <v>206829644.118832</v>
      </c>
      <c r="AB27" s="5" t="n">
        <f aca="false">(D27-AA27)/Z27-Inputs!$B$20</f>
        <v>0.0713138955715887</v>
      </c>
      <c r="AC27" s="9" t="n">
        <f aca="false">AB27*D27</f>
        <v>23034388.2696232</v>
      </c>
      <c r="AD27" s="5" t="n">
        <f aca="false">(Inputs!$B$31-AC27)*(1-Inputs!$B$12)/G27</f>
        <v>0.290912971210588</v>
      </c>
      <c r="AE27" s="5" t="n">
        <f aca="false">(Inputs!$B$31-AC27)*(1-Inputs!$B$12)/I27</f>
        <v>0.552600042128936</v>
      </c>
      <c r="AF27" s="5" t="n">
        <f aca="false">IF(H27&gt;0,AC27/H27,"")</f>
        <v>0.0796329314317542</v>
      </c>
      <c r="AG27" s="5" t="n">
        <f aca="false">Inputs!$B$9*H27/(1-Inputs!$B$12)/D27</f>
        <v>0.137315016845112</v>
      </c>
    </row>
    <row r="28" customFormat="false" ht="15" hidden="false" customHeight="false" outlineLevel="0" collapsed="false">
      <c r="A28" s="5" t="n">
        <f aca="false">0.03+0.0025*23</f>
        <v>0.0875</v>
      </c>
      <c r="B28" s="4" t="str">
        <f aca="false">IF(A28&lt;Inputs!$B$13,"below KIRB",IF(E28&lt;=0.15,"floor binds",""))</f>
        <v/>
      </c>
      <c r="C28" s="9" t="n">
        <f aca="false">A28*Inputs!$B$5</f>
        <v>350000000</v>
      </c>
      <c r="D28" s="9" t="n">
        <f aca="false">C28*(1-Inputs!$B$18)</f>
        <v>332500000</v>
      </c>
      <c r="E28" s="5" t="n">
        <f aca="false">MAX(0.15,12.5*IF((1)&lt;=(Inputs!$B$13),1,IF((A28)&gt;=(Inputs!$B$13),(EXP((-1/((Inputs!$B$28)*(Inputs!$B$13)))*((1)-(Inputs!$B$13)))-EXP((-1/((Inputs!$B$28)*(Inputs!$B$13)))*MAX((A28)-(Inputs!$B$13),0)))/((-1/((Inputs!$B$28)*(Inputs!$B$13)))*(((1)-(Inputs!$B$13))-MAX((A28)-(Inputs!$B$13),0))),((Inputs!$B$13)-(A28))/((1)-(A28))+(1-((Inputs!$B$13)-(A28))/((1)-(A28)))*(EXP((-1/((Inputs!$B$28)*(Inputs!$B$13)))*((1)-(Inputs!$B$13)))-EXP((-1/((Inputs!$B$28)*(Inputs!$B$13)))*MAX((Inputs!$B$13)-(Inputs!$B$13),0)))/((-1/((Inputs!$B$28)*(Inputs!$B$13)))*(((1)-(Inputs!$B$13))-MAX((Inputs!$B$13)-(Inputs!$B$13),0))))))</f>
        <v>0.204273072334408</v>
      </c>
      <c r="F28" s="5" t="n">
        <f aca="false">MAX(0.1,12.5*IF((1)&lt;=(Inputs!$B$13),1,IF((A28)&gt;=(Inputs!$B$13),(EXP((-1/((Inputs!$B$29)*(Inputs!$B$13)))*((1)-(Inputs!$B$13)))-EXP((-1/((Inputs!$B$29)*(Inputs!$B$13)))*MAX((A28)-(Inputs!$B$13),0)))/((-1/((Inputs!$B$29)*(Inputs!$B$13)))*(((1)-(Inputs!$B$13))-MAX((A28)-(Inputs!$B$13),0))),((Inputs!$B$13)-(A28))/((1)-(A28))+(1-((Inputs!$B$13)-(A28))/((1)-(A28)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28" s="9" t="n">
        <f aca="false">E28*(1-A28)*Inputs!$B$5*Inputs!$B$8+A28*Inputs!$B$5*Inputs!$B$18</f>
        <v>118155556.39278</v>
      </c>
      <c r="H28" s="9" t="n">
        <f aca="false">Inputs!$B$30-G28</f>
        <v>297249784.309562</v>
      </c>
      <c r="I28" s="9" t="n">
        <f aca="false">F28*(1-A28)*Inputs!$B$5*Inputs!$B$8+A28*Inputs!$B$5*Inputs!$B$18</f>
        <v>66775000</v>
      </c>
      <c r="J28" s="9" t="n">
        <f aca="false">Inputs!$B$30-I28</f>
        <v>348630340.702342</v>
      </c>
      <c r="K28" s="9" t="n">
        <f aca="false">D28</f>
        <v>332500000</v>
      </c>
      <c r="L28" s="9" t="n">
        <f aca="false">K28-P28-U28</f>
        <v>325574927.5</v>
      </c>
      <c r="M28" s="9" t="n">
        <f aca="false">L28-Q28-V28</f>
        <v>318649855</v>
      </c>
      <c r="N28" s="9" t="n">
        <f aca="false">M28-R28-W28</f>
        <v>287296485.236</v>
      </c>
      <c r="O28" s="9" t="n">
        <f aca="false">N28-S28-X28</f>
        <v>258920295.56224</v>
      </c>
      <c r="P28" s="9" t="n">
        <f aca="false">MIN(K28,Inputs!$C$35)</f>
        <v>6925072.5</v>
      </c>
      <c r="Q28" s="9" t="n">
        <f aca="false">MIN(L28,Inputs!$C$36)</f>
        <v>6925072.5</v>
      </c>
      <c r="R28" s="9" t="n">
        <f aca="false">MIN(M28,Inputs!$C$37)</f>
        <v>6371066.7</v>
      </c>
      <c r="S28" s="9" t="n">
        <f aca="false">MIN(N28,Inputs!$C$38)</f>
        <v>5861381.364</v>
      </c>
      <c r="T28" s="9" t="n">
        <f aca="false">MIN(O28,Inputs!$C$39)</f>
        <v>5392470.85488</v>
      </c>
      <c r="U28" s="9" t="n">
        <f aca="false">(K28-P28)*(1-Inputs!$B$35/Inputs!$B$34)</f>
        <v>0</v>
      </c>
      <c r="V28" s="9" t="n">
        <f aca="false">(L28-Q28)*(1-Inputs!$B$36/Inputs!$B$35)</f>
        <v>0</v>
      </c>
      <c r="W28" s="9" t="n">
        <f aca="false">(M28-R28)*(1-Inputs!$B$37/Inputs!$B$36)</f>
        <v>24982303.064</v>
      </c>
      <c r="X28" s="9" t="n">
        <f aca="false">(N28-S28)*(1-Inputs!$B$38/Inputs!$B$37)</f>
        <v>22514808.30976</v>
      </c>
      <c r="Y28" s="9" t="n">
        <f aca="false">O28-T28</f>
        <v>253527824.70736</v>
      </c>
      <c r="Z28" s="9" t="n">
        <f aca="false">K28/(1+Inputs!$B$25)^1+L28/(1+Inputs!$B$25)^2+M28/(1+Inputs!$B$25)^3+N28/(1+Inputs!$B$25)^4+O28/(1+Inputs!$B$25)^5</f>
        <v>1243014424.13631</v>
      </c>
      <c r="AA28" s="9" t="n">
        <f aca="false">U28/(1+Inputs!$B$25)^1+V28/(1+Inputs!$B$25)^2+W28/(1+Inputs!$B$25)^3+X28/(1+Inputs!$B$25)^4+Y28/(1+Inputs!$B$25)^5</f>
        <v>213565864.133079</v>
      </c>
      <c r="AB28" s="5" t="n">
        <f aca="false">(D28-AA28)/Z28-Inputs!$B$20</f>
        <v>0.0706820239230613</v>
      </c>
      <c r="AC28" s="9" t="n">
        <f aca="false">AB28*D28</f>
        <v>23501772.9544179</v>
      </c>
      <c r="AD28" s="5" t="n">
        <f aca="false">(Inputs!$B$31-AC28)*(1-Inputs!$B$12)/G28</f>
        <v>0.307625230618505</v>
      </c>
      <c r="AE28" s="5" t="n">
        <f aca="false">(Inputs!$B$31-AC28)*(1-Inputs!$B$12)/I28</f>
        <v>0.544329918145812</v>
      </c>
      <c r="AF28" s="5" t="n">
        <f aca="false">IF(H28&gt;0,AC28/H28,"")</f>
        <v>0.0790640538529127</v>
      </c>
      <c r="AG28" s="5" t="n">
        <f aca="false">Inputs!$B$9*H28/(1-Inputs!$B$12)/D28</f>
        <v>0.137077594769322</v>
      </c>
    </row>
    <row r="29" customFormat="false" ht="15" hidden="false" customHeight="false" outlineLevel="0" collapsed="false">
      <c r="A29" s="5" t="n">
        <f aca="false">0.03+0.0025*24</f>
        <v>0.09</v>
      </c>
      <c r="B29" s="4" t="str">
        <f aca="false">IF(A29&lt;Inputs!$B$13,"below KIRB",IF(E29&lt;=0.15,"floor binds",""))</f>
        <v/>
      </c>
      <c r="C29" s="9" t="n">
        <f aca="false">A29*Inputs!$B$5</f>
        <v>360000000</v>
      </c>
      <c r="D29" s="9" t="n">
        <f aca="false">C29*(1-Inputs!$B$18)</f>
        <v>342000000</v>
      </c>
      <c r="E29" s="5" t="n">
        <f aca="false">MAX(0.15,12.5*IF((1)&lt;=(Inputs!$B$13),1,IF((A29)&gt;=(Inputs!$B$13),(EXP((-1/((Inputs!$B$28)*(Inputs!$B$13)))*((1)-(Inputs!$B$13)))-EXP((-1/((Inputs!$B$28)*(Inputs!$B$13)))*MAX((A29)-(Inputs!$B$13),0)))/((-1/((Inputs!$B$28)*(Inputs!$B$13)))*(((1)-(Inputs!$B$13))-MAX((A29)-(Inputs!$B$13),0))),((Inputs!$B$13)-(A29))/((1)-(A29))+(1-((Inputs!$B$13)-(A29))/((1)-(A29)))*(EXP((-1/((Inputs!$B$28)*(Inputs!$B$13)))*((1)-(Inputs!$B$13)))-EXP((-1/((Inputs!$B$28)*(Inputs!$B$13)))*MAX((Inputs!$B$13)-(Inputs!$B$13),0)))/((-1/((Inputs!$B$28)*(Inputs!$B$13)))*(((1)-(Inputs!$B$13))-MAX((Inputs!$B$13)-(Inputs!$B$13),0))))))</f>
        <v>0.188896316235632</v>
      </c>
      <c r="F29" s="5" t="n">
        <f aca="false">MAX(0.1,12.5*IF((1)&lt;=(Inputs!$B$13),1,IF((A29)&gt;=(Inputs!$B$13),(EXP((-1/((Inputs!$B$29)*(Inputs!$B$13)))*((1)-(Inputs!$B$13)))-EXP((-1/((Inputs!$B$29)*(Inputs!$B$13)))*MAX((A29)-(Inputs!$B$13),0)))/((-1/((Inputs!$B$29)*(Inputs!$B$13)))*(((1)-(Inputs!$B$13))-MAX((A29)-(Inputs!$B$13),0))),((Inputs!$B$13)-(A29))/((1)-(A29))+(1-((Inputs!$B$13)-(A29))/((1)-(A29)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29" s="9" t="n">
        <f aca="false">E29*(1-A29)*Inputs!$B$5*Inputs!$B$8+A29*Inputs!$B$5*Inputs!$B$18</f>
        <v>110823649.79819</v>
      </c>
      <c r="H29" s="9" t="n">
        <f aca="false">Inputs!$B$30-G29</f>
        <v>304581690.904152</v>
      </c>
      <c r="I29" s="9" t="n">
        <f aca="false">F29*(1-A29)*Inputs!$B$5*Inputs!$B$8+A29*Inputs!$B$5*Inputs!$B$18</f>
        <v>67140000</v>
      </c>
      <c r="J29" s="9" t="n">
        <f aca="false">Inputs!$B$30-I29</f>
        <v>348265340.702342</v>
      </c>
      <c r="K29" s="9" t="n">
        <f aca="false">D29</f>
        <v>342000000</v>
      </c>
      <c r="L29" s="9" t="n">
        <f aca="false">K29-P29-U29</f>
        <v>335074927.5</v>
      </c>
      <c r="M29" s="9" t="n">
        <f aca="false">L29-Q29-V29</f>
        <v>328149855</v>
      </c>
      <c r="N29" s="9" t="n">
        <f aca="false">M29-R29-W29</f>
        <v>296036485.236</v>
      </c>
      <c r="O29" s="9" t="n">
        <f aca="false">N29-S29-X29</f>
        <v>266961095.56224</v>
      </c>
      <c r="P29" s="9" t="n">
        <f aca="false">MIN(K29,Inputs!$C$35)</f>
        <v>6925072.5</v>
      </c>
      <c r="Q29" s="9" t="n">
        <f aca="false">MIN(L29,Inputs!$C$36)</f>
        <v>6925072.5</v>
      </c>
      <c r="R29" s="9" t="n">
        <f aca="false">MIN(M29,Inputs!$C$37)</f>
        <v>6371066.7</v>
      </c>
      <c r="S29" s="9" t="n">
        <f aca="false">MIN(N29,Inputs!$C$38)</f>
        <v>5861381.364</v>
      </c>
      <c r="T29" s="9" t="n">
        <f aca="false">MIN(O29,Inputs!$C$39)</f>
        <v>5392470.85488</v>
      </c>
      <c r="U29" s="9" t="n">
        <f aca="false">(K29-P29)*(1-Inputs!$B$35/Inputs!$B$34)</f>
        <v>0</v>
      </c>
      <c r="V29" s="9" t="n">
        <f aca="false">(L29-Q29)*(1-Inputs!$B$36/Inputs!$B$35)</f>
        <v>0</v>
      </c>
      <c r="W29" s="9" t="n">
        <f aca="false">(M29-R29)*(1-Inputs!$B$37/Inputs!$B$36)</f>
        <v>25742303.064</v>
      </c>
      <c r="X29" s="9" t="n">
        <f aca="false">(N29-S29)*(1-Inputs!$B$38/Inputs!$B$37)</f>
        <v>23214008.30976</v>
      </c>
      <c r="Y29" s="9" t="n">
        <f aca="false">O29-T29</f>
        <v>261568624.70736</v>
      </c>
      <c r="Z29" s="9" t="n">
        <f aca="false">K29/(1+Inputs!$B$25)^1+L29/(1+Inputs!$B$25)^2+M29/(1+Inputs!$B$25)^3+N29/(1+Inputs!$B$25)^4+O29/(1+Inputs!$B$25)^5</f>
        <v>1279864823.94634</v>
      </c>
      <c r="AA29" s="9" t="n">
        <f aca="false">U29/(1+Inputs!$B$25)^1+V29/(1+Inputs!$B$25)^2+W29/(1+Inputs!$B$25)^3+X29/(1+Inputs!$B$25)^4+Y29/(1+Inputs!$B$25)^5</f>
        <v>220302084.147327</v>
      </c>
      <c r="AB29" s="5" t="n">
        <f aca="false">(D29-AA29)/Z29-Inputs!$B$20</f>
        <v>0.0700865384966431</v>
      </c>
      <c r="AC29" s="9" t="n">
        <f aca="false">AB29*D29</f>
        <v>23969596.1658519</v>
      </c>
      <c r="AD29" s="5" t="n">
        <f aca="false">(Inputs!$B$31-AC29)*(1-Inputs!$B$12)/G29</f>
        <v>0.324811201771114</v>
      </c>
      <c r="AE29" s="5" t="n">
        <f aca="false">(Inputs!$B$31-AC29)*(1-Inputs!$B$12)/I29</f>
        <v>0.536144814948035</v>
      </c>
      <c r="AF29" s="5" t="n">
        <f aca="false">IF(H29&gt;0,AC29/H29,"")</f>
        <v>0.0786967729238685</v>
      </c>
      <c r="AG29" s="5" t="n">
        <f aca="false">Inputs!$B$9*H29/(1-Inputs!$B$12)/D29</f>
        <v>0.136557093387826</v>
      </c>
    </row>
    <row r="30" customFormat="false" ht="15" hidden="false" customHeight="false" outlineLevel="0" collapsed="false">
      <c r="A30" s="5" t="n">
        <f aca="false">0.03+0.0025*25</f>
        <v>0.0925</v>
      </c>
      <c r="B30" s="4" t="str">
        <f aca="false">IF(A30&lt;Inputs!$B$13,"below KIRB",IF(E30&lt;=0.15,"floor binds",""))</f>
        <v/>
      </c>
      <c r="C30" s="9" t="n">
        <f aca="false">A30*Inputs!$B$5</f>
        <v>370000000</v>
      </c>
      <c r="D30" s="9" t="n">
        <f aca="false">C30*(1-Inputs!$B$18)</f>
        <v>351500000</v>
      </c>
      <c r="E30" s="5" t="n">
        <f aca="false">MAX(0.15,12.5*IF((1)&lt;=(Inputs!$B$13),1,IF((A30)&gt;=(Inputs!$B$13),(EXP((-1/((Inputs!$B$28)*(Inputs!$B$13)))*((1)-(Inputs!$B$13)))-EXP((-1/((Inputs!$B$28)*(Inputs!$B$13)))*MAX((A30)-(Inputs!$B$13),0)))/((-1/((Inputs!$B$28)*(Inputs!$B$13)))*(((1)-(Inputs!$B$13))-MAX((A30)-(Inputs!$B$13),0))),((Inputs!$B$13)-(A30))/((1)-(A30))+(1-((Inputs!$B$13)-(A30))/((1)-(A30)))*(EXP((-1/((Inputs!$B$28)*(Inputs!$B$13)))*((1)-(Inputs!$B$13)))-EXP((-1/((Inputs!$B$28)*(Inputs!$B$13)))*MAX((Inputs!$B$13)-(Inputs!$B$13),0)))/((-1/((Inputs!$B$28)*(Inputs!$B$13)))*(((1)-(Inputs!$B$13))-MAX((Inputs!$B$13)-(Inputs!$B$13),0))))))</f>
        <v>0.174678371390442</v>
      </c>
      <c r="F30" s="5" t="n">
        <f aca="false">MAX(0.1,12.5*IF((1)&lt;=(Inputs!$B$13),1,IF((A30)&gt;=(Inputs!$B$13),(EXP((-1/((Inputs!$B$29)*(Inputs!$B$13)))*((1)-(Inputs!$B$13)))-EXP((-1/((Inputs!$B$29)*(Inputs!$B$13)))*MAX((A30)-(Inputs!$B$13),0)))/((-1/((Inputs!$B$29)*(Inputs!$B$13)))*(((1)-(Inputs!$B$13))-MAX((A30)-(Inputs!$B$13),0))),((Inputs!$B$13)-(A30))/((1)-(A30))+(1-((Inputs!$B$13)-(A30))/((1)-(A30)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0" s="9" t="n">
        <f aca="false">E30*(1-A30)*Inputs!$B$5*Inputs!$B$8+A30*Inputs!$B$5*Inputs!$B$18</f>
        <v>104101135.899886</v>
      </c>
      <c r="H30" s="9" t="n">
        <f aca="false">Inputs!$B$30-G30</f>
        <v>311304204.802456</v>
      </c>
      <c r="I30" s="9" t="n">
        <f aca="false">F30*(1-A30)*Inputs!$B$5*Inputs!$B$8+A30*Inputs!$B$5*Inputs!$B$18</f>
        <v>67505000</v>
      </c>
      <c r="J30" s="9" t="n">
        <f aca="false">Inputs!$B$30-I30</f>
        <v>347900340.702342</v>
      </c>
      <c r="K30" s="9" t="n">
        <f aca="false">D30</f>
        <v>351500000</v>
      </c>
      <c r="L30" s="9" t="n">
        <f aca="false">K30-P30-U30</f>
        <v>344574927.5</v>
      </c>
      <c r="M30" s="9" t="n">
        <f aca="false">L30-Q30-V30</f>
        <v>337649855</v>
      </c>
      <c r="N30" s="9" t="n">
        <f aca="false">M30-R30-W30</f>
        <v>304776485.236</v>
      </c>
      <c r="O30" s="9" t="n">
        <f aca="false">N30-S30-X30</f>
        <v>275001895.56224</v>
      </c>
      <c r="P30" s="9" t="n">
        <f aca="false">MIN(K30,Inputs!$C$35)</f>
        <v>6925072.5</v>
      </c>
      <c r="Q30" s="9" t="n">
        <f aca="false">MIN(L30,Inputs!$C$36)</f>
        <v>6925072.5</v>
      </c>
      <c r="R30" s="9" t="n">
        <f aca="false">MIN(M30,Inputs!$C$37)</f>
        <v>6371066.7</v>
      </c>
      <c r="S30" s="9" t="n">
        <f aca="false">MIN(N30,Inputs!$C$38)</f>
        <v>5861381.364</v>
      </c>
      <c r="T30" s="9" t="n">
        <f aca="false">MIN(O30,Inputs!$C$39)</f>
        <v>5392470.85488</v>
      </c>
      <c r="U30" s="9" t="n">
        <f aca="false">(K30-P30)*(1-Inputs!$B$35/Inputs!$B$34)</f>
        <v>0</v>
      </c>
      <c r="V30" s="9" t="n">
        <f aca="false">(L30-Q30)*(1-Inputs!$B$36/Inputs!$B$35)</f>
        <v>0</v>
      </c>
      <c r="W30" s="9" t="n">
        <f aca="false">(M30-R30)*(1-Inputs!$B$37/Inputs!$B$36)</f>
        <v>26502303.064</v>
      </c>
      <c r="X30" s="9" t="n">
        <f aca="false">(N30-S30)*(1-Inputs!$B$38/Inputs!$B$37)</f>
        <v>23913208.30976</v>
      </c>
      <c r="Y30" s="9" t="n">
        <f aca="false">O30-T30</f>
        <v>269609424.70736</v>
      </c>
      <c r="Z30" s="9" t="n">
        <f aca="false">K30/(1+Inputs!$B$25)^1+L30/(1+Inputs!$B$25)^2+M30/(1+Inputs!$B$25)^3+N30/(1+Inputs!$B$25)^4+O30/(1+Inputs!$B$25)^5</f>
        <v>1316715223.75637</v>
      </c>
      <c r="AA30" s="9" t="n">
        <f aca="false">U30/(1+Inputs!$B$25)^1+V30/(1+Inputs!$B$25)^2+W30/(1+Inputs!$B$25)^3+X30/(1+Inputs!$B$25)^4+Y30/(1+Inputs!$B$25)^5</f>
        <v>227038304.161575</v>
      </c>
      <c r="AB30" s="5" t="n">
        <f aca="false">(D30-AA30)/Z30-Inputs!$B$20</f>
        <v>0.0695243843109497</v>
      </c>
      <c r="AC30" s="9" t="n">
        <f aca="false">AB30*D30</f>
        <v>24437821.0852988</v>
      </c>
      <c r="AD30" s="5" t="n">
        <f aca="false">(Inputs!$B$31-AC30)*(1-Inputs!$B$12)/G30</f>
        <v>0.342413114687876</v>
      </c>
      <c r="AE30" s="5" t="n">
        <f aca="false">(Inputs!$B$31-AC30)*(1-Inputs!$B$12)/I30</f>
        <v>0.528043762477237</v>
      </c>
      <c r="AF30" s="5" t="n">
        <f aca="false">IF(H30&gt;0,AC30/H30,"")</f>
        <v>0.0785014166474441</v>
      </c>
      <c r="AG30" s="5" t="n">
        <f aca="false">Inputs!$B$9*H30/(1-Inputs!$B$12)/D30</f>
        <v>0.135798894461005</v>
      </c>
    </row>
    <row r="31" customFormat="false" ht="15" hidden="false" customHeight="false" outlineLevel="0" collapsed="false">
      <c r="A31" s="5" t="n">
        <f aca="false">0.03+0.0025*26</f>
        <v>0.095</v>
      </c>
      <c r="B31" s="4" t="str">
        <f aca="false">IF(A31&lt;Inputs!$B$13,"below KIRB",IF(E31&lt;=0.15,"floor binds",""))</f>
        <v/>
      </c>
      <c r="C31" s="9" t="n">
        <f aca="false">A31*Inputs!$B$5</f>
        <v>380000000</v>
      </c>
      <c r="D31" s="9" t="n">
        <f aca="false">C31*(1-Inputs!$B$18)</f>
        <v>361000000</v>
      </c>
      <c r="E31" s="5" t="n">
        <f aca="false">MAX(0.15,12.5*IF((1)&lt;=(Inputs!$B$13),1,IF((A31)&gt;=(Inputs!$B$13),(EXP((-1/((Inputs!$B$28)*(Inputs!$B$13)))*((1)-(Inputs!$B$13)))-EXP((-1/((Inputs!$B$28)*(Inputs!$B$13)))*MAX((A31)-(Inputs!$B$13),0)))/((-1/((Inputs!$B$28)*(Inputs!$B$13)))*(((1)-(Inputs!$B$13))-MAX((A31)-(Inputs!$B$13),0))),((Inputs!$B$13)-(A31))/((1)-(A31))+(1-((Inputs!$B$13)-(A31))/((1)-(A31)))*(EXP((-1/((Inputs!$B$28)*(Inputs!$B$13)))*((1)-(Inputs!$B$13)))-EXP((-1/((Inputs!$B$28)*(Inputs!$B$13)))*MAX((Inputs!$B$13)-(Inputs!$B$13),0)))/((-1/((Inputs!$B$28)*(Inputs!$B$13)))*(((1)-(Inputs!$B$13))-MAX((Inputs!$B$13)-(Inputs!$B$13),0))))))</f>
        <v>0.161531815983642</v>
      </c>
      <c r="F31" s="5" t="n">
        <f aca="false">MAX(0.1,12.5*IF((1)&lt;=(Inputs!$B$13),1,IF((A31)&gt;=(Inputs!$B$13),(EXP((-1/((Inputs!$B$29)*(Inputs!$B$13)))*((1)-(Inputs!$B$13)))-EXP((-1/((Inputs!$B$29)*(Inputs!$B$13)))*MAX((A31)-(Inputs!$B$13),0)))/((-1/((Inputs!$B$29)*(Inputs!$B$13)))*(((1)-(Inputs!$B$13))-MAX((A31)-(Inputs!$B$13),0))),((Inputs!$B$13)-(A31))/((1)-(A31))+(1-((Inputs!$B$13)-(A31))/((1)-(A31)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1" s="9" t="n">
        <f aca="false">E31*(1-A31)*Inputs!$B$5*Inputs!$B$8+A31*Inputs!$B$5*Inputs!$B$18</f>
        <v>97940598.4712061</v>
      </c>
      <c r="H31" s="9" t="n">
        <f aca="false">Inputs!$B$30-G31</f>
        <v>317464742.231136</v>
      </c>
      <c r="I31" s="9" t="n">
        <f aca="false">F31*(1-A31)*Inputs!$B$5*Inputs!$B$8+A31*Inputs!$B$5*Inputs!$B$18</f>
        <v>67870000</v>
      </c>
      <c r="J31" s="9" t="n">
        <f aca="false">Inputs!$B$30-I31</f>
        <v>347535340.702342</v>
      </c>
      <c r="K31" s="9" t="n">
        <f aca="false">D31</f>
        <v>361000000</v>
      </c>
      <c r="L31" s="9" t="n">
        <f aca="false">K31-P31-U31</f>
        <v>354074927.5</v>
      </c>
      <c r="M31" s="9" t="n">
        <f aca="false">L31-Q31-V31</f>
        <v>347149855</v>
      </c>
      <c r="N31" s="9" t="n">
        <f aca="false">M31-R31-W31</f>
        <v>313516485.236</v>
      </c>
      <c r="O31" s="9" t="n">
        <f aca="false">N31-S31-X31</f>
        <v>283042695.56224</v>
      </c>
      <c r="P31" s="9" t="n">
        <f aca="false">MIN(K31,Inputs!$C$35)</f>
        <v>6925072.5</v>
      </c>
      <c r="Q31" s="9" t="n">
        <f aca="false">MIN(L31,Inputs!$C$36)</f>
        <v>6925072.5</v>
      </c>
      <c r="R31" s="9" t="n">
        <f aca="false">MIN(M31,Inputs!$C$37)</f>
        <v>6371066.7</v>
      </c>
      <c r="S31" s="9" t="n">
        <f aca="false">MIN(N31,Inputs!$C$38)</f>
        <v>5861381.364</v>
      </c>
      <c r="T31" s="9" t="n">
        <f aca="false">MIN(O31,Inputs!$C$39)</f>
        <v>5392470.85488</v>
      </c>
      <c r="U31" s="9" t="n">
        <f aca="false">(K31-P31)*(1-Inputs!$B$35/Inputs!$B$34)</f>
        <v>0</v>
      </c>
      <c r="V31" s="9" t="n">
        <f aca="false">(L31-Q31)*(1-Inputs!$B$36/Inputs!$B$35)</f>
        <v>0</v>
      </c>
      <c r="W31" s="9" t="n">
        <f aca="false">(M31-R31)*(1-Inputs!$B$37/Inputs!$B$36)</f>
        <v>27262303.064</v>
      </c>
      <c r="X31" s="9" t="n">
        <f aca="false">(N31-S31)*(1-Inputs!$B$38/Inputs!$B$37)</f>
        <v>24612408.30976</v>
      </c>
      <c r="Y31" s="9" t="n">
        <f aca="false">O31-T31</f>
        <v>277650224.70736</v>
      </c>
      <c r="Z31" s="9" t="n">
        <f aca="false">K31/(1+Inputs!$B$25)^1+L31/(1+Inputs!$B$25)^2+M31/(1+Inputs!$B$25)^3+N31/(1+Inputs!$B$25)^4+O31/(1+Inputs!$B$25)^5</f>
        <v>1353565623.5664</v>
      </c>
      <c r="AA31" s="9" t="n">
        <f aca="false">U31/(1+Inputs!$B$25)^1+V31/(1+Inputs!$B$25)^2+W31/(1+Inputs!$B$25)^3+X31/(1+Inputs!$B$25)^4+Y31/(1+Inputs!$B$25)^5</f>
        <v>233774524.175823</v>
      </c>
      <c r="AB31" s="5" t="n">
        <f aca="false">(D31-AA31)/Z31-Inputs!$B$20</f>
        <v>0.0689928390682392</v>
      </c>
      <c r="AC31" s="9" t="n">
        <f aca="false">AB31*D31</f>
        <v>24906414.9036343</v>
      </c>
      <c r="AD31" s="5" t="n">
        <f aca="false">(Inputs!$B$31-AC31)*(1-Inputs!$B$12)/G31</f>
        <v>0.360362805345227</v>
      </c>
      <c r="AE31" s="5" t="n">
        <f aca="false">(Inputs!$B$31-AC31)*(1-Inputs!$B$12)/I31</f>
        <v>0.520025767235512</v>
      </c>
      <c r="AF31" s="5" t="n">
        <f aca="false">IF(H31&gt;0,AC31/H31,"")</f>
        <v>0.0784541134508122</v>
      </c>
      <c r="AG31" s="5" t="n">
        <f aca="false">Inputs!$B$9*H31/(1-Inputs!$B$12)/D31</f>
        <v>0.134841903440741</v>
      </c>
    </row>
    <row r="32" customFormat="false" ht="15" hidden="false" customHeight="false" outlineLevel="0" collapsed="false">
      <c r="A32" s="5" t="n">
        <f aca="false">0.03+0.0025*27</f>
        <v>0.0975</v>
      </c>
      <c r="B32" s="4" t="str">
        <f aca="false">IF(A32&lt;Inputs!$B$13,"below KIRB",IF(E32&lt;=0.15,"floor binds",""))</f>
        <v>floor binds</v>
      </c>
      <c r="C32" s="9" t="n">
        <f aca="false">A32*Inputs!$B$5</f>
        <v>390000000</v>
      </c>
      <c r="D32" s="9" t="n">
        <f aca="false">C32*(1-Inputs!$B$18)</f>
        <v>370500000</v>
      </c>
      <c r="E32" s="5" t="n">
        <f aca="false">MAX(0.15,12.5*IF((1)&lt;=(Inputs!$B$13),1,IF((A32)&gt;=(Inputs!$B$13),(EXP((-1/((Inputs!$B$28)*(Inputs!$B$13)))*((1)-(Inputs!$B$13)))-EXP((-1/((Inputs!$B$28)*(Inputs!$B$13)))*MAX((A32)-(Inputs!$B$13),0)))/((-1/((Inputs!$B$28)*(Inputs!$B$13)))*(((1)-(Inputs!$B$13))-MAX((A32)-(Inputs!$B$13),0))),((Inputs!$B$13)-(A32))/((1)-(A32))+(1-((Inputs!$B$13)-(A32))/((1)-(A32)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2" s="5" t="n">
        <f aca="false">MAX(0.1,12.5*IF((1)&lt;=(Inputs!$B$13),1,IF((A32)&gt;=(Inputs!$B$13),(EXP((-1/((Inputs!$B$29)*(Inputs!$B$13)))*((1)-(Inputs!$B$13)))-EXP((-1/((Inputs!$B$29)*(Inputs!$B$13)))*MAX((A32)-(Inputs!$B$13),0)))/((-1/((Inputs!$B$29)*(Inputs!$B$13)))*(((1)-(Inputs!$B$13))-MAX((A32)-(Inputs!$B$13),0))),((Inputs!$B$13)-(A32))/((1)-(A32))+(1-((Inputs!$B$13)-(A32))/((1)-(A32)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2" s="9" t="n">
        <f aca="false">E32*(1-A32)*Inputs!$B$5*Inputs!$B$8+A32*Inputs!$B$5*Inputs!$B$18</f>
        <v>92602500</v>
      </c>
      <c r="H32" s="9" t="n">
        <f aca="false">Inputs!$B$30-G32</f>
        <v>322802840.702342</v>
      </c>
      <c r="I32" s="9" t="n">
        <f aca="false">F32*(1-A32)*Inputs!$B$5*Inputs!$B$8+A32*Inputs!$B$5*Inputs!$B$18</f>
        <v>68235000</v>
      </c>
      <c r="J32" s="9" t="n">
        <f aca="false">Inputs!$B$30-I32</f>
        <v>347170340.702342</v>
      </c>
      <c r="K32" s="9" t="n">
        <f aca="false">D32</f>
        <v>370500000</v>
      </c>
      <c r="L32" s="9" t="n">
        <f aca="false">K32-P32-U32</f>
        <v>363574927.5</v>
      </c>
      <c r="M32" s="9" t="n">
        <f aca="false">L32-Q32-V32</f>
        <v>356649855</v>
      </c>
      <c r="N32" s="9" t="n">
        <f aca="false">M32-R32-W32</f>
        <v>322256485.236</v>
      </c>
      <c r="O32" s="9" t="n">
        <f aca="false">N32-S32-X32</f>
        <v>291083495.56224</v>
      </c>
      <c r="P32" s="9" t="n">
        <f aca="false">MIN(K32,Inputs!$C$35)</f>
        <v>6925072.5</v>
      </c>
      <c r="Q32" s="9" t="n">
        <f aca="false">MIN(L32,Inputs!$C$36)</f>
        <v>6925072.5</v>
      </c>
      <c r="R32" s="9" t="n">
        <f aca="false">MIN(M32,Inputs!$C$37)</f>
        <v>6371066.7</v>
      </c>
      <c r="S32" s="9" t="n">
        <f aca="false">MIN(N32,Inputs!$C$38)</f>
        <v>5861381.364</v>
      </c>
      <c r="T32" s="9" t="n">
        <f aca="false">MIN(O32,Inputs!$C$39)</f>
        <v>5392470.85488</v>
      </c>
      <c r="U32" s="9" t="n">
        <f aca="false">(K32-P32)*(1-Inputs!$B$35/Inputs!$B$34)</f>
        <v>0</v>
      </c>
      <c r="V32" s="9" t="n">
        <f aca="false">(L32-Q32)*(1-Inputs!$B$36/Inputs!$B$35)</f>
        <v>0</v>
      </c>
      <c r="W32" s="9" t="n">
        <f aca="false">(M32-R32)*(1-Inputs!$B$37/Inputs!$B$36)</f>
        <v>28022303.064</v>
      </c>
      <c r="X32" s="9" t="n">
        <f aca="false">(N32-S32)*(1-Inputs!$B$38/Inputs!$B$37)</f>
        <v>25311608.30976</v>
      </c>
      <c r="Y32" s="9" t="n">
        <f aca="false">O32-T32</f>
        <v>285691024.70736</v>
      </c>
      <c r="Z32" s="9" t="n">
        <f aca="false">K32/(1+Inputs!$B$25)^1+L32/(1+Inputs!$B$25)^2+M32/(1+Inputs!$B$25)^3+N32/(1+Inputs!$B$25)^4+O32/(1+Inputs!$B$25)^5</f>
        <v>1390416023.37643</v>
      </c>
      <c r="AA32" s="9" t="n">
        <f aca="false">U32/(1+Inputs!$B$25)^1+V32/(1+Inputs!$B$25)^2+W32/(1+Inputs!$B$25)^3+X32/(1+Inputs!$B$25)^4+Y32/(1+Inputs!$B$25)^5</f>
        <v>240510744.19007</v>
      </c>
      <c r="AB32" s="5" t="n">
        <f aca="false">(D32-AA32)/Z32-Inputs!$B$20</f>
        <v>0.068489469068595</v>
      </c>
      <c r="AC32" s="9" t="n">
        <f aca="false">AB32*D32</f>
        <v>25375348.2899145</v>
      </c>
      <c r="AD32" s="5" t="n">
        <f aca="false">(Inputs!$B$31-AC32)*(1-Inputs!$B$12)/G32</f>
        <v>0.377338071678023</v>
      </c>
      <c r="AE32" s="5" t="n">
        <f aca="false">(Inputs!$B$31-AC32)*(1-Inputs!$B$12)/I32</f>
        <v>0.512089818752314</v>
      </c>
      <c r="AF32" s="5" t="n">
        <f aca="false">IF(H32&gt;0,AC32/H32,"")</f>
        <v>0.078609433035669</v>
      </c>
      <c r="AG32" s="5" t="n">
        <f aca="false">Inputs!$B$9*H32/(1-Inputs!$B$12)/D32</f>
        <v>0.13359361828437</v>
      </c>
    </row>
    <row r="33" customFormat="false" ht="15" hidden="false" customHeight="false" outlineLevel="0" collapsed="false">
      <c r="A33" s="5" t="n">
        <f aca="false">0.03+0.0025*28</f>
        <v>0.1</v>
      </c>
      <c r="B33" s="4" t="str">
        <f aca="false">IF(A33&lt;Inputs!$B$13,"below KIRB",IF(E33&lt;=0.15,"floor binds",""))</f>
        <v>floor binds</v>
      </c>
      <c r="C33" s="9" t="n">
        <f aca="false">A33*Inputs!$B$5</f>
        <v>400000000</v>
      </c>
      <c r="D33" s="9" t="n">
        <f aca="false">C33*(1-Inputs!$B$18)</f>
        <v>380000000</v>
      </c>
      <c r="E33" s="5" t="n">
        <f aca="false">MAX(0.15,12.5*IF((1)&lt;=(Inputs!$B$13),1,IF((A33)&gt;=(Inputs!$B$13),(EXP((-1/((Inputs!$B$28)*(Inputs!$B$13)))*((1)-(Inputs!$B$13)))-EXP((-1/((Inputs!$B$28)*(Inputs!$B$13)))*MAX((A33)-(Inputs!$B$13),0)))/((-1/((Inputs!$B$28)*(Inputs!$B$13)))*(((1)-(Inputs!$B$13))-MAX((A33)-(Inputs!$B$13),0))),((Inputs!$B$13)-(A33))/((1)-(A33))+(1-((Inputs!$B$13)-(A33))/((1)-(A33)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3" s="5" t="n">
        <f aca="false">MAX(0.1,12.5*IF((1)&lt;=(Inputs!$B$13),1,IF((A33)&gt;=(Inputs!$B$13),(EXP((-1/((Inputs!$B$29)*(Inputs!$B$13)))*((1)-(Inputs!$B$13)))-EXP((-1/((Inputs!$B$29)*(Inputs!$B$13)))*MAX((A33)-(Inputs!$B$13),0)))/((-1/((Inputs!$B$29)*(Inputs!$B$13)))*(((1)-(Inputs!$B$13))-MAX((A33)-(Inputs!$B$13),0))),((Inputs!$B$13)-(A33))/((1)-(A33))+(1-((Inputs!$B$13)-(A33))/((1)-(A33)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3" s="9" t="n">
        <f aca="false">E33*(1-A33)*Inputs!$B$5*Inputs!$B$8+A33*Inputs!$B$5*Inputs!$B$18</f>
        <v>92900000</v>
      </c>
      <c r="H33" s="9" t="n">
        <f aca="false">Inputs!$B$30-G33</f>
        <v>322505340.702342</v>
      </c>
      <c r="I33" s="9" t="n">
        <f aca="false">F33*(1-A33)*Inputs!$B$5*Inputs!$B$8+A33*Inputs!$B$5*Inputs!$B$18</f>
        <v>68600000</v>
      </c>
      <c r="J33" s="9" t="n">
        <f aca="false">Inputs!$B$30-I33</f>
        <v>346805340.702342</v>
      </c>
      <c r="K33" s="9" t="n">
        <f aca="false">D33</f>
        <v>380000000</v>
      </c>
      <c r="L33" s="9" t="n">
        <f aca="false">K33-P33-U33</f>
        <v>373074927.5</v>
      </c>
      <c r="M33" s="9" t="n">
        <f aca="false">L33-Q33-V33</f>
        <v>366149855</v>
      </c>
      <c r="N33" s="9" t="n">
        <f aca="false">M33-R33-W33</f>
        <v>330996485.236</v>
      </c>
      <c r="O33" s="9" t="n">
        <f aca="false">N33-S33-X33</f>
        <v>299124295.56224</v>
      </c>
      <c r="P33" s="9" t="n">
        <f aca="false">MIN(K33,Inputs!$C$35)</f>
        <v>6925072.5</v>
      </c>
      <c r="Q33" s="9" t="n">
        <f aca="false">MIN(L33,Inputs!$C$36)</f>
        <v>6925072.5</v>
      </c>
      <c r="R33" s="9" t="n">
        <f aca="false">MIN(M33,Inputs!$C$37)</f>
        <v>6371066.7</v>
      </c>
      <c r="S33" s="9" t="n">
        <f aca="false">MIN(N33,Inputs!$C$38)</f>
        <v>5861381.364</v>
      </c>
      <c r="T33" s="9" t="n">
        <f aca="false">MIN(O33,Inputs!$C$39)</f>
        <v>5392470.85488</v>
      </c>
      <c r="U33" s="9" t="n">
        <f aca="false">(K33-P33)*(1-Inputs!$B$35/Inputs!$B$34)</f>
        <v>0</v>
      </c>
      <c r="V33" s="9" t="n">
        <f aca="false">(L33-Q33)*(1-Inputs!$B$36/Inputs!$B$35)</f>
        <v>0</v>
      </c>
      <c r="W33" s="9" t="n">
        <f aca="false">(M33-R33)*(1-Inputs!$B$37/Inputs!$B$36)</f>
        <v>28782303.064</v>
      </c>
      <c r="X33" s="9" t="n">
        <f aca="false">(N33-S33)*(1-Inputs!$B$38/Inputs!$B$37)</f>
        <v>26010808.30976</v>
      </c>
      <c r="Y33" s="9" t="n">
        <f aca="false">O33-T33</f>
        <v>293731824.70736</v>
      </c>
      <c r="Z33" s="9" t="n">
        <f aca="false">K33/(1+Inputs!$B$25)^1+L33/(1+Inputs!$B$25)^2+M33/(1+Inputs!$B$25)^3+N33/(1+Inputs!$B$25)^4+O33/(1+Inputs!$B$25)^5</f>
        <v>1427266423.18646</v>
      </c>
      <c r="AA33" s="9" t="n">
        <f aca="false">U33/(1+Inputs!$B$25)^1+V33/(1+Inputs!$B$25)^2+W33/(1+Inputs!$B$25)^3+X33/(1+Inputs!$B$25)^4+Y33/(1+Inputs!$B$25)^5</f>
        <v>247246964.204318</v>
      </c>
      <c r="AB33" s="5" t="n">
        <f aca="false">(D33-AA33)/Z33-Inputs!$B$20</f>
        <v>0.068012091953584</v>
      </c>
      <c r="AC33" s="9" t="n">
        <f aca="false">AB33*D33</f>
        <v>25844594.9423619</v>
      </c>
      <c r="AD33" s="5" t="n">
        <f aca="false">(Inputs!$B$31-AC33)*(1-Inputs!$B$12)/G33</f>
        <v>0.372341375599877</v>
      </c>
      <c r="AE33" s="5" t="n">
        <f aca="false">(Inputs!$B$31-AC33)*(1-Inputs!$B$12)/I33</f>
        <v>0.504234894945023</v>
      </c>
      <c r="AF33" s="5" t="n">
        <f aca="false">IF(H33&gt;0,AC33/H33,"")</f>
        <v>0.0801369517976924</v>
      </c>
      <c r="AG33" s="5" t="n">
        <f aca="false">Inputs!$B$9*H33/(1-Inputs!$B$12)/D33</f>
        <v>0.130133733967612</v>
      </c>
    </row>
    <row r="34" customFormat="false" ht="15" hidden="false" customHeight="false" outlineLevel="0" collapsed="false">
      <c r="A34" s="5" t="n">
        <f aca="false">0.03+0.0025*29</f>
        <v>0.1025</v>
      </c>
      <c r="B34" s="4" t="str">
        <f aca="false">IF(A34&lt;Inputs!$B$13,"below KIRB",IF(E34&lt;=0.15,"floor binds",""))</f>
        <v>floor binds</v>
      </c>
      <c r="C34" s="9" t="n">
        <f aca="false">A34*Inputs!$B$5</f>
        <v>410000000</v>
      </c>
      <c r="D34" s="9" t="n">
        <f aca="false">C34*(1-Inputs!$B$18)</f>
        <v>389500000</v>
      </c>
      <c r="E34" s="5" t="n">
        <f aca="false">MAX(0.15,12.5*IF((1)&lt;=(Inputs!$B$13),1,IF((A34)&gt;=(Inputs!$B$13),(EXP((-1/((Inputs!$B$28)*(Inputs!$B$13)))*((1)-(Inputs!$B$13)))-EXP((-1/((Inputs!$B$28)*(Inputs!$B$13)))*MAX((A34)-(Inputs!$B$13),0)))/((-1/((Inputs!$B$28)*(Inputs!$B$13)))*(((1)-(Inputs!$B$13))-MAX((A34)-(Inputs!$B$13),0))),((Inputs!$B$13)-(A34))/((1)-(A34))+(1-((Inputs!$B$13)-(A34))/((1)-(A34)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4" s="5" t="n">
        <f aca="false">MAX(0.1,12.5*IF((1)&lt;=(Inputs!$B$13),1,IF((A34)&gt;=(Inputs!$B$13),(EXP((-1/((Inputs!$B$29)*(Inputs!$B$13)))*((1)-(Inputs!$B$13)))-EXP((-1/((Inputs!$B$29)*(Inputs!$B$13)))*MAX((A34)-(Inputs!$B$13),0)))/((-1/((Inputs!$B$29)*(Inputs!$B$13)))*(((1)-(Inputs!$B$13))-MAX((A34)-(Inputs!$B$13),0))),((Inputs!$B$13)-(A34))/((1)-(A34))+(1-((Inputs!$B$13)-(A34))/((1)-(A34)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4" s="9" t="n">
        <f aca="false">E34*(1-A34)*Inputs!$B$5*Inputs!$B$8+A34*Inputs!$B$5*Inputs!$B$18</f>
        <v>93197500</v>
      </c>
      <c r="H34" s="9" t="n">
        <f aca="false">Inputs!$B$30-G34</f>
        <v>322207840.702342</v>
      </c>
      <c r="I34" s="9" t="n">
        <f aca="false">F34*(1-A34)*Inputs!$B$5*Inputs!$B$8+A34*Inputs!$B$5*Inputs!$B$18</f>
        <v>68965000</v>
      </c>
      <c r="J34" s="9" t="n">
        <f aca="false">Inputs!$B$30-I34</f>
        <v>346440340.702342</v>
      </c>
      <c r="K34" s="9" t="n">
        <f aca="false">D34</f>
        <v>389500000</v>
      </c>
      <c r="L34" s="9" t="n">
        <f aca="false">K34-P34-U34</f>
        <v>382574927.5</v>
      </c>
      <c r="M34" s="9" t="n">
        <f aca="false">L34-Q34-V34</f>
        <v>375649855</v>
      </c>
      <c r="N34" s="9" t="n">
        <f aca="false">M34-R34-W34</f>
        <v>339736485.236</v>
      </c>
      <c r="O34" s="9" t="n">
        <f aca="false">N34-S34-X34</f>
        <v>307165095.56224</v>
      </c>
      <c r="P34" s="9" t="n">
        <f aca="false">MIN(K34,Inputs!$C$35)</f>
        <v>6925072.5</v>
      </c>
      <c r="Q34" s="9" t="n">
        <f aca="false">MIN(L34,Inputs!$C$36)</f>
        <v>6925072.5</v>
      </c>
      <c r="R34" s="9" t="n">
        <f aca="false">MIN(M34,Inputs!$C$37)</f>
        <v>6371066.7</v>
      </c>
      <c r="S34" s="9" t="n">
        <f aca="false">MIN(N34,Inputs!$C$38)</f>
        <v>5861381.364</v>
      </c>
      <c r="T34" s="9" t="n">
        <f aca="false">MIN(O34,Inputs!$C$39)</f>
        <v>5392470.85488</v>
      </c>
      <c r="U34" s="9" t="n">
        <f aca="false">(K34-P34)*(1-Inputs!$B$35/Inputs!$B$34)</f>
        <v>0</v>
      </c>
      <c r="V34" s="9" t="n">
        <f aca="false">(L34-Q34)*(1-Inputs!$B$36/Inputs!$B$35)</f>
        <v>0</v>
      </c>
      <c r="W34" s="9" t="n">
        <f aca="false">(M34-R34)*(1-Inputs!$B$37/Inputs!$B$36)</f>
        <v>29542303.064</v>
      </c>
      <c r="X34" s="9" t="n">
        <f aca="false">(N34-S34)*(1-Inputs!$B$38/Inputs!$B$37)</f>
        <v>26710008.30976</v>
      </c>
      <c r="Y34" s="9" t="n">
        <f aca="false">O34-T34</f>
        <v>301772624.70736</v>
      </c>
      <c r="Z34" s="9" t="n">
        <f aca="false">K34/(1+Inputs!$B$25)^1+L34/(1+Inputs!$B$25)^2+M34/(1+Inputs!$B$25)^3+N34/(1+Inputs!$B$25)^4+O34/(1+Inputs!$B$25)^5</f>
        <v>1464116822.99649</v>
      </c>
      <c r="AA34" s="9" t="n">
        <f aca="false">U34/(1+Inputs!$B$25)^1+V34/(1+Inputs!$B$25)^2+W34/(1+Inputs!$B$25)^3+X34/(1+Inputs!$B$25)^4+Y34/(1+Inputs!$B$25)^5</f>
        <v>253983184.218566</v>
      </c>
      <c r="AB34" s="5" t="n">
        <f aca="false">(D34-AA34)/Z34-Inputs!$B$20</f>
        <v>0.0675587450761497</v>
      </c>
      <c r="AC34" s="9" t="n">
        <f aca="false">AB34*D34</f>
        <v>26314131.2071603</v>
      </c>
      <c r="AD34" s="5" t="n">
        <f aca="false">(Inputs!$B$31-AC34)*(1-Inputs!$B$12)/G34</f>
        <v>0.367374249251641</v>
      </c>
      <c r="AE34" s="5" t="n">
        <f aca="false">(Inputs!$B$31-AC34)*(1-Inputs!$B$12)/I34</f>
        <v>0.496459966571881</v>
      </c>
      <c r="AF34" s="5" t="n">
        <f aca="false">IF(H34&gt;0,AC34/H34,"")</f>
        <v>0.0816681901650851</v>
      </c>
      <c r="AG34" s="5" t="n">
        <f aca="false">Inputs!$B$9*H34/(1-Inputs!$B$12)/D34</f>
        <v>0.126842624495573</v>
      </c>
    </row>
    <row r="35" customFormat="false" ht="15" hidden="false" customHeight="false" outlineLevel="0" collapsed="false">
      <c r="A35" s="5" t="n">
        <f aca="false">0.03+0.0025*30</f>
        <v>0.105</v>
      </c>
      <c r="B35" s="4" t="str">
        <f aca="false">IF(A35&lt;Inputs!$B$13,"below KIRB",IF(E35&lt;=0.15,"floor binds",""))</f>
        <v>floor binds</v>
      </c>
      <c r="C35" s="9" t="n">
        <f aca="false">A35*Inputs!$B$5</f>
        <v>420000000</v>
      </c>
      <c r="D35" s="9" t="n">
        <f aca="false">C35*(1-Inputs!$B$18)</f>
        <v>399000000</v>
      </c>
      <c r="E35" s="5" t="n">
        <f aca="false">MAX(0.15,12.5*IF((1)&lt;=(Inputs!$B$13),1,IF((A35)&gt;=(Inputs!$B$13),(EXP((-1/((Inputs!$B$28)*(Inputs!$B$13)))*((1)-(Inputs!$B$13)))-EXP((-1/((Inputs!$B$28)*(Inputs!$B$13)))*MAX((A35)-(Inputs!$B$13),0)))/((-1/((Inputs!$B$28)*(Inputs!$B$13)))*(((1)-(Inputs!$B$13))-MAX((A35)-(Inputs!$B$13),0))),((Inputs!$B$13)-(A35))/((1)-(A35))+(1-((Inputs!$B$13)-(A35))/((1)-(A35)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5" s="5" t="n">
        <f aca="false">MAX(0.1,12.5*IF((1)&lt;=(Inputs!$B$13),1,IF((A35)&gt;=(Inputs!$B$13),(EXP((-1/((Inputs!$B$29)*(Inputs!$B$13)))*((1)-(Inputs!$B$13)))-EXP((-1/((Inputs!$B$29)*(Inputs!$B$13)))*MAX((A35)-(Inputs!$B$13),0)))/((-1/((Inputs!$B$29)*(Inputs!$B$13)))*(((1)-(Inputs!$B$13))-MAX((A35)-(Inputs!$B$13),0))),((Inputs!$B$13)-(A35))/((1)-(A35))+(1-((Inputs!$B$13)-(A35))/((1)-(A35)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5" s="9" t="n">
        <f aca="false">E35*(1-A35)*Inputs!$B$5*Inputs!$B$8+A35*Inputs!$B$5*Inputs!$B$18</f>
        <v>93495000</v>
      </c>
      <c r="H35" s="9" t="n">
        <f aca="false">Inputs!$B$30-G35</f>
        <v>321910340.702342</v>
      </c>
      <c r="I35" s="9" t="n">
        <f aca="false">F35*(1-A35)*Inputs!$B$5*Inputs!$B$8+A35*Inputs!$B$5*Inputs!$B$18</f>
        <v>69330000</v>
      </c>
      <c r="J35" s="9" t="n">
        <f aca="false">Inputs!$B$30-I35</f>
        <v>346075340.702342</v>
      </c>
      <c r="K35" s="9" t="n">
        <f aca="false">D35</f>
        <v>399000000</v>
      </c>
      <c r="L35" s="9" t="n">
        <f aca="false">K35-P35-U35</f>
        <v>392074927.5</v>
      </c>
      <c r="M35" s="9" t="n">
        <f aca="false">L35-Q35-V35</f>
        <v>385149855</v>
      </c>
      <c r="N35" s="9" t="n">
        <f aca="false">M35-R35-W35</f>
        <v>348476485.236</v>
      </c>
      <c r="O35" s="9" t="n">
        <f aca="false">N35-S35-X35</f>
        <v>315205895.56224</v>
      </c>
      <c r="P35" s="9" t="n">
        <f aca="false">MIN(K35,Inputs!$C$35)</f>
        <v>6925072.5</v>
      </c>
      <c r="Q35" s="9" t="n">
        <f aca="false">MIN(L35,Inputs!$C$36)</f>
        <v>6925072.5</v>
      </c>
      <c r="R35" s="9" t="n">
        <f aca="false">MIN(M35,Inputs!$C$37)</f>
        <v>6371066.7</v>
      </c>
      <c r="S35" s="9" t="n">
        <f aca="false">MIN(N35,Inputs!$C$38)</f>
        <v>5861381.364</v>
      </c>
      <c r="T35" s="9" t="n">
        <f aca="false">MIN(O35,Inputs!$C$39)</f>
        <v>5392470.85488</v>
      </c>
      <c r="U35" s="9" t="n">
        <f aca="false">(K35-P35)*(1-Inputs!$B$35/Inputs!$B$34)</f>
        <v>0</v>
      </c>
      <c r="V35" s="9" t="n">
        <f aca="false">(L35-Q35)*(1-Inputs!$B$36/Inputs!$B$35)</f>
        <v>0</v>
      </c>
      <c r="W35" s="9" t="n">
        <f aca="false">(M35-R35)*(1-Inputs!$B$37/Inputs!$B$36)</f>
        <v>30302303.064</v>
      </c>
      <c r="X35" s="9" t="n">
        <f aca="false">(N35-S35)*(1-Inputs!$B$38/Inputs!$B$37)</f>
        <v>27409208.30976</v>
      </c>
      <c r="Y35" s="9" t="n">
        <f aca="false">O35-T35</f>
        <v>309813424.70736</v>
      </c>
      <c r="Z35" s="9" t="n">
        <f aca="false">K35/(1+Inputs!$B$25)^1+L35/(1+Inputs!$B$25)^2+M35/(1+Inputs!$B$25)^3+N35/(1+Inputs!$B$25)^4+O35/(1+Inputs!$B$25)^5</f>
        <v>1500967222.80652</v>
      </c>
      <c r="AA35" s="9" t="n">
        <f aca="false">U35/(1+Inputs!$B$25)^1+V35/(1+Inputs!$B$25)^2+W35/(1+Inputs!$B$25)^3+X35/(1+Inputs!$B$25)^4+Y35/(1+Inputs!$B$25)^5</f>
        <v>260719404.232814</v>
      </c>
      <c r="AB35" s="5" t="n">
        <f aca="false">(D35-AA35)/Z35-Inputs!$B$20</f>
        <v>0.0671276585298301</v>
      </c>
      <c r="AC35" s="9" t="n">
        <f aca="false">AB35*D35</f>
        <v>26783935.7534022</v>
      </c>
      <c r="AD35" s="5" t="n">
        <f aca="false">(Inputs!$B$31-AC35)*(1-Inputs!$B$12)/G35</f>
        <v>0.362436581474393</v>
      </c>
      <c r="AE35" s="5" t="n">
        <f aca="false">(Inputs!$B$31-AC35)*(1-Inputs!$B$12)/I35</f>
        <v>0.4887640009368</v>
      </c>
      <c r="AF35" s="5" t="n">
        <f aca="false">IF(H35&gt;0,AC35/H35,"")</f>
        <v>0.0832030921869897</v>
      </c>
      <c r="AG35" s="5" t="n">
        <f aca="false">Inputs!$B$9*H35/(1-Inputs!$B$12)/D35</f>
        <v>0.123708234522203</v>
      </c>
    </row>
    <row r="36" customFormat="false" ht="15" hidden="false" customHeight="false" outlineLevel="0" collapsed="false">
      <c r="A36" s="5" t="n">
        <f aca="false">0.03+0.0025*31</f>
        <v>0.1075</v>
      </c>
      <c r="B36" s="4" t="str">
        <f aca="false">IF(A36&lt;Inputs!$B$13,"below KIRB",IF(E36&lt;=0.15,"floor binds",""))</f>
        <v>floor binds</v>
      </c>
      <c r="C36" s="9" t="n">
        <f aca="false">A36*Inputs!$B$5</f>
        <v>430000000</v>
      </c>
      <c r="D36" s="9" t="n">
        <f aca="false">C36*(1-Inputs!$B$18)</f>
        <v>408500000</v>
      </c>
      <c r="E36" s="5" t="n">
        <f aca="false">MAX(0.15,12.5*IF((1)&lt;=(Inputs!$B$13),1,IF((A36)&gt;=(Inputs!$B$13),(EXP((-1/((Inputs!$B$28)*(Inputs!$B$13)))*((1)-(Inputs!$B$13)))-EXP((-1/((Inputs!$B$28)*(Inputs!$B$13)))*MAX((A36)-(Inputs!$B$13),0)))/((-1/((Inputs!$B$28)*(Inputs!$B$13)))*(((1)-(Inputs!$B$13))-MAX((A36)-(Inputs!$B$13),0))),((Inputs!$B$13)-(A36))/((1)-(A36))+(1-((Inputs!$B$13)-(A36))/((1)-(A36)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6" s="5" t="n">
        <f aca="false">MAX(0.1,12.5*IF((1)&lt;=(Inputs!$B$13),1,IF((A36)&gt;=(Inputs!$B$13),(EXP((-1/((Inputs!$B$29)*(Inputs!$B$13)))*((1)-(Inputs!$B$13)))-EXP((-1/((Inputs!$B$29)*(Inputs!$B$13)))*MAX((A36)-(Inputs!$B$13),0)))/((-1/((Inputs!$B$29)*(Inputs!$B$13)))*(((1)-(Inputs!$B$13))-MAX((A36)-(Inputs!$B$13),0))),((Inputs!$B$13)-(A36))/((1)-(A36))+(1-((Inputs!$B$13)-(A36))/((1)-(A36)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6" s="9" t="n">
        <f aca="false">E36*(1-A36)*Inputs!$B$5*Inputs!$B$8+A36*Inputs!$B$5*Inputs!$B$18</f>
        <v>93792500</v>
      </c>
      <c r="H36" s="9" t="n">
        <f aca="false">Inputs!$B$30-G36</f>
        <v>321612840.702342</v>
      </c>
      <c r="I36" s="9" t="n">
        <f aca="false">F36*(1-A36)*Inputs!$B$5*Inputs!$B$8+A36*Inputs!$B$5*Inputs!$B$18</f>
        <v>69695000</v>
      </c>
      <c r="J36" s="9" t="n">
        <f aca="false">Inputs!$B$30-I36</f>
        <v>345710340.702342</v>
      </c>
      <c r="K36" s="9" t="n">
        <f aca="false">D36</f>
        <v>408500000</v>
      </c>
      <c r="L36" s="9" t="n">
        <f aca="false">K36-P36-U36</f>
        <v>401574927.5</v>
      </c>
      <c r="M36" s="9" t="n">
        <f aca="false">L36-Q36-V36</f>
        <v>394649855</v>
      </c>
      <c r="N36" s="9" t="n">
        <f aca="false">M36-R36-W36</f>
        <v>357216485.236</v>
      </c>
      <c r="O36" s="9" t="n">
        <f aca="false">N36-S36-X36</f>
        <v>323246695.56224</v>
      </c>
      <c r="P36" s="9" t="n">
        <f aca="false">MIN(K36,Inputs!$C$35)</f>
        <v>6925072.5</v>
      </c>
      <c r="Q36" s="9" t="n">
        <f aca="false">MIN(L36,Inputs!$C$36)</f>
        <v>6925072.5</v>
      </c>
      <c r="R36" s="9" t="n">
        <f aca="false">MIN(M36,Inputs!$C$37)</f>
        <v>6371066.7</v>
      </c>
      <c r="S36" s="9" t="n">
        <f aca="false">MIN(N36,Inputs!$C$38)</f>
        <v>5861381.364</v>
      </c>
      <c r="T36" s="9" t="n">
        <f aca="false">MIN(O36,Inputs!$C$39)</f>
        <v>5392470.85488</v>
      </c>
      <c r="U36" s="9" t="n">
        <f aca="false">(K36-P36)*(1-Inputs!$B$35/Inputs!$B$34)</f>
        <v>0</v>
      </c>
      <c r="V36" s="9" t="n">
        <f aca="false">(L36-Q36)*(1-Inputs!$B$36/Inputs!$B$35)</f>
        <v>0</v>
      </c>
      <c r="W36" s="9" t="n">
        <f aca="false">(M36-R36)*(1-Inputs!$B$37/Inputs!$B$36)</f>
        <v>31062303.064</v>
      </c>
      <c r="X36" s="9" t="n">
        <f aca="false">(N36-S36)*(1-Inputs!$B$38/Inputs!$B$37)</f>
        <v>28108408.30976</v>
      </c>
      <c r="Y36" s="9" t="n">
        <f aca="false">O36-T36</f>
        <v>317854224.70736</v>
      </c>
      <c r="Z36" s="9" t="n">
        <f aca="false">K36/(1+Inputs!$B$25)^1+L36/(1+Inputs!$B$25)^2+M36/(1+Inputs!$B$25)^3+N36/(1+Inputs!$B$25)^4+O36/(1+Inputs!$B$25)^5</f>
        <v>1537817622.61655</v>
      </c>
      <c r="AA36" s="9" t="n">
        <f aca="false">U36/(1+Inputs!$B$25)^1+V36/(1+Inputs!$B$25)^2+W36/(1+Inputs!$B$25)^3+X36/(1+Inputs!$B$25)^4+Y36/(1+Inputs!$B$25)^5</f>
        <v>267455624.247062</v>
      </c>
      <c r="AB36" s="5" t="n">
        <f aca="false">(D36-AA36)/Z36-Inputs!$B$20</f>
        <v>0.0667172320557466</v>
      </c>
      <c r="AC36" s="9" t="n">
        <f aca="false">AB36*D36</f>
        <v>27253989.2947725</v>
      </c>
      <c r="AD36" s="5" t="n">
        <f aca="false">(Inputs!$B$31-AC36)*(1-Inputs!$B$12)/G36</f>
        <v>0.357528246170223</v>
      </c>
      <c r="AE36" s="5" t="n">
        <f aca="false">(Inputs!$B$31-AC36)*(1-Inputs!$B$12)/I36</f>
        <v>0.481145964974828</v>
      </c>
      <c r="AF36" s="5" t="n">
        <f aca="false">IF(H36&gt;0,AC36/H36,"")</f>
        <v>0.084741608062834</v>
      </c>
      <c r="AG36" s="5" t="n">
        <f aca="false">Inputs!$B$9*H36/(1-Inputs!$B$12)/D36</f>
        <v>0.12071963012899</v>
      </c>
    </row>
    <row r="37" customFormat="false" ht="15" hidden="false" customHeight="false" outlineLevel="0" collapsed="false">
      <c r="A37" s="5" t="n">
        <f aca="false">0.03+0.0025*32</f>
        <v>0.11</v>
      </c>
      <c r="B37" s="4" t="str">
        <f aca="false">IF(A37&lt;Inputs!$B$13,"below KIRB",IF(E37&lt;=0.15,"floor binds",""))</f>
        <v>floor binds</v>
      </c>
      <c r="C37" s="9" t="n">
        <f aca="false">A37*Inputs!$B$5</f>
        <v>440000000</v>
      </c>
      <c r="D37" s="9" t="n">
        <f aca="false">C37*(1-Inputs!$B$18)</f>
        <v>418000000</v>
      </c>
      <c r="E37" s="5" t="n">
        <f aca="false">MAX(0.15,12.5*IF((1)&lt;=(Inputs!$B$13),1,IF((A37)&gt;=(Inputs!$B$13),(EXP((-1/((Inputs!$B$28)*(Inputs!$B$13)))*((1)-(Inputs!$B$13)))-EXP((-1/((Inputs!$B$28)*(Inputs!$B$13)))*MAX((A37)-(Inputs!$B$13),0)))/((-1/((Inputs!$B$28)*(Inputs!$B$13)))*(((1)-(Inputs!$B$13))-MAX((A37)-(Inputs!$B$13),0))),((Inputs!$B$13)-(A37))/((1)-(A37))+(1-((Inputs!$B$13)-(A37))/((1)-(A37)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7" s="5" t="n">
        <f aca="false">MAX(0.1,12.5*IF((1)&lt;=(Inputs!$B$13),1,IF((A37)&gt;=(Inputs!$B$13),(EXP((-1/((Inputs!$B$29)*(Inputs!$B$13)))*((1)-(Inputs!$B$13)))-EXP((-1/((Inputs!$B$29)*(Inputs!$B$13)))*MAX((A37)-(Inputs!$B$13),0)))/((-1/((Inputs!$B$29)*(Inputs!$B$13)))*(((1)-(Inputs!$B$13))-MAX((A37)-(Inputs!$B$13),0))),((Inputs!$B$13)-(A37))/((1)-(A37))+(1-((Inputs!$B$13)-(A37))/((1)-(A37)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7" s="9" t="n">
        <f aca="false">E37*(1-A37)*Inputs!$B$5*Inputs!$B$8+A37*Inputs!$B$5*Inputs!$B$18</f>
        <v>94090000</v>
      </c>
      <c r="H37" s="9" t="n">
        <f aca="false">Inputs!$B$30-G37</f>
        <v>321315340.702342</v>
      </c>
      <c r="I37" s="9" t="n">
        <f aca="false">F37*(1-A37)*Inputs!$B$5*Inputs!$B$8+A37*Inputs!$B$5*Inputs!$B$18</f>
        <v>70060000</v>
      </c>
      <c r="J37" s="9" t="n">
        <f aca="false">Inputs!$B$30-I37</f>
        <v>345345340.702342</v>
      </c>
      <c r="K37" s="9" t="n">
        <f aca="false">D37</f>
        <v>418000000</v>
      </c>
      <c r="L37" s="9" t="n">
        <f aca="false">K37-P37-U37</f>
        <v>411074927.5</v>
      </c>
      <c r="M37" s="9" t="n">
        <f aca="false">L37-Q37-V37</f>
        <v>404149855</v>
      </c>
      <c r="N37" s="9" t="n">
        <f aca="false">M37-R37-W37</f>
        <v>365956485.236</v>
      </c>
      <c r="O37" s="9" t="n">
        <f aca="false">N37-S37-X37</f>
        <v>331287495.56224</v>
      </c>
      <c r="P37" s="9" t="n">
        <f aca="false">MIN(K37,Inputs!$C$35)</f>
        <v>6925072.5</v>
      </c>
      <c r="Q37" s="9" t="n">
        <f aca="false">MIN(L37,Inputs!$C$36)</f>
        <v>6925072.5</v>
      </c>
      <c r="R37" s="9" t="n">
        <f aca="false">MIN(M37,Inputs!$C$37)</f>
        <v>6371066.7</v>
      </c>
      <c r="S37" s="9" t="n">
        <f aca="false">MIN(N37,Inputs!$C$38)</f>
        <v>5861381.364</v>
      </c>
      <c r="T37" s="9" t="n">
        <f aca="false">MIN(O37,Inputs!$C$39)</f>
        <v>5392470.85488</v>
      </c>
      <c r="U37" s="9" t="n">
        <f aca="false">(K37-P37)*(1-Inputs!$B$35/Inputs!$B$34)</f>
        <v>0</v>
      </c>
      <c r="V37" s="9" t="n">
        <f aca="false">(L37-Q37)*(1-Inputs!$B$36/Inputs!$B$35)</f>
        <v>0</v>
      </c>
      <c r="W37" s="9" t="n">
        <f aca="false">(M37-R37)*(1-Inputs!$B$37/Inputs!$B$36)</f>
        <v>31822303.064</v>
      </c>
      <c r="X37" s="9" t="n">
        <f aca="false">(N37-S37)*(1-Inputs!$B$38/Inputs!$B$37)</f>
        <v>28807608.30976</v>
      </c>
      <c r="Y37" s="9" t="n">
        <f aca="false">O37-T37</f>
        <v>325895024.70736</v>
      </c>
      <c r="Z37" s="9" t="n">
        <f aca="false">K37/(1+Inputs!$B$25)^1+L37/(1+Inputs!$B$25)^2+M37/(1+Inputs!$B$25)^3+N37/(1+Inputs!$B$25)^4+O37/(1+Inputs!$B$25)^5</f>
        <v>1574668022.42658</v>
      </c>
      <c r="AA37" s="9" t="n">
        <f aca="false">U37/(1+Inputs!$B$25)^1+V37/(1+Inputs!$B$25)^2+W37/(1+Inputs!$B$25)^3+X37/(1+Inputs!$B$25)^4+Y37/(1+Inputs!$B$25)^5</f>
        <v>274191844.261309</v>
      </c>
      <c r="AB37" s="5" t="n">
        <f aca="false">(D37-AA37)/Z37-Inputs!$B$20</f>
        <v>0.0663260151921299</v>
      </c>
      <c r="AC37" s="9" t="n">
        <f aca="false">AB37*D37</f>
        <v>27724274.3503103</v>
      </c>
      <c r="AD37" s="5" t="n">
        <f aca="false">(Inputs!$B$31-AC37)*(1-Inputs!$B$12)/G37</f>
        <v>0.352649104445396</v>
      </c>
      <c r="AE37" s="5" t="n">
        <f aca="false">(Inputs!$B$31-AC37)*(1-Inputs!$B$12)/I37</f>
        <v>0.473604827822827</v>
      </c>
      <c r="AF37" s="5" t="n">
        <f aca="false">IF(H37&gt;0,AC37/H37,"")</f>
        <v>0.086283693426245</v>
      </c>
      <c r="AG37" s="5" t="n">
        <f aca="false">Inputs!$B$9*H37/(1-Inputs!$B$12)/D37</f>
        <v>0.117866871390014</v>
      </c>
    </row>
    <row r="38" customFormat="false" ht="15" hidden="false" customHeight="false" outlineLevel="0" collapsed="false">
      <c r="A38" s="5" t="n">
        <f aca="false">0.03+0.0025*33</f>
        <v>0.1125</v>
      </c>
      <c r="B38" s="4" t="str">
        <f aca="false">IF(A38&lt;Inputs!$B$13,"below KIRB",IF(E38&lt;=0.15,"floor binds",""))</f>
        <v>floor binds</v>
      </c>
      <c r="C38" s="9" t="n">
        <f aca="false">A38*Inputs!$B$5</f>
        <v>450000000</v>
      </c>
      <c r="D38" s="9" t="n">
        <f aca="false">C38*(1-Inputs!$B$18)</f>
        <v>427500000</v>
      </c>
      <c r="E38" s="5" t="n">
        <f aca="false">MAX(0.15,12.5*IF((1)&lt;=(Inputs!$B$13),1,IF((A38)&gt;=(Inputs!$B$13),(EXP((-1/((Inputs!$B$28)*(Inputs!$B$13)))*((1)-(Inputs!$B$13)))-EXP((-1/((Inputs!$B$28)*(Inputs!$B$13)))*MAX((A38)-(Inputs!$B$13),0)))/((-1/((Inputs!$B$28)*(Inputs!$B$13)))*(((1)-(Inputs!$B$13))-MAX((A38)-(Inputs!$B$13),0))),((Inputs!$B$13)-(A38))/((1)-(A38))+(1-((Inputs!$B$13)-(A38))/((1)-(A38)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8" s="5" t="n">
        <f aca="false">MAX(0.1,12.5*IF((1)&lt;=(Inputs!$B$13),1,IF((A38)&gt;=(Inputs!$B$13),(EXP((-1/((Inputs!$B$29)*(Inputs!$B$13)))*((1)-(Inputs!$B$13)))-EXP((-1/((Inputs!$B$29)*(Inputs!$B$13)))*MAX((A38)-(Inputs!$B$13),0)))/((-1/((Inputs!$B$29)*(Inputs!$B$13)))*(((1)-(Inputs!$B$13))-MAX((A38)-(Inputs!$B$13),0))),((Inputs!$B$13)-(A38))/((1)-(A38))+(1-((Inputs!$B$13)-(A38))/((1)-(A38)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8" s="9" t="n">
        <f aca="false">E38*(1-A38)*Inputs!$B$5*Inputs!$B$8+A38*Inputs!$B$5*Inputs!$B$18</f>
        <v>94387500</v>
      </c>
      <c r="H38" s="9" t="n">
        <f aca="false">Inputs!$B$30-G38</f>
        <v>321017840.702342</v>
      </c>
      <c r="I38" s="9" t="n">
        <f aca="false">F38*(1-A38)*Inputs!$B$5*Inputs!$B$8+A38*Inputs!$B$5*Inputs!$B$18</f>
        <v>70425000</v>
      </c>
      <c r="J38" s="9" t="n">
        <f aca="false">Inputs!$B$30-I38</f>
        <v>344980340.702342</v>
      </c>
      <c r="K38" s="9" t="n">
        <f aca="false">D38</f>
        <v>427500000</v>
      </c>
      <c r="L38" s="9" t="n">
        <f aca="false">K38-P38-U38</f>
        <v>420574927.5</v>
      </c>
      <c r="M38" s="9" t="n">
        <f aca="false">L38-Q38-V38</f>
        <v>413649855</v>
      </c>
      <c r="N38" s="9" t="n">
        <f aca="false">M38-R38-W38</f>
        <v>374696485.236</v>
      </c>
      <c r="O38" s="9" t="n">
        <f aca="false">N38-S38-X38</f>
        <v>339328295.56224</v>
      </c>
      <c r="P38" s="9" t="n">
        <f aca="false">MIN(K38,Inputs!$C$35)</f>
        <v>6925072.5</v>
      </c>
      <c r="Q38" s="9" t="n">
        <f aca="false">MIN(L38,Inputs!$C$36)</f>
        <v>6925072.5</v>
      </c>
      <c r="R38" s="9" t="n">
        <f aca="false">MIN(M38,Inputs!$C$37)</f>
        <v>6371066.7</v>
      </c>
      <c r="S38" s="9" t="n">
        <f aca="false">MIN(N38,Inputs!$C$38)</f>
        <v>5861381.364</v>
      </c>
      <c r="T38" s="9" t="n">
        <f aca="false">MIN(O38,Inputs!$C$39)</f>
        <v>5392470.85488</v>
      </c>
      <c r="U38" s="9" t="n">
        <f aca="false">(K38-P38)*(1-Inputs!$B$35/Inputs!$B$34)</f>
        <v>0</v>
      </c>
      <c r="V38" s="9" t="n">
        <f aca="false">(L38-Q38)*(1-Inputs!$B$36/Inputs!$B$35)</f>
        <v>0</v>
      </c>
      <c r="W38" s="9" t="n">
        <f aca="false">(M38-R38)*(1-Inputs!$B$37/Inputs!$B$36)</f>
        <v>32582303.064</v>
      </c>
      <c r="X38" s="9" t="n">
        <f aca="false">(N38-S38)*(1-Inputs!$B$38/Inputs!$B$37)</f>
        <v>29506808.30976</v>
      </c>
      <c r="Y38" s="9" t="n">
        <f aca="false">O38-T38</f>
        <v>333935824.70736</v>
      </c>
      <c r="Z38" s="9" t="n">
        <f aca="false">K38/(1+Inputs!$B$25)^1+L38/(1+Inputs!$B$25)^2+M38/(1+Inputs!$B$25)^3+N38/(1+Inputs!$B$25)^4+O38/(1+Inputs!$B$25)^5</f>
        <v>1611518422.23661</v>
      </c>
      <c r="AA38" s="9" t="n">
        <f aca="false">U38/(1+Inputs!$B$25)^1+V38/(1+Inputs!$B$25)^2+W38/(1+Inputs!$B$25)^3+X38/(1+Inputs!$B$25)^4+Y38/(1+Inputs!$B$25)^5</f>
        <v>280928064.275557</v>
      </c>
      <c r="AB38" s="5" t="n">
        <f aca="false">(D38-AA38)/Z38-Inputs!$B$20</f>
        <v>0.0659526901473565</v>
      </c>
      <c r="AC38" s="9" t="n">
        <f aca="false">AB38*D38</f>
        <v>28194775.0379949</v>
      </c>
      <c r="AD38" s="5" t="n">
        <f aca="false">(Inputs!$B$31-AC38)*(1-Inputs!$B$12)/G38</f>
        <v>0.347799006452166</v>
      </c>
      <c r="AE38" s="5" t="n">
        <f aca="false">(Inputs!$B$31-AC38)*(1-Inputs!$B$12)/I38</f>
        <v>0.466139562960651</v>
      </c>
      <c r="AF38" s="5" t="n">
        <f aca="false">IF(H38&gt;0,AC38/H38,"")</f>
        <v>0.0878293087272306</v>
      </c>
      <c r="AG38" s="5" t="n">
        <f aca="false">Inputs!$B$9*H38/(1-Inputs!$B$12)/D38</f>
        <v>0.115140901928325</v>
      </c>
    </row>
    <row r="39" customFormat="false" ht="15" hidden="false" customHeight="false" outlineLevel="0" collapsed="false">
      <c r="A39" s="5" t="n">
        <f aca="false">0.03+0.0025*34</f>
        <v>0.115</v>
      </c>
      <c r="B39" s="4" t="str">
        <f aca="false">IF(A39&lt;Inputs!$B$13,"below KIRB",IF(E39&lt;=0.15,"floor binds",""))</f>
        <v>floor binds</v>
      </c>
      <c r="C39" s="9" t="n">
        <f aca="false">A39*Inputs!$B$5</f>
        <v>460000000</v>
      </c>
      <c r="D39" s="9" t="n">
        <f aca="false">C39*(1-Inputs!$B$18)</f>
        <v>437000000</v>
      </c>
      <c r="E39" s="5" t="n">
        <f aca="false">MAX(0.15,12.5*IF((1)&lt;=(Inputs!$B$13),1,IF((A39)&gt;=(Inputs!$B$13),(EXP((-1/((Inputs!$B$28)*(Inputs!$B$13)))*((1)-(Inputs!$B$13)))-EXP((-1/((Inputs!$B$28)*(Inputs!$B$13)))*MAX((A39)-(Inputs!$B$13),0)))/((-1/((Inputs!$B$28)*(Inputs!$B$13)))*(((1)-(Inputs!$B$13))-MAX((A39)-(Inputs!$B$13),0))),((Inputs!$B$13)-(A39))/((1)-(A39))+(1-((Inputs!$B$13)-(A39))/((1)-(A39)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39" s="5" t="n">
        <f aca="false">MAX(0.1,12.5*IF((1)&lt;=(Inputs!$B$13),1,IF((A39)&gt;=(Inputs!$B$13),(EXP((-1/((Inputs!$B$29)*(Inputs!$B$13)))*((1)-(Inputs!$B$13)))-EXP((-1/((Inputs!$B$29)*(Inputs!$B$13)))*MAX((A39)-(Inputs!$B$13),0)))/((-1/((Inputs!$B$29)*(Inputs!$B$13)))*(((1)-(Inputs!$B$13))-MAX((A39)-(Inputs!$B$13),0))),((Inputs!$B$13)-(A39))/((1)-(A39))+(1-((Inputs!$B$13)-(A39))/((1)-(A39)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39" s="9" t="n">
        <f aca="false">E39*(1-A39)*Inputs!$B$5*Inputs!$B$8+A39*Inputs!$B$5*Inputs!$B$18</f>
        <v>94685000</v>
      </c>
      <c r="H39" s="9" t="n">
        <f aca="false">Inputs!$B$30-G39</f>
        <v>320720340.702342</v>
      </c>
      <c r="I39" s="9" t="n">
        <f aca="false">F39*(1-A39)*Inputs!$B$5*Inputs!$B$8+A39*Inputs!$B$5*Inputs!$B$18</f>
        <v>70790000</v>
      </c>
      <c r="J39" s="9" t="n">
        <f aca="false">Inputs!$B$30-I39</f>
        <v>344615340.702342</v>
      </c>
      <c r="K39" s="9" t="n">
        <f aca="false">D39</f>
        <v>437000000</v>
      </c>
      <c r="L39" s="9" t="n">
        <f aca="false">K39-P39-U39</f>
        <v>430074927.5</v>
      </c>
      <c r="M39" s="9" t="n">
        <f aca="false">L39-Q39-V39</f>
        <v>423149855</v>
      </c>
      <c r="N39" s="9" t="n">
        <f aca="false">M39-R39-W39</f>
        <v>383436485.236</v>
      </c>
      <c r="O39" s="9" t="n">
        <f aca="false">N39-S39-X39</f>
        <v>347369095.56224</v>
      </c>
      <c r="P39" s="9" t="n">
        <f aca="false">MIN(K39,Inputs!$C$35)</f>
        <v>6925072.5</v>
      </c>
      <c r="Q39" s="9" t="n">
        <f aca="false">MIN(L39,Inputs!$C$36)</f>
        <v>6925072.5</v>
      </c>
      <c r="R39" s="9" t="n">
        <f aca="false">MIN(M39,Inputs!$C$37)</f>
        <v>6371066.7</v>
      </c>
      <c r="S39" s="9" t="n">
        <f aca="false">MIN(N39,Inputs!$C$38)</f>
        <v>5861381.364</v>
      </c>
      <c r="T39" s="9" t="n">
        <f aca="false">MIN(O39,Inputs!$C$39)</f>
        <v>5392470.85488</v>
      </c>
      <c r="U39" s="9" t="n">
        <f aca="false">(K39-P39)*(1-Inputs!$B$35/Inputs!$B$34)</f>
        <v>0</v>
      </c>
      <c r="V39" s="9" t="n">
        <f aca="false">(L39-Q39)*(1-Inputs!$B$36/Inputs!$B$35)</f>
        <v>0</v>
      </c>
      <c r="W39" s="9" t="n">
        <f aca="false">(M39-R39)*(1-Inputs!$B$37/Inputs!$B$36)</f>
        <v>33342303.064</v>
      </c>
      <c r="X39" s="9" t="n">
        <f aca="false">(N39-S39)*(1-Inputs!$B$38/Inputs!$B$37)</f>
        <v>30206008.30976</v>
      </c>
      <c r="Y39" s="9" t="n">
        <f aca="false">O39-T39</f>
        <v>341976624.70736</v>
      </c>
      <c r="Z39" s="9" t="n">
        <f aca="false">K39/(1+Inputs!$B$25)^1+L39/(1+Inputs!$B$25)^2+M39/(1+Inputs!$B$25)^3+N39/(1+Inputs!$B$25)^4+O39/(1+Inputs!$B$25)^5</f>
        <v>1648368822.04664</v>
      </c>
      <c r="AA39" s="9" t="n">
        <f aca="false">U39/(1+Inputs!$B$25)^1+V39/(1+Inputs!$B$25)^2+W39/(1+Inputs!$B$25)^3+X39/(1+Inputs!$B$25)^4+Y39/(1+Inputs!$B$25)^5</f>
        <v>287664284.289805</v>
      </c>
      <c r="AB39" s="5" t="n">
        <f aca="false">(D39-AA39)/Z39-Inputs!$B$20</f>
        <v>0.065596056970295</v>
      </c>
      <c r="AC39" s="9" t="n">
        <f aca="false">AB39*D39</f>
        <v>28665476.8960189</v>
      </c>
      <c r="AD39" s="5" t="n">
        <f aca="false">(Inputs!$B$31-AC39)*(1-Inputs!$B$12)/G39</f>
        <v>0.342977792976562</v>
      </c>
      <c r="AE39" s="5" t="n">
        <f aca="false">(Inputs!$B$31-AC39)*(1-Inputs!$B$12)/I39</f>
        <v>0.458749149992736</v>
      </c>
      <c r="AF39" s="5" t="n">
        <f aca="false">IF(H39&gt;0,AC39/H39,"")</f>
        <v>0.0893784186972511</v>
      </c>
      <c r="AG39" s="5" t="n">
        <f aca="false">Inputs!$B$9*H39/(1-Inputs!$B$12)/D39</f>
        <v>0.112533452878015</v>
      </c>
    </row>
    <row r="40" customFormat="false" ht="15" hidden="false" customHeight="false" outlineLevel="0" collapsed="false">
      <c r="A40" s="5" t="n">
        <f aca="false">0.03+0.0025*35</f>
        <v>0.1175</v>
      </c>
      <c r="B40" s="4" t="str">
        <f aca="false">IF(A40&lt;Inputs!$B$13,"below KIRB",IF(E40&lt;=0.15,"floor binds",""))</f>
        <v>floor binds</v>
      </c>
      <c r="C40" s="9" t="n">
        <f aca="false">A40*Inputs!$B$5</f>
        <v>470000000</v>
      </c>
      <c r="D40" s="9" t="n">
        <f aca="false">C40*(1-Inputs!$B$18)</f>
        <v>446500000</v>
      </c>
      <c r="E40" s="5" t="n">
        <f aca="false">MAX(0.15,12.5*IF((1)&lt;=(Inputs!$B$13),1,IF((A40)&gt;=(Inputs!$B$13),(EXP((-1/((Inputs!$B$28)*(Inputs!$B$13)))*((1)-(Inputs!$B$13)))-EXP((-1/((Inputs!$B$28)*(Inputs!$B$13)))*MAX((A40)-(Inputs!$B$13),0)))/((-1/((Inputs!$B$28)*(Inputs!$B$13)))*(((1)-(Inputs!$B$13))-MAX((A40)-(Inputs!$B$13),0))),((Inputs!$B$13)-(A40))/((1)-(A40))+(1-((Inputs!$B$13)-(A40))/((1)-(A40)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0" s="5" t="n">
        <f aca="false">MAX(0.1,12.5*IF((1)&lt;=(Inputs!$B$13),1,IF((A40)&gt;=(Inputs!$B$13),(EXP((-1/((Inputs!$B$29)*(Inputs!$B$13)))*((1)-(Inputs!$B$13)))-EXP((-1/((Inputs!$B$29)*(Inputs!$B$13)))*MAX((A40)-(Inputs!$B$13),0)))/((-1/((Inputs!$B$29)*(Inputs!$B$13)))*(((1)-(Inputs!$B$13))-MAX((A40)-(Inputs!$B$13),0))),((Inputs!$B$13)-(A40))/((1)-(A40))+(1-((Inputs!$B$13)-(A40))/((1)-(A40)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0" s="9" t="n">
        <f aca="false">E40*(1-A40)*Inputs!$B$5*Inputs!$B$8+A40*Inputs!$B$5*Inputs!$B$18</f>
        <v>94982500</v>
      </c>
      <c r="H40" s="9" t="n">
        <f aca="false">Inputs!$B$30-G40</f>
        <v>320422840.702342</v>
      </c>
      <c r="I40" s="9" t="n">
        <f aca="false">F40*(1-A40)*Inputs!$B$5*Inputs!$B$8+A40*Inputs!$B$5*Inputs!$B$18</f>
        <v>71155000</v>
      </c>
      <c r="J40" s="9" t="n">
        <f aca="false">Inputs!$B$30-I40</f>
        <v>344250340.702342</v>
      </c>
      <c r="K40" s="9" t="n">
        <f aca="false">D40</f>
        <v>446500000</v>
      </c>
      <c r="L40" s="9" t="n">
        <f aca="false">K40-P40-U40</f>
        <v>439574927.5</v>
      </c>
      <c r="M40" s="9" t="n">
        <f aca="false">L40-Q40-V40</f>
        <v>432649855</v>
      </c>
      <c r="N40" s="9" t="n">
        <f aca="false">M40-R40-W40</f>
        <v>392176485.236</v>
      </c>
      <c r="O40" s="9" t="n">
        <f aca="false">N40-S40-X40</f>
        <v>355409895.56224</v>
      </c>
      <c r="P40" s="9" t="n">
        <f aca="false">MIN(K40,Inputs!$C$35)</f>
        <v>6925072.5</v>
      </c>
      <c r="Q40" s="9" t="n">
        <f aca="false">MIN(L40,Inputs!$C$36)</f>
        <v>6925072.5</v>
      </c>
      <c r="R40" s="9" t="n">
        <f aca="false">MIN(M40,Inputs!$C$37)</f>
        <v>6371066.7</v>
      </c>
      <c r="S40" s="9" t="n">
        <f aca="false">MIN(N40,Inputs!$C$38)</f>
        <v>5861381.364</v>
      </c>
      <c r="T40" s="9" t="n">
        <f aca="false">MIN(O40,Inputs!$C$39)</f>
        <v>5392470.85488</v>
      </c>
      <c r="U40" s="9" t="n">
        <f aca="false">(K40-P40)*(1-Inputs!$B$35/Inputs!$B$34)</f>
        <v>0</v>
      </c>
      <c r="V40" s="9" t="n">
        <f aca="false">(L40-Q40)*(1-Inputs!$B$36/Inputs!$B$35)</f>
        <v>0</v>
      </c>
      <c r="W40" s="9" t="n">
        <f aca="false">(M40-R40)*(1-Inputs!$B$37/Inputs!$B$36)</f>
        <v>34102303.064</v>
      </c>
      <c r="X40" s="9" t="n">
        <f aca="false">(N40-S40)*(1-Inputs!$B$38/Inputs!$B$37)</f>
        <v>30905208.30976</v>
      </c>
      <c r="Y40" s="9" t="n">
        <f aca="false">O40-T40</f>
        <v>350017424.70736</v>
      </c>
      <c r="Z40" s="9" t="n">
        <f aca="false">K40/(1+Inputs!$B$25)^1+L40/(1+Inputs!$B$25)^2+M40/(1+Inputs!$B$25)^3+N40/(1+Inputs!$B$25)^4+O40/(1+Inputs!$B$25)^5</f>
        <v>1685219221.85667</v>
      </c>
      <c r="AA40" s="9" t="n">
        <f aca="false">U40/(1+Inputs!$B$25)^1+V40/(1+Inputs!$B$25)^2+W40/(1+Inputs!$B$25)^3+X40/(1+Inputs!$B$25)^4+Y40/(1+Inputs!$B$25)^5</f>
        <v>294400504.304053</v>
      </c>
      <c r="AB40" s="5" t="n">
        <f aca="false">(D40-AA40)/Z40-Inputs!$B$20</f>
        <v>0.0652550206663166</v>
      </c>
      <c r="AC40" s="9" t="n">
        <f aca="false">AB40*D40</f>
        <v>29136366.7275103</v>
      </c>
      <c r="AD40" s="5" t="n">
        <f aca="false">(Inputs!$B$31-AC40)*(1-Inputs!$B$12)/G40</f>
        <v>0.338185296811173</v>
      </c>
      <c r="AE40" s="5" t="n">
        <f aca="false">(Inputs!$B$31-AC40)*(1-Inputs!$B$12)/I40</f>
        <v>0.451432576127711</v>
      </c>
      <c r="AF40" s="5" t="n">
        <f aca="false">IF(H40&gt;0,AC40/H40,"")</f>
        <v>0.0909309918844915</v>
      </c>
      <c r="AG40" s="5" t="n">
        <f aca="false">Inputs!$B$9*H40/(1-Inputs!$B$12)/D40</f>
        <v>0.110036959106441</v>
      </c>
    </row>
    <row r="41" customFormat="false" ht="15" hidden="false" customHeight="false" outlineLevel="0" collapsed="false">
      <c r="A41" s="5" t="n">
        <f aca="false">0.03+0.0025*36</f>
        <v>0.12</v>
      </c>
      <c r="B41" s="4" t="str">
        <f aca="false">IF(A41&lt;Inputs!$B$13,"below KIRB",IF(E41&lt;=0.15,"floor binds",""))</f>
        <v>floor binds</v>
      </c>
      <c r="C41" s="9" t="n">
        <f aca="false">A41*Inputs!$B$5</f>
        <v>480000000</v>
      </c>
      <c r="D41" s="9" t="n">
        <f aca="false">C41*(1-Inputs!$B$18)</f>
        <v>456000000</v>
      </c>
      <c r="E41" s="5" t="n">
        <f aca="false">MAX(0.15,12.5*IF((1)&lt;=(Inputs!$B$13),1,IF((A41)&gt;=(Inputs!$B$13),(EXP((-1/((Inputs!$B$28)*(Inputs!$B$13)))*((1)-(Inputs!$B$13)))-EXP((-1/((Inputs!$B$28)*(Inputs!$B$13)))*MAX((A41)-(Inputs!$B$13),0)))/((-1/((Inputs!$B$28)*(Inputs!$B$13)))*(((1)-(Inputs!$B$13))-MAX((A41)-(Inputs!$B$13),0))),((Inputs!$B$13)-(A41))/((1)-(A41))+(1-((Inputs!$B$13)-(A41))/((1)-(A41)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1" s="5" t="n">
        <f aca="false">MAX(0.1,12.5*IF((1)&lt;=(Inputs!$B$13),1,IF((A41)&gt;=(Inputs!$B$13),(EXP((-1/((Inputs!$B$29)*(Inputs!$B$13)))*((1)-(Inputs!$B$13)))-EXP((-1/((Inputs!$B$29)*(Inputs!$B$13)))*MAX((A41)-(Inputs!$B$13),0)))/((-1/((Inputs!$B$29)*(Inputs!$B$13)))*(((1)-(Inputs!$B$13))-MAX((A41)-(Inputs!$B$13),0))),((Inputs!$B$13)-(A41))/((1)-(A41))+(1-((Inputs!$B$13)-(A41))/((1)-(A41)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1" s="9" t="n">
        <f aca="false">E41*(1-A41)*Inputs!$B$5*Inputs!$B$8+A41*Inputs!$B$5*Inputs!$B$18</f>
        <v>95280000</v>
      </c>
      <c r="H41" s="9" t="n">
        <f aca="false">Inputs!$B$30-G41</f>
        <v>320125340.702342</v>
      </c>
      <c r="I41" s="9" t="n">
        <f aca="false">F41*(1-A41)*Inputs!$B$5*Inputs!$B$8+A41*Inputs!$B$5*Inputs!$B$18</f>
        <v>71520000</v>
      </c>
      <c r="J41" s="9" t="n">
        <f aca="false">Inputs!$B$30-I41</f>
        <v>343885340.702342</v>
      </c>
      <c r="K41" s="9" t="n">
        <f aca="false">D41</f>
        <v>456000000</v>
      </c>
      <c r="L41" s="9" t="n">
        <f aca="false">K41-P41-U41</f>
        <v>449074927.5</v>
      </c>
      <c r="M41" s="9" t="n">
        <f aca="false">L41-Q41-V41</f>
        <v>442149855</v>
      </c>
      <c r="N41" s="9" t="n">
        <f aca="false">M41-R41-W41</f>
        <v>400916485.236</v>
      </c>
      <c r="O41" s="9" t="n">
        <f aca="false">N41-S41-X41</f>
        <v>363450695.56224</v>
      </c>
      <c r="P41" s="9" t="n">
        <f aca="false">MIN(K41,Inputs!$C$35)</f>
        <v>6925072.5</v>
      </c>
      <c r="Q41" s="9" t="n">
        <f aca="false">MIN(L41,Inputs!$C$36)</f>
        <v>6925072.5</v>
      </c>
      <c r="R41" s="9" t="n">
        <f aca="false">MIN(M41,Inputs!$C$37)</f>
        <v>6371066.7</v>
      </c>
      <c r="S41" s="9" t="n">
        <f aca="false">MIN(N41,Inputs!$C$38)</f>
        <v>5861381.364</v>
      </c>
      <c r="T41" s="9" t="n">
        <f aca="false">MIN(O41,Inputs!$C$39)</f>
        <v>5392470.85488</v>
      </c>
      <c r="U41" s="9" t="n">
        <f aca="false">(K41-P41)*(1-Inputs!$B$35/Inputs!$B$34)</f>
        <v>0</v>
      </c>
      <c r="V41" s="9" t="n">
        <f aca="false">(L41-Q41)*(1-Inputs!$B$36/Inputs!$B$35)</f>
        <v>0</v>
      </c>
      <c r="W41" s="9" t="n">
        <f aca="false">(M41-R41)*(1-Inputs!$B$37/Inputs!$B$36)</f>
        <v>34862303.064</v>
      </c>
      <c r="X41" s="9" t="n">
        <f aca="false">(N41-S41)*(1-Inputs!$B$38/Inputs!$B$37)</f>
        <v>31604408.30976</v>
      </c>
      <c r="Y41" s="9" t="n">
        <f aca="false">O41-T41</f>
        <v>358058224.70736</v>
      </c>
      <c r="Z41" s="9" t="n">
        <f aca="false">K41/(1+Inputs!$B$25)^1+L41/(1+Inputs!$B$25)^2+M41/(1+Inputs!$B$25)^3+N41/(1+Inputs!$B$25)^4+O41/(1+Inputs!$B$25)^5</f>
        <v>1722069621.6667</v>
      </c>
      <c r="AA41" s="9" t="n">
        <f aca="false">U41/(1+Inputs!$B$25)^1+V41/(1+Inputs!$B$25)^2+W41/(1+Inputs!$B$25)^3+X41/(1+Inputs!$B$25)^4+Y41/(1+Inputs!$B$25)^5</f>
        <v>301136724.3183</v>
      </c>
      <c r="AB41" s="5" t="n">
        <f aca="false">(D41-AA41)/Z41-Inputs!$B$20</f>
        <v>0.0649285799675253</v>
      </c>
      <c r="AC41" s="9" t="n">
        <f aca="false">AB41*D41</f>
        <v>29607432.4651915</v>
      </c>
      <c r="AD41" s="5" t="n">
        <f aca="false">(Inputs!$B$31-AC41)*(1-Inputs!$B$12)/G41</f>
        <v>0.333421343945281</v>
      </c>
      <c r="AE41" s="5" t="n">
        <f aca="false">(Inputs!$B$31-AC41)*(1-Inputs!$B$12)/I41</f>
        <v>0.444188837403612</v>
      </c>
      <c r="AF41" s="5" t="n">
        <f aca="false">IF(H41&gt;0,AC41/H41,"")</f>
        <v>0.0924870002488215</v>
      </c>
      <c r="AG41" s="5" t="n">
        <f aca="false">Inputs!$B$9*H41/(1-Inputs!$B$12)/D41</f>
        <v>0.107644485908682</v>
      </c>
    </row>
    <row r="42" customFormat="false" ht="15" hidden="false" customHeight="false" outlineLevel="0" collapsed="false">
      <c r="A42" s="5" t="n">
        <f aca="false">0.03+0.0025*37</f>
        <v>0.1225</v>
      </c>
      <c r="B42" s="4" t="str">
        <f aca="false">IF(A42&lt;Inputs!$B$13,"below KIRB",IF(E42&lt;=0.15,"floor binds",""))</f>
        <v>floor binds</v>
      </c>
      <c r="C42" s="9" t="n">
        <f aca="false">A42*Inputs!$B$5</f>
        <v>490000000</v>
      </c>
      <c r="D42" s="9" t="n">
        <f aca="false">C42*(1-Inputs!$B$18)</f>
        <v>465500000</v>
      </c>
      <c r="E42" s="5" t="n">
        <f aca="false">MAX(0.15,12.5*IF((1)&lt;=(Inputs!$B$13),1,IF((A42)&gt;=(Inputs!$B$13),(EXP((-1/((Inputs!$B$28)*(Inputs!$B$13)))*((1)-(Inputs!$B$13)))-EXP((-1/((Inputs!$B$28)*(Inputs!$B$13)))*MAX((A42)-(Inputs!$B$13),0)))/((-1/((Inputs!$B$28)*(Inputs!$B$13)))*(((1)-(Inputs!$B$13))-MAX((A42)-(Inputs!$B$13),0))),((Inputs!$B$13)-(A42))/((1)-(A42))+(1-((Inputs!$B$13)-(A42))/((1)-(A42)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2" s="5" t="n">
        <f aca="false">MAX(0.1,12.5*IF((1)&lt;=(Inputs!$B$13),1,IF((A42)&gt;=(Inputs!$B$13),(EXP((-1/((Inputs!$B$29)*(Inputs!$B$13)))*((1)-(Inputs!$B$13)))-EXP((-1/((Inputs!$B$29)*(Inputs!$B$13)))*MAX((A42)-(Inputs!$B$13),0)))/((-1/((Inputs!$B$29)*(Inputs!$B$13)))*(((1)-(Inputs!$B$13))-MAX((A42)-(Inputs!$B$13),0))),((Inputs!$B$13)-(A42))/((1)-(A42))+(1-((Inputs!$B$13)-(A42))/((1)-(A42)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2" s="9" t="n">
        <f aca="false">E42*(1-A42)*Inputs!$B$5*Inputs!$B$8+A42*Inputs!$B$5*Inputs!$B$18</f>
        <v>95577500</v>
      </c>
      <c r="H42" s="9" t="n">
        <f aca="false">Inputs!$B$30-G42</f>
        <v>319827840.702342</v>
      </c>
      <c r="I42" s="9" t="n">
        <f aca="false">F42*(1-A42)*Inputs!$B$5*Inputs!$B$8+A42*Inputs!$B$5*Inputs!$B$18</f>
        <v>71885000</v>
      </c>
      <c r="J42" s="9" t="n">
        <f aca="false">Inputs!$B$30-I42</f>
        <v>343520340.702342</v>
      </c>
      <c r="K42" s="9" t="n">
        <f aca="false">D42</f>
        <v>465500000</v>
      </c>
      <c r="L42" s="9" t="n">
        <f aca="false">K42-P42-U42</f>
        <v>458574927.5</v>
      </c>
      <c r="M42" s="9" t="n">
        <f aca="false">L42-Q42-V42</f>
        <v>451649855</v>
      </c>
      <c r="N42" s="9" t="n">
        <f aca="false">M42-R42-W42</f>
        <v>409656485.236</v>
      </c>
      <c r="O42" s="9" t="n">
        <f aca="false">N42-S42-X42</f>
        <v>371491495.56224</v>
      </c>
      <c r="P42" s="9" t="n">
        <f aca="false">MIN(K42,Inputs!$C$35)</f>
        <v>6925072.5</v>
      </c>
      <c r="Q42" s="9" t="n">
        <f aca="false">MIN(L42,Inputs!$C$36)</f>
        <v>6925072.5</v>
      </c>
      <c r="R42" s="9" t="n">
        <f aca="false">MIN(M42,Inputs!$C$37)</f>
        <v>6371066.7</v>
      </c>
      <c r="S42" s="9" t="n">
        <f aca="false">MIN(N42,Inputs!$C$38)</f>
        <v>5861381.364</v>
      </c>
      <c r="T42" s="9" t="n">
        <f aca="false">MIN(O42,Inputs!$C$39)</f>
        <v>5392470.85488</v>
      </c>
      <c r="U42" s="9" t="n">
        <f aca="false">(K42-P42)*(1-Inputs!$B$35/Inputs!$B$34)</f>
        <v>0</v>
      </c>
      <c r="V42" s="9" t="n">
        <f aca="false">(L42-Q42)*(1-Inputs!$B$36/Inputs!$B$35)</f>
        <v>0</v>
      </c>
      <c r="W42" s="9" t="n">
        <f aca="false">(M42-R42)*(1-Inputs!$B$37/Inputs!$B$36)</f>
        <v>35622303.064</v>
      </c>
      <c r="X42" s="9" t="n">
        <f aca="false">(N42-S42)*(1-Inputs!$B$38/Inputs!$B$37)</f>
        <v>32303608.30976</v>
      </c>
      <c r="Y42" s="9" t="n">
        <f aca="false">O42-T42</f>
        <v>366099024.70736</v>
      </c>
      <c r="Z42" s="9" t="n">
        <f aca="false">K42/(1+Inputs!$B$25)^1+L42/(1+Inputs!$B$25)^2+M42/(1+Inputs!$B$25)^3+N42/(1+Inputs!$B$25)^4+O42/(1+Inputs!$B$25)^5</f>
        <v>1758920021.47673</v>
      </c>
      <c r="AA42" s="9" t="n">
        <f aca="false">U42/(1+Inputs!$B$25)^1+V42/(1+Inputs!$B$25)^2+W42/(1+Inputs!$B$25)^3+X42/(1+Inputs!$B$25)^4+Y42/(1+Inputs!$B$25)^5</f>
        <v>307872944.332548</v>
      </c>
      <c r="AB42" s="5" t="n">
        <f aca="false">(D42-AA42)/Z42-Inputs!$B$20</f>
        <v>0.0646158175146098</v>
      </c>
      <c r="AC42" s="9" t="n">
        <f aca="false">AB42*D42</f>
        <v>30078663.0530509</v>
      </c>
      <c r="AD42" s="5" t="n">
        <f aca="false">(Inputs!$B$31-AC42)*(1-Inputs!$B$12)/G42</f>
        <v>0.328685754599271</v>
      </c>
      <c r="AE42" s="5" t="n">
        <f aca="false">(Inputs!$B$31-AC42)*(1-Inputs!$B$12)/I42</f>
        <v>0.437016939698294</v>
      </c>
      <c r="AF42" s="5" t="n">
        <f aca="false">IF(H42&gt;0,AC42/H42,"")</f>
        <v>0.0940464188076877</v>
      </c>
      <c r="AG42" s="5" t="n">
        <f aca="false">Inputs!$B$9*H42/(1-Inputs!$B$12)/D42</f>
        <v>0.105349664678179</v>
      </c>
    </row>
    <row r="43" customFormat="false" ht="15" hidden="false" customHeight="false" outlineLevel="0" collapsed="false">
      <c r="A43" s="5" t="n">
        <f aca="false">0.03+0.0025*38</f>
        <v>0.125</v>
      </c>
      <c r="B43" s="4" t="str">
        <f aca="false">IF(A43&lt;Inputs!$B$13,"below KIRB",IF(E43&lt;=0.15,"floor binds",""))</f>
        <v>floor binds</v>
      </c>
      <c r="C43" s="9" t="n">
        <f aca="false">A43*Inputs!$B$5</f>
        <v>500000000</v>
      </c>
      <c r="D43" s="9" t="n">
        <f aca="false">C43*(1-Inputs!$B$18)</f>
        <v>475000000</v>
      </c>
      <c r="E43" s="5" t="n">
        <f aca="false">MAX(0.15,12.5*IF((1)&lt;=(Inputs!$B$13),1,IF((A43)&gt;=(Inputs!$B$13),(EXP((-1/((Inputs!$B$28)*(Inputs!$B$13)))*((1)-(Inputs!$B$13)))-EXP((-1/((Inputs!$B$28)*(Inputs!$B$13)))*MAX((A43)-(Inputs!$B$13),0)))/((-1/((Inputs!$B$28)*(Inputs!$B$13)))*(((1)-(Inputs!$B$13))-MAX((A43)-(Inputs!$B$13),0))),((Inputs!$B$13)-(A43))/((1)-(A43))+(1-((Inputs!$B$13)-(A43))/((1)-(A43)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3" s="5" t="n">
        <f aca="false">MAX(0.1,12.5*IF((1)&lt;=(Inputs!$B$13),1,IF((A43)&gt;=(Inputs!$B$13),(EXP((-1/((Inputs!$B$29)*(Inputs!$B$13)))*((1)-(Inputs!$B$13)))-EXP((-1/((Inputs!$B$29)*(Inputs!$B$13)))*MAX((A43)-(Inputs!$B$13),0)))/((-1/((Inputs!$B$29)*(Inputs!$B$13)))*(((1)-(Inputs!$B$13))-MAX((A43)-(Inputs!$B$13),0))),((Inputs!$B$13)-(A43))/((1)-(A43))+(1-((Inputs!$B$13)-(A43))/((1)-(A43)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3" s="9" t="n">
        <f aca="false">E43*(1-A43)*Inputs!$B$5*Inputs!$B$8+A43*Inputs!$B$5*Inputs!$B$18</f>
        <v>95875000</v>
      </c>
      <c r="H43" s="9" t="n">
        <f aca="false">Inputs!$B$30-G43</f>
        <v>319530340.702342</v>
      </c>
      <c r="I43" s="9" t="n">
        <f aca="false">F43*(1-A43)*Inputs!$B$5*Inputs!$B$8+A43*Inputs!$B$5*Inputs!$B$18</f>
        <v>72250000</v>
      </c>
      <c r="J43" s="9" t="n">
        <f aca="false">Inputs!$B$30-I43</f>
        <v>343155340.702342</v>
      </c>
      <c r="K43" s="9" t="n">
        <f aca="false">D43</f>
        <v>475000000</v>
      </c>
      <c r="L43" s="9" t="n">
        <f aca="false">K43-P43-U43</f>
        <v>468074927.5</v>
      </c>
      <c r="M43" s="9" t="n">
        <f aca="false">L43-Q43-V43</f>
        <v>461149855</v>
      </c>
      <c r="N43" s="9" t="n">
        <f aca="false">M43-R43-W43</f>
        <v>418396485.236</v>
      </c>
      <c r="O43" s="9" t="n">
        <f aca="false">N43-S43-X43</f>
        <v>379532295.56224</v>
      </c>
      <c r="P43" s="9" t="n">
        <f aca="false">MIN(K43,Inputs!$C$35)</f>
        <v>6925072.5</v>
      </c>
      <c r="Q43" s="9" t="n">
        <f aca="false">MIN(L43,Inputs!$C$36)</f>
        <v>6925072.5</v>
      </c>
      <c r="R43" s="9" t="n">
        <f aca="false">MIN(M43,Inputs!$C$37)</f>
        <v>6371066.7</v>
      </c>
      <c r="S43" s="9" t="n">
        <f aca="false">MIN(N43,Inputs!$C$38)</f>
        <v>5861381.364</v>
      </c>
      <c r="T43" s="9" t="n">
        <f aca="false">MIN(O43,Inputs!$C$39)</f>
        <v>5392470.85488</v>
      </c>
      <c r="U43" s="9" t="n">
        <f aca="false">(K43-P43)*(1-Inputs!$B$35/Inputs!$B$34)</f>
        <v>0</v>
      </c>
      <c r="V43" s="9" t="n">
        <f aca="false">(L43-Q43)*(1-Inputs!$B$36/Inputs!$B$35)</f>
        <v>0</v>
      </c>
      <c r="W43" s="9" t="n">
        <f aca="false">(M43-R43)*(1-Inputs!$B$37/Inputs!$B$36)</f>
        <v>36382303.064</v>
      </c>
      <c r="X43" s="9" t="n">
        <f aca="false">(N43-S43)*(1-Inputs!$B$38/Inputs!$B$37)</f>
        <v>33002808.30976</v>
      </c>
      <c r="Y43" s="9" t="n">
        <f aca="false">O43-T43</f>
        <v>374139824.70736</v>
      </c>
      <c r="Z43" s="9" t="n">
        <f aca="false">K43/(1+Inputs!$B$25)^1+L43/(1+Inputs!$B$25)^2+M43/(1+Inputs!$B$25)^3+N43/(1+Inputs!$B$25)^4+O43/(1+Inputs!$B$25)^5</f>
        <v>1795770421.28676</v>
      </c>
      <c r="AA43" s="9" t="n">
        <f aca="false">U43/(1+Inputs!$B$25)^1+V43/(1+Inputs!$B$25)^2+W43/(1+Inputs!$B$25)^3+X43/(1+Inputs!$B$25)^4+Y43/(1+Inputs!$B$25)^5</f>
        <v>314609164.346796</v>
      </c>
      <c r="AB43" s="5" t="n">
        <f aca="false">(D43-AA43)/Z43-Inputs!$B$20</f>
        <v>0.0643158912475439</v>
      </c>
      <c r="AC43" s="9" t="n">
        <f aca="false">AB43*D43</f>
        <v>30550048.3425834</v>
      </c>
      <c r="AD43" s="5" t="n">
        <f aca="false">(Inputs!$B$31-AC43)*(1-Inputs!$B$12)/G43</f>
        <v>0.323978344125815</v>
      </c>
      <c r="AE43" s="5" t="n">
        <f aca="false">(Inputs!$B$31-AC43)*(1-Inputs!$B$12)/I43</f>
        <v>0.429915899557958</v>
      </c>
      <c r="AF43" s="5" t="n">
        <f aca="false">IF(H43&gt;0,AC43/H43,"")</f>
        <v>0.0956092253256233</v>
      </c>
      <c r="AG43" s="5" t="n">
        <f aca="false">Inputs!$B$9*H43/(1-Inputs!$B$12)/D43</f>
        <v>0.103146636296896</v>
      </c>
    </row>
    <row r="44" customFormat="false" ht="15" hidden="false" customHeight="false" outlineLevel="0" collapsed="false">
      <c r="A44" s="5" t="n">
        <f aca="false">0.03+0.0025*39</f>
        <v>0.1275</v>
      </c>
      <c r="B44" s="4" t="str">
        <f aca="false">IF(A44&lt;Inputs!$B$13,"below KIRB",IF(E44&lt;=0.15,"floor binds",""))</f>
        <v>floor binds</v>
      </c>
      <c r="C44" s="9" t="n">
        <f aca="false">A44*Inputs!$B$5</f>
        <v>510000000</v>
      </c>
      <c r="D44" s="9" t="n">
        <f aca="false">C44*(1-Inputs!$B$18)</f>
        <v>484500000</v>
      </c>
      <c r="E44" s="5" t="n">
        <f aca="false">MAX(0.15,12.5*IF((1)&lt;=(Inputs!$B$13),1,IF((A44)&gt;=(Inputs!$B$13),(EXP((-1/((Inputs!$B$28)*(Inputs!$B$13)))*((1)-(Inputs!$B$13)))-EXP((-1/((Inputs!$B$28)*(Inputs!$B$13)))*MAX((A44)-(Inputs!$B$13),0)))/((-1/((Inputs!$B$28)*(Inputs!$B$13)))*(((1)-(Inputs!$B$13))-MAX((A44)-(Inputs!$B$13),0))),((Inputs!$B$13)-(A44))/((1)-(A44))+(1-((Inputs!$B$13)-(A44))/((1)-(A44)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4" s="5" t="n">
        <f aca="false">MAX(0.1,12.5*IF((1)&lt;=(Inputs!$B$13),1,IF((A44)&gt;=(Inputs!$B$13),(EXP((-1/((Inputs!$B$29)*(Inputs!$B$13)))*((1)-(Inputs!$B$13)))-EXP((-1/((Inputs!$B$29)*(Inputs!$B$13)))*MAX((A44)-(Inputs!$B$13),0)))/((-1/((Inputs!$B$29)*(Inputs!$B$13)))*(((1)-(Inputs!$B$13))-MAX((A44)-(Inputs!$B$13),0))),((Inputs!$B$13)-(A44))/((1)-(A44))+(1-((Inputs!$B$13)-(A44))/((1)-(A44)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4" s="9" t="n">
        <f aca="false">E44*(1-A44)*Inputs!$B$5*Inputs!$B$8+A44*Inputs!$B$5*Inputs!$B$18</f>
        <v>96172500</v>
      </c>
      <c r="H44" s="9" t="n">
        <f aca="false">Inputs!$B$30-G44</f>
        <v>319232840.702342</v>
      </c>
      <c r="I44" s="9" t="n">
        <f aca="false">F44*(1-A44)*Inputs!$B$5*Inputs!$B$8+A44*Inputs!$B$5*Inputs!$B$18</f>
        <v>72615000</v>
      </c>
      <c r="J44" s="9" t="n">
        <f aca="false">Inputs!$B$30-I44</f>
        <v>342790340.702342</v>
      </c>
      <c r="K44" s="9" t="n">
        <f aca="false">D44</f>
        <v>484500000</v>
      </c>
      <c r="L44" s="9" t="n">
        <f aca="false">K44-P44-U44</f>
        <v>477574927.5</v>
      </c>
      <c r="M44" s="9" t="n">
        <f aca="false">L44-Q44-V44</f>
        <v>470649855</v>
      </c>
      <c r="N44" s="9" t="n">
        <f aca="false">M44-R44-W44</f>
        <v>427136485.236</v>
      </c>
      <c r="O44" s="9" t="n">
        <f aca="false">N44-S44-X44</f>
        <v>387573095.56224</v>
      </c>
      <c r="P44" s="9" t="n">
        <f aca="false">MIN(K44,Inputs!$C$35)</f>
        <v>6925072.5</v>
      </c>
      <c r="Q44" s="9" t="n">
        <f aca="false">MIN(L44,Inputs!$C$36)</f>
        <v>6925072.5</v>
      </c>
      <c r="R44" s="9" t="n">
        <f aca="false">MIN(M44,Inputs!$C$37)</f>
        <v>6371066.7</v>
      </c>
      <c r="S44" s="9" t="n">
        <f aca="false">MIN(N44,Inputs!$C$38)</f>
        <v>5861381.364</v>
      </c>
      <c r="T44" s="9" t="n">
        <f aca="false">MIN(O44,Inputs!$C$39)</f>
        <v>5392470.85488</v>
      </c>
      <c r="U44" s="9" t="n">
        <f aca="false">(K44-P44)*(1-Inputs!$B$35/Inputs!$B$34)</f>
        <v>0</v>
      </c>
      <c r="V44" s="9" t="n">
        <f aca="false">(L44-Q44)*(1-Inputs!$B$36/Inputs!$B$35)</f>
        <v>0</v>
      </c>
      <c r="W44" s="9" t="n">
        <f aca="false">(M44-R44)*(1-Inputs!$B$37/Inputs!$B$36)</f>
        <v>37142303.064</v>
      </c>
      <c r="X44" s="9" t="n">
        <f aca="false">(N44-S44)*(1-Inputs!$B$38/Inputs!$B$37)</f>
        <v>33702008.30976</v>
      </c>
      <c r="Y44" s="9" t="n">
        <f aca="false">O44-T44</f>
        <v>382180624.70736</v>
      </c>
      <c r="Z44" s="9" t="n">
        <f aca="false">K44/(1+Inputs!$B$25)^1+L44/(1+Inputs!$B$25)^2+M44/(1+Inputs!$B$25)^3+N44/(1+Inputs!$B$25)^4+O44/(1+Inputs!$B$25)^5</f>
        <v>1832620821.09679</v>
      </c>
      <c r="AA44" s="9" t="n">
        <f aca="false">U44/(1+Inputs!$B$25)^1+V44/(1+Inputs!$B$25)^2+W44/(1+Inputs!$B$25)^3+X44/(1+Inputs!$B$25)^4+Y44/(1+Inputs!$B$25)^5</f>
        <v>321345384.361044</v>
      </c>
      <c r="AB44" s="5" t="n">
        <f aca="false">(D44-AA44)/Z44-Inputs!$B$20</f>
        <v>0.0640280268349847</v>
      </c>
      <c r="AC44" s="9" t="n">
        <f aca="false">AB44*D44</f>
        <v>31021579.0015501</v>
      </c>
      <c r="AD44" s="5" t="n">
        <f aca="false">(Inputs!$B$31-AC44)*(1-Inputs!$B$12)/G44</f>
        <v>0.319298923796693</v>
      </c>
      <c r="AE44" s="5" t="n">
        <f aca="false">(Inputs!$B$31-AC44)*(1-Inputs!$B$12)/I44</f>
        <v>0.42288474487141</v>
      </c>
      <c r="AF44" s="5" t="n">
        <f aca="false">IF(H44&gt;0,AC44/H44,"")</f>
        <v>0.0971754000412355</v>
      </c>
      <c r="AG44" s="5" t="n">
        <f aca="false">Inputs!$B$9*H44/(1-Inputs!$B$12)/D44</f>
        <v>0.101030001185468</v>
      </c>
    </row>
    <row r="45" customFormat="false" ht="15" hidden="false" customHeight="false" outlineLevel="0" collapsed="false">
      <c r="A45" s="5" t="n">
        <f aca="false">0.03+0.0025*40</f>
        <v>0.13</v>
      </c>
      <c r="B45" s="4" t="str">
        <f aca="false">IF(A45&lt;Inputs!$B$13,"below KIRB",IF(E45&lt;=0.15,"floor binds",""))</f>
        <v>floor binds</v>
      </c>
      <c r="C45" s="9" t="n">
        <f aca="false">A45*Inputs!$B$5</f>
        <v>520000000</v>
      </c>
      <c r="D45" s="9" t="n">
        <f aca="false">C45*(1-Inputs!$B$18)</f>
        <v>494000000</v>
      </c>
      <c r="E45" s="5" t="n">
        <f aca="false">MAX(0.15,12.5*IF((1)&lt;=(Inputs!$B$13),1,IF((A45)&gt;=(Inputs!$B$13),(EXP((-1/((Inputs!$B$28)*(Inputs!$B$13)))*((1)-(Inputs!$B$13)))-EXP((-1/((Inputs!$B$28)*(Inputs!$B$13)))*MAX((A45)-(Inputs!$B$13),0)))/((-1/((Inputs!$B$28)*(Inputs!$B$13)))*(((1)-(Inputs!$B$13))-MAX((A45)-(Inputs!$B$13),0))),((Inputs!$B$13)-(A45))/((1)-(A45))+(1-((Inputs!$B$13)-(A45))/((1)-(A45)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5" s="5" t="n">
        <f aca="false">MAX(0.1,12.5*IF((1)&lt;=(Inputs!$B$13),1,IF((A45)&gt;=(Inputs!$B$13),(EXP((-1/((Inputs!$B$29)*(Inputs!$B$13)))*((1)-(Inputs!$B$13)))-EXP((-1/((Inputs!$B$29)*(Inputs!$B$13)))*MAX((A45)-(Inputs!$B$13),0)))/((-1/((Inputs!$B$29)*(Inputs!$B$13)))*(((1)-(Inputs!$B$13))-MAX((A45)-(Inputs!$B$13),0))),((Inputs!$B$13)-(A45))/((1)-(A45))+(1-((Inputs!$B$13)-(A45))/((1)-(A45)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5" s="9" t="n">
        <f aca="false">E45*(1-A45)*Inputs!$B$5*Inputs!$B$8+A45*Inputs!$B$5*Inputs!$B$18</f>
        <v>96470000</v>
      </c>
      <c r="H45" s="9" t="n">
        <f aca="false">Inputs!$B$30-G45</f>
        <v>318935340.702342</v>
      </c>
      <c r="I45" s="9" t="n">
        <f aca="false">F45*(1-A45)*Inputs!$B$5*Inputs!$B$8+A45*Inputs!$B$5*Inputs!$B$18</f>
        <v>72980000</v>
      </c>
      <c r="J45" s="9" t="n">
        <f aca="false">Inputs!$B$30-I45</f>
        <v>342425340.702342</v>
      </c>
      <c r="K45" s="9" t="n">
        <f aca="false">D45</f>
        <v>494000000</v>
      </c>
      <c r="L45" s="9" t="n">
        <f aca="false">K45-P45-U45</f>
        <v>487074927.5</v>
      </c>
      <c r="M45" s="9" t="n">
        <f aca="false">L45-Q45-V45</f>
        <v>480149855</v>
      </c>
      <c r="N45" s="9" t="n">
        <f aca="false">M45-R45-W45</f>
        <v>435876485.236</v>
      </c>
      <c r="O45" s="9" t="n">
        <f aca="false">N45-S45-X45</f>
        <v>395613895.56224</v>
      </c>
      <c r="P45" s="9" t="n">
        <f aca="false">MIN(K45,Inputs!$C$35)</f>
        <v>6925072.5</v>
      </c>
      <c r="Q45" s="9" t="n">
        <f aca="false">MIN(L45,Inputs!$C$36)</f>
        <v>6925072.5</v>
      </c>
      <c r="R45" s="9" t="n">
        <f aca="false">MIN(M45,Inputs!$C$37)</f>
        <v>6371066.7</v>
      </c>
      <c r="S45" s="9" t="n">
        <f aca="false">MIN(N45,Inputs!$C$38)</f>
        <v>5861381.364</v>
      </c>
      <c r="T45" s="9" t="n">
        <f aca="false">MIN(O45,Inputs!$C$39)</f>
        <v>5392470.85488</v>
      </c>
      <c r="U45" s="9" t="n">
        <f aca="false">(K45-P45)*(1-Inputs!$B$35/Inputs!$B$34)</f>
        <v>0</v>
      </c>
      <c r="V45" s="9" t="n">
        <f aca="false">(L45-Q45)*(1-Inputs!$B$36/Inputs!$B$35)</f>
        <v>0</v>
      </c>
      <c r="W45" s="9" t="n">
        <f aca="false">(M45-R45)*(1-Inputs!$B$37/Inputs!$B$36)</f>
        <v>37902303.064</v>
      </c>
      <c r="X45" s="9" t="n">
        <f aca="false">(N45-S45)*(1-Inputs!$B$38/Inputs!$B$37)</f>
        <v>34401208.30976</v>
      </c>
      <c r="Y45" s="9" t="n">
        <f aca="false">O45-T45</f>
        <v>390221424.70736</v>
      </c>
      <c r="Z45" s="9" t="n">
        <f aca="false">K45/(1+Inputs!$B$25)^1+L45/(1+Inputs!$B$25)^2+M45/(1+Inputs!$B$25)^3+N45/(1+Inputs!$B$25)^4+O45/(1+Inputs!$B$25)^5</f>
        <v>1869471220.90682</v>
      </c>
      <c r="AA45" s="9" t="n">
        <f aca="false">U45/(1+Inputs!$B$25)^1+V45/(1+Inputs!$B$25)^2+W45/(1+Inputs!$B$25)^3+X45/(1+Inputs!$B$25)^4+Y45/(1+Inputs!$B$25)^5</f>
        <v>328081604.375291</v>
      </c>
      <c r="AB45" s="5" t="n">
        <f aca="false">(D45-AA45)/Z45-Inputs!$B$20</f>
        <v>0.0637515109990445</v>
      </c>
      <c r="AC45" s="9" t="n">
        <f aca="false">AB45*D45</f>
        <v>31493246.433528</v>
      </c>
      <c r="AD45" s="5" t="n">
        <f aca="false">(Inputs!$B$31-AC45)*(1-Inputs!$B$12)/G45</f>
        <v>0.314647301491179</v>
      </c>
      <c r="AE45" s="5" t="n">
        <f aca="false">(Inputs!$B$31-AC45)*(1-Inputs!$B$12)/I45</f>
        <v>0.415922515413182</v>
      </c>
      <c r="AF45" s="5" t="n">
        <f aca="false">IF(H45&gt;0,AC45/H45,"")</f>
        <v>0.0987449254264997</v>
      </c>
      <c r="AG45" s="5" t="n">
        <f aca="false">Inputs!$B$9*H45/(1-Inputs!$B$12)/D45</f>
        <v>0.0989947751167862</v>
      </c>
    </row>
    <row r="46" customFormat="false" ht="15" hidden="false" customHeight="false" outlineLevel="0" collapsed="false">
      <c r="A46" s="5" t="n">
        <f aca="false">0.03+0.0025*41</f>
        <v>0.1325</v>
      </c>
      <c r="B46" s="4" t="str">
        <f aca="false">IF(A46&lt;Inputs!$B$13,"below KIRB",IF(E46&lt;=0.15,"floor binds",""))</f>
        <v>floor binds</v>
      </c>
      <c r="C46" s="9" t="n">
        <f aca="false">A46*Inputs!$B$5</f>
        <v>530000000</v>
      </c>
      <c r="D46" s="9" t="n">
        <f aca="false">C46*(1-Inputs!$B$18)</f>
        <v>503500000</v>
      </c>
      <c r="E46" s="5" t="n">
        <f aca="false">MAX(0.15,12.5*IF((1)&lt;=(Inputs!$B$13),1,IF((A46)&gt;=(Inputs!$B$13),(EXP((-1/((Inputs!$B$28)*(Inputs!$B$13)))*((1)-(Inputs!$B$13)))-EXP((-1/((Inputs!$B$28)*(Inputs!$B$13)))*MAX((A46)-(Inputs!$B$13),0)))/((-1/((Inputs!$B$28)*(Inputs!$B$13)))*(((1)-(Inputs!$B$13))-MAX((A46)-(Inputs!$B$13),0))),((Inputs!$B$13)-(A46))/((1)-(A46))+(1-((Inputs!$B$13)-(A46))/((1)-(A46)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6" s="5" t="n">
        <f aca="false">MAX(0.1,12.5*IF((1)&lt;=(Inputs!$B$13),1,IF((A46)&gt;=(Inputs!$B$13),(EXP((-1/((Inputs!$B$29)*(Inputs!$B$13)))*((1)-(Inputs!$B$13)))-EXP((-1/((Inputs!$B$29)*(Inputs!$B$13)))*MAX((A46)-(Inputs!$B$13),0)))/((-1/((Inputs!$B$29)*(Inputs!$B$13)))*(((1)-(Inputs!$B$13))-MAX((A46)-(Inputs!$B$13),0))),((Inputs!$B$13)-(A46))/((1)-(A46))+(1-((Inputs!$B$13)-(A46))/((1)-(A46)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6" s="9" t="n">
        <f aca="false">E46*(1-A46)*Inputs!$B$5*Inputs!$B$8+A46*Inputs!$B$5*Inputs!$B$18</f>
        <v>96767500</v>
      </c>
      <c r="H46" s="9" t="n">
        <f aca="false">Inputs!$B$30-G46</f>
        <v>318637840.702342</v>
      </c>
      <c r="I46" s="9" t="n">
        <f aca="false">F46*(1-A46)*Inputs!$B$5*Inputs!$B$8+A46*Inputs!$B$5*Inputs!$B$18</f>
        <v>73345000</v>
      </c>
      <c r="J46" s="9" t="n">
        <f aca="false">Inputs!$B$30-I46</f>
        <v>342060340.702342</v>
      </c>
      <c r="K46" s="9" t="n">
        <f aca="false">D46</f>
        <v>503500000</v>
      </c>
      <c r="L46" s="9" t="n">
        <f aca="false">K46-P46-U46</f>
        <v>496574927.5</v>
      </c>
      <c r="M46" s="9" t="n">
        <f aca="false">L46-Q46-V46</f>
        <v>489649855</v>
      </c>
      <c r="N46" s="9" t="n">
        <f aca="false">M46-R46-W46</f>
        <v>444616485.236</v>
      </c>
      <c r="O46" s="9" t="n">
        <f aca="false">N46-S46-X46</f>
        <v>403654695.56224</v>
      </c>
      <c r="P46" s="9" t="n">
        <f aca="false">MIN(K46,Inputs!$C$35)</f>
        <v>6925072.5</v>
      </c>
      <c r="Q46" s="9" t="n">
        <f aca="false">MIN(L46,Inputs!$C$36)</f>
        <v>6925072.5</v>
      </c>
      <c r="R46" s="9" t="n">
        <f aca="false">MIN(M46,Inputs!$C$37)</f>
        <v>6371066.7</v>
      </c>
      <c r="S46" s="9" t="n">
        <f aca="false">MIN(N46,Inputs!$C$38)</f>
        <v>5861381.364</v>
      </c>
      <c r="T46" s="9" t="n">
        <f aca="false">MIN(O46,Inputs!$C$39)</f>
        <v>5392470.85488</v>
      </c>
      <c r="U46" s="9" t="n">
        <f aca="false">(K46-P46)*(1-Inputs!$B$35/Inputs!$B$34)</f>
        <v>0</v>
      </c>
      <c r="V46" s="9" t="n">
        <f aca="false">(L46-Q46)*(1-Inputs!$B$36/Inputs!$B$35)</f>
        <v>0</v>
      </c>
      <c r="W46" s="9" t="n">
        <f aca="false">(M46-R46)*(1-Inputs!$B$37/Inputs!$B$36)</f>
        <v>38662303.064</v>
      </c>
      <c r="X46" s="9" t="n">
        <f aca="false">(N46-S46)*(1-Inputs!$B$38/Inputs!$B$37)</f>
        <v>35100408.30976</v>
      </c>
      <c r="Y46" s="9" t="n">
        <f aca="false">O46-T46</f>
        <v>398262224.70736</v>
      </c>
      <c r="Z46" s="9" t="n">
        <f aca="false">K46/(1+Inputs!$B$25)^1+L46/(1+Inputs!$B$25)^2+M46/(1+Inputs!$B$25)^3+N46/(1+Inputs!$B$25)^4+O46/(1+Inputs!$B$25)^5</f>
        <v>1906321620.71685</v>
      </c>
      <c r="AA46" s="9" t="n">
        <f aca="false">U46/(1+Inputs!$B$25)^1+V46/(1+Inputs!$B$25)^2+W46/(1+Inputs!$B$25)^3+X46/(1+Inputs!$B$25)^4+Y46/(1+Inputs!$B$25)^5</f>
        <v>334817824.389539</v>
      </c>
      <c r="AB46" s="5" t="n">
        <f aca="false">(D46-AA46)/Z46-Inputs!$B$20</f>
        <v>0.0634856856142828</v>
      </c>
      <c r="AC46" s="9" t="n">
        <f aca="false">AB46*D46</f>
        <v>31965042.7067914</v>
      </c>
      <c r="AD46" s="5" t="n">
        <f aca="false">(Inputs!$B$31-AC46)*(1-Inputs!$B$12)/G46</f>
        <v>0.310023282299393</v>
      </c>
      <c r="AE46" s="5" t="n">
        <f aca="false">(Inputs!$B$31-AC46)*(1-Inputs!$B$12)/I46</f>
        <v>0.409028263275022</v>
      </c>
      <c r="AF46" s="5" t="n">
        <f aca="false">IF(H46&gt;0,AC46/H46,"")</f>
        <v>0.100317785973989</v>
      </c>
      <c r="AG46" s="5" t="n">
        <f aca="false">Inputs!$B$9*H46/(1-Inputs!$B$12)/D46</f>
        <v>0.0970363500318286</v>
      </c>
    </row>
    <row r="47" customFormat="false" ht="15" hidden="false" customHeight="false" outlineLevel="0" collapsed="false">
      <c r="A47" s="5" t="n">
        <f aca="false">0.03+0.0025*42</f>
        <v>0.135</v>
      </c>
      <c r="B47" s="4" t="str">
        <f aca="false">IF(A47&lt;Inputs!$B$13,"below KIRB",IF(E47&lt;=0.15,"floor binds",""))</f>
        <v>floor binds</v>
      </c>
      <c r="C47" s="9" t="n">
        <f aca="false">A47*Inputs!$B$5</f>
        <v>540000000</v>
      </c>
      <c r="D47" s="9" t="n">
        <f aca="false">C47*(1-Inputs!$B$18)</f>
        <v>513000000</v>
      </c>
      <c r="E47" s="5" t="n">
        <f aca="false">MAX(0.15,12.5*IF((1)&lt;=(Inputs!$B$13),1,IF((A47)&gt;=(Inputs!$B$13),(EXP((-1/((Inputs!$B$28)*(Inputs!$B$13)))*((1)-(Inputs!$B$13)))-EXP((-1/((Inputs!$B$28)*(Inputs!$B$13)))*MAX((A47)-(Inputs!$B$13),0)))/((-1/((Inputs!$B$28)*(Inputs!$B$13)))*(((1)-(Inputs!$B$13))-MAX((A47)-(Inputs!$B$13),0))),((Inputs!$B$13)-(A47))/((1)-(A47))+(1-((Inputs!$B$13)-(A47))/((1)-(A47)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7" s="5" t="n">
        <f aca="false">MAX(0.1,12.5*IF((1)&lt;=(Inputs!$B$13),1,IF((A47)&gt;=(Inputs!$B$13),(EXP((-1/((Inputs!$B$29)*(Inputs!$B$13)))*((1)-(Inputs!$B$13)))-EXP((-1/((Inputs!$B$29)*(Inputs!$B$13)))*MAX((A47)-(Inputs!$B$13),0)))/((-1/((Inputs!$B$29)*(Inputs!$B$13)))*(((1)-(Inputs!$B$13))-MAX((A47)-(Inputs!$B$13),0))),((Inputs!$B$13)-(A47))/((1)-(A47))+(1-((Inputs!$B$13)-(A47))/((1)-(A47)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7" s="9" t="n">
        <f aca="false">E47*(1-A47)*Inputs!$B$5*Inputs!$B$8+A47*Inputs!$B$5*Inputs!$B$18</f>
        <v>97065000</v>
      </c>
      <c r="H47" s="9" t="n">
        <f aca="false">Inputs!$B$30-G47</f>
        <v>318340340.702342</v>
      </c>
      <c r="I47" s="9" t="n">
        <f aca="false">F47*(1-A47)*Inputs!$B$5*Inputs!$B$8+A47*Inputs!$B$5*Inputs!$B$18</f>
        <v>73710000</v>
      </c>
      <c r="J47" s="9" t="n">
        <f aca="false">Inputs!$B$30-I47</f>
        <v>341695340.702342</v>
      </c>
      <c r="K47" s="9" t="n">
        <f aca="false">D47</f>
        <v>513000000</v>
      </c>
      <c r="L47" s="9" t="n">
        <f aca="false">K47-P47-U47</f>
        <v>506074927.5</v>
      </c>
      <c r="M47" s="9" t="n">
        <f aca="false">L47-Q47-V47</f>
        <v>499149855</v>
      </c>
      <c r="N47" s="9" t="n">
        <f aca="false">M47-R47-W47</f>
        <v>453356485.236</v>
      </c>
      <c r="O47" s="9" t="n">
        <f aca="false">N47-S47-X47</f>
        <v>411695495.56224</v>
      </c>
      <c r="P47" s="9" t="n">
        <f aca="false">MIN(K47,Inputs!$C$35)</f>
        <v>6925072.5</v>
      </c>
      <c r="Q47" s="9" t="n">
        <f aca="false">MIN(L47,Inputs!$C$36)</f>
        <v>6925072.5</v>
      </c>
      <c r="R47" s="9" t="n">
        <f aca="false">MIN(M47,Inputs!$C$37)</f>
        <v>6371066.7</v>
      </c>
      <c r="S47" s="9" t="n">
        <f aca="false">MIN(N47,Inputs!$C$38)</f>
        <v>5861381.364</v>
      </c>
      <c r="T47" s="9" t="n">
        <f aca="false">MIN(O47,Inputs!$C$39)</f>
        <v>5392470.85488</v>
      </c>
      <c r="U47" s="9" t="n">
        <f aca="false">(K47-P47)*(1-Inputs!$B$35/Inputs!$B$34)</f>
        <v>0</v>
      </c>
      <c r="V47" s="9" t="n">
        <f aca="false">(L47-Q47)*(1-Inputs!$B$36/Inputs!$B$35)</f>
        <v>0</v>
      </c>
      <c r="W47" s="9" t="n">
        <f aca="false">(M47-R47)*(1-Inputs!$B$37/Inputs!$B$36)</f>
        <v>39422303.064</v>
      </c>
      <c r="X47" s="9" t="n">
        <f aca="false">(N47-S47)*(1-Inputs!$B$38/Inputs!$B$37)</f>
        <v>35799608.30976</v>
      </c>
      <c r="Y47" s="9" t="n">
        <f aca="false">O47-T47</f>
        <v>406303024.70736</v>
      </c>
      <c r="Z47" s="9" t="n">
        <f aca="false">K47/(1+Inputs!$B$25)^1+L47/(1+Inputs!$B$25)^2+M47/(1+Inputs!$B$25)^3+N47/(1+Inputs!$B$25)^4+O47/(1+Inputs!$B$25)^5</f>
        <v>1943172020.52688</v>
      </c>
      <c r="AA47" s="9" t="n">
        <f aca="false">U47/(1+Inputs!$B$25)^1+V47/(1+Inputs!$B$25)^2+W47/(1+Inputs!$B$25)^3+X47/(1+Inputs!$B$25)^4+Y47/(1+Inputs!$B$25)^5</f>
        <v>341554044.403787</v>
      </c>
      <c r="AB47" s="5" t="n">
        <f aca="false">(D47-AA47)/Z47-Inputs!$B$20</f>
        <v>0.0632299424781378</v>
      </c>
      <c r="AC47" s="9" t="n">
        <f aca="false">AB47*D47</f>
        <v>32436960.4912847</v>
      </c>
      <c r="AD47" s="5" t="n">
        <f aca="false">(Inputs!$B$31-AC47)*(1-Inputs!$B$12)/G47</f>
        <v>0.305426669052042</v>
      </c>
      <c r="AE47" s="5" t="n">
        <f aca="false">(Inputs!$B$31-AC47)*(1-Inputs!$B$12)/I47</f>
        <v>0.402201053202232</v>
      </c>
      <c r="AF47" s="5" t="n">
        <f aca="false">IF(H47&gt;0,AC47/H47,"")</f>
        <v>0.101893968008328</v>
      </c>
      <c r="AG47" s="5" t="n">
        <f aca="false">Inputs!$B$9*H47/(1-Inputs!$B$12)/D47</f>
        <v>0.0951504592092769</v>
      </c>
    </row>
    <row r="48" customFormat="false" ht="15" hidden="false" customHeight="false" outlineLevel="0" collapsed="false">
      <c r="A48" s="5" t="n">
        <f aca="false">0.03+0.0025*43</f>
        <v>0.1375</v>
      </c>
      <c r="B48" s="4" t="str">
        <f aca="false">IF(A48&lt;Inputs!$B$13,"below KIRB",IF(E48&lt;=0.15,"floor binds",""))</f>
        <v>floor binds</v>
      </c>
      <c r="C48" s="9" t="n">
        <f aca="false">A48*Inputs!$B$5</f>
        <v>550000000</v>
      </c>
      <c r="D48" s="9" t="n">
        <f aca="false">C48*(1-Inputs!$B$18)</f>
        <v>522500000</v>
      </c>
      <c r="E48" s="5" t="n">
        <f aca="false">MAX(0.15,12.5*IF((1)&lt;=(Inputs!$B$13),1,IF((A48)&gt;=(Inputs!$B$13),(EXP((-1/((Inputs!$B$28)*(Inputs!$B$13)))*((1)-(Inputs!$B$13)))-EXP((-1/((Inputs!$B$28)*(Inputs!$B$13)))*MAX((A48)-(Inputs!$B$13),0)))/((-1/((Inputs!$B$28)*(Inputs!$B$13)))*(((1)-(Inputs!$B$13))-MAX((A48)-(Inputs!$B$13),0))),((Inputs!$B$13)-(A48))/((1)-(A48))+(1-((Inputs!$B$13)-(A48))/((1)-(A48)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8" s="5" t="n">
        <f aca="false">MAX(0.1,12.5*IF((1)&lt;=(Inputs!$B$13),1,IF((A48)&gt;=(Inputs!$B$13),(EXP((-1/((Inputs!$B$29)*(Inputs!$B$13)))*((1)-(Inputs!$B$13)))-EXP((-1/((Inputs!$B$29)*(Inputs!$B$13)))*MAX((A48)-(Inputs!$B$13),0)))/((-1/((Inputs!$B$29)*(Inputs!$B$13)))*(((1)-(Inputs!$B$13))-MAX((A48)-(Inputs!$B$13),0))),((Inputs!$B$13)-(A48))/((1)-(A48))+(1-((Inputs!$B$13)-(A48))/((1)-(A48)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8" s="9" t="n">
        <f aca="false">E48*(1-A48)*Inputs!$B$5*Inputs!$B$8+A48*Inputs!$B$5*Inputs!$B$18</f>
        <v>97362500</v>
      </c>
      <c r="H48" s="9" t="n">
        <f aca="false">Inputs!$B$30-G48</f>
        <v>318042840.702342</v>
      </c>
      <c r="I48" s="9" t="n">
        <f aca="false">F48*(1-A48)*Inputs!$B$5*Inputs!$B$8+A48*Inputs!$B$5*Inputs!$B$18</f>
        <v>74075000</v>
      </c>
      <c r="J48" s="9" t="n">
        <f aca="false">Inputs!$B$30-I48</f>
        <v>341330340.702342</v>
      </c>
      <c r="K48" s="9" t="n">
        <f aca="false">D48</f>
        <v>522500000</v>
      </c>
      <c r="L48" s="9" t="n">
        <f aca="false">K48-P48-U48</f>
        <v>515574927.5</v>
      </c>
      <c r="M48" s="9" t="n">
        <f aca="false">L48-Q48-V48</f>
        <v>508649855</v>
      </c>
      <c r="N48" s="9" t="n">
        <f aca="false">M48-R48-W48</f>
        <v>462096485.236</v>
      </c>
      <c r="O48" s="9" t="n">
        <f aca="false">N48-S48-X48</f>
        <v>419736295.56224</v>
      </c>
      <c r="P48" s="9" t="n">
        <f aca="false">MIN(K48,Inputs!$C$35)</f>
        <v>6925072.5</v>
      </c>
      <c r="Q48" s="9" t="n">
        <f aca="false">MIN(L48,Inputs!$C$36)</f>
        <v>6925072.5</v>
      </c>
      <c r="R48" s="9" t="n">
        <f aca="false">MIN(M48,Inputs!$C$37)</f>
        <v>6371066.7</v>
      </c>
      <c r="S48" s="9" t="n">
        <f aca="false">MIN(N48,Inputs!$C$38)</f>
        <v>5861381.364</v>
      </c>
      <c r="T48" s="9" t="n">
        <f aca="false">MIN(O48,Inputs!$C$39)</f>
        <v>5392470.85488</v>
      </c>
      <c r="U48" s="9" t="n">
        <f aca="false">(K48-P48)*(1-Inputs!$B$35/Inputs!$B$34)</f>
        <v>0</v>
      </c>
      <c r="V48" s="9" t="n">
        <f aca="false">(L48-Q48)*(1-Inputs!$B$36/Inputs!$B$35)</f>
        <v>0</v>
      </c>
      <c r="W48" s="9" t="n">
        <f aca="false">(M48-R48)*(1-Inputs!$B$37/Inputs!$B$36)</f>
        <v>40182303.064</v>
      </c>
      <c r="X48" s="9" t="n">
        <f aca="false">(N48-S48)*(1-Inputs!$B$38/Inputs!$B$37)</f>
        <v>36498808.30976</v>
      </c>
      <c r="Y48" s="9" t="n">
        <f aca="false">O48-T48</f>
        <v>414343824.70736</v>
      </c>
      <c r="Z48" s="9" t="n">
        <f aca="false">K48/(1+Inputs!$B$25)^1+L48/(1+Inputs!$B$25)^2+M48/(1+Inputs!$B$25)^3+N48/(1+Inputs!$B$25)^4+O48/(1+Inputs!$B$25)^5</f>
        <v>1980022420.33691</v>
      </c>
      <c r="AA48" s="9" t="n">
        <f aca="false">U48/(1+Inputs!$B$25)^1+V48/(1+Inputs!$B$25)^2+W48/(1+Inputs!$B$25)^3+X48/(1+Inputs!$B$25)^4+Y48/(1+Inputs!$B$25)^5</f>
        <v>348290264.418035</v>
      </c>
      <c r="AB48" s="5" t="n">
        <f aca="false">(D48-AA48)/Z48-Inputs!$B$20</f>
        <v>0.0629837186653286</v>
      </c>
      <c r="AC48" s="9" t="n">
        <f aca="false">AB48*D48</f>
        <v>32908993.0026342</v>
      </c>
      <c r="AD48" s="5" t="n">
        <f aca="false">(Inputs!$B$31-AC48)*(1-Inputs!$B$12)/G48</f>
        <v>0.300857262786231</v>
      </c>
      <c r="AE48" s="5" t="n">
        <f aca="false">(Inputs!$B$31-AC48)*(1-Inputs!$B$12)/I48</f>
        <v>0.395439962848793</v>
      </c>
      <c r="AF48" s="5" t="n">
        <f aca="false">IF(H48&gt;0,AC48/H48,"")</f>
        <v>0.103473459518725</v>
      </c>
      <c r="AG48" s="5" t="n">
        <f aca="false">Inputs!$B$9*H48/(1-Inputs!$B$12)/D48</f>
        <v>0.093333146234818</v>
      </c>
    </row>
    <row r="49" customFormat="false" ht="15" hidden="false" customHeight="false" outlineLevel="0" collapsed="false">
      <c r="A49" s="5" t="n">
        <f aca="false">0.03+0.0025*44</f>
        <v>0.14</v>
      </c>
      <c r="B49" s="4" t="str">
        <f aca="false">IF(A49&lt;Inputs!$B$13,"below KIRB",IF(E49&lt;=0.15,"floor binds",""))</f>
        <v>floor binds</v>
      </c>
      <c r="C49" s="9" t="n">
        <f aca="false">A49*Inputs!$B$5</f>
        <v>560000000</v>
      </c>
      <c r="D49" s="9" t="n">
        <f aca="false">C49*(1-Inputs!$B$18)</f>
        <v>532000000</v>
      </c>
      <c r="E49" s="5" t="n">
        <f aca="false">MAX(0.15,12.5*IF((1)&lt;=(Inputs!$B$13),1,IF((A49)&gt;=(Inputs!$B$13),(EXP((-1/((Inputs!$B$28)*(Inputs!$B$13)))*((1)-(Inputs!$B$13)))-EXP((-1/((Inputs!$B$28)*(Inputs!$B$13)))*MAX((A49)-(Inputs!$B$13),0)))/((-1/((Inputs!$B$28)*(Inputs!$B$13)))*(((1)-(Inputs!$B$13))-MAX((A49)-(Inputs!$B$13),0))),((Inputs!$B$13)-(A49))/((1)-(A49))+(1-((Inputs!$B$13)-(A49))/((1)-(A49)))*(EXP((-1/((Inputs!$B$28)*(Inputs!$B$13)))*((1)-(Inputs!$B$13)))-EXP((-1/((Inputs!$B$28)*(Inputs!$B$13)))*MAX((Inputs!$B$13)-(Inputs!$B$13),0)))/((-1/((Inputs!$B$28)*(Inputs!$B$13)))*(((1)-(Inputs!$B$13))-MAX((Inputs!$B$13)-(Inputs!$B$13),0))))))</f>
        <v>0.15</v>
      </c>
      <c r="F49" s="5" t="n">
        <f aca="false">MAX(0.1,12.5*IF((1)&lt;=(Inputs!$B$13),1,IF((A49)&gt;=(Inputs!$B$13),(EXP((-1/((Inputs!$B$29)*(Inputs!$B$13)))*((1)-(Inputs!$B$13)))-EXP((-1/((Inputs!$B$29)*(Inputs!$B$13)))*MAX((A49)-(Inputs!$B$13),0)))/((-1/((Inputs!$B$29)*(Inputs!$B$13)))*(((1)-(Inputs!$B$13))-MAX((A49)-(Inputs!$B$13),0))),((Inputs!$B$13)-(A49))/((1)-(A49))+(1-((Inputs!$B$13)-(A49))/((1)-(A49)))*(EXP((-1/((Inputs!$B$29)*(Inputs!$B$13)))*((1)-(Inputs!$B$13)))-EXP((-1/((Inputs!$B$29)*(Inputs!$B$13)))*MAX((Inputs!$B$13)-(Inputs!$B$13),0)))/((-1/((Inputs!$B$29)*(Inputs!$B$13)))*(((1)-(Inputs!$B$13))-MAX((Inputs!$B$13)-(Inputs!$B$13),0))))))</f>
        <v>0.1</v>
      </c>
      <c r="G49" s="9" t="n">
        <f aca="false">E49*(1-A49)*Inputs!$B$5*Inputs!$B$8+A49*Inputs!$B$5*Inputs!$B$18</f>
        <v>97660000</v>
      </c>
      <c r="H49" s="9" t="n">
        <f aca="false">Inputs!$B$30-G49</f>
        <v>317745340.702342</v>
      </c>
      <c r="I49" s="9" t="n">
        <f aca="false">F49*(1-A49)*Inputs!$B$5*Inputs!$B$8+A49*Inputs!$B$5*Inputs!$B$18</f>
        <v>74440000</v>
      </c>
      <c r="J49" s="9" t="n">
        <f aca="false">Inputs!$B$30-I49</f>
        <v>340965340.702342</v>
      </c>
      <c r="K49" s="9" t="n">
        <f aca="false">D49</f>
        <v>532000000</v>
      </c>
      <c r="L49" s="9" t="n">
        <f aca="false">K49-P49-U49</f>
        <v>525074927.5</v>
      </c>
      <c r="M49" s="9" t="n">
        <f aca="false">L49-Q49-V49</f>
        <v>518149855</v>
      </c>
      <c r="N49" s="9" t="n">
        <f aca="false">M49-R49-W49</f>
        <v>470836485.236</v>
      </c>
      <c r="O49" s="9" t="n">
        <f aca="false">N49-S49-X49</f>
        <v>427777095.56224</v>
      </c>
      <c r="P49" s="9" t="n">
        <f aca="false">MIN(K49,Inputs!$C$35)</f>
        <v>6925072.5</v>
      </c>
      <c r="Q49" s="9" t="n">
        <f aca="false">MIN(L49,Inputs!$C$36)</f>
        <v>6925072.5</v>
      </c>
      <c r="R49" s="9" t="n">
        <f aca="false">MIN(M49,Inputs!$C$37)</f>
        <v>6371066.7</v>
      </c>
      <c r="S49" s="9" t="n">
        <f aca="false">MIN(N49,Inputs!$C$38)</f>
        <v>5861381.364</v>
      </c>
      <c r="T49" s="9" t="n">
        <f aca="false">MIN(O49,Inputs!$C$39)</f>
        <v>5392470.85488</v>
      </c>
      <c r="U49" s="9" t="n">
        <f aca="false">(K49-P49)*(1-Inputs!$B$35/Inputs!$B$34)</f>
        <v>0</v>
      </c>
      <c r="V49" s="9" t="n">
        <f aca="false">(L49-Q49)*(1-Inputs!$B$36/Inputs!$B$35)</f>
        <v>0</v>
      </c>
      <c r="W49" s="9" t="n">
        <f aca="false">(M49-R49)*(1-Inputs!$B$37/Inputs!$B$36)</f>
        <v>40942303.064</v>
      </c>
      <c r="X49" s="9" t="n">
        <f aca="false">(N49-S49)*(1-Inputs!$B$38/Inputs!$B$37)</f>
        <v>37198008.30976</v>
      </c>
      <c r="Y49" s="9" t="n">
        <f aca="false">O49-T49</f>
        <v>422384624.70736</v>
      </c>
      <c r="Z49" s="9" t="n">
        <f aca="false">K49/(1+Inputs!$B$25)^1+L49/(1+Inputs!$B$25)^2+M49/(1+Inputs!$B$25)^3+N49/(1+Inputs!$B$25)^4+O49/(1+Inputs!$B$25)^5</f>
        <v>2016872820.14694</v>
      </c>
      <c r="AA49" s="9" t="n">
        <f aca="false">U49/(1+Inputs!$B$25)^1+V49/(1+Inputs!$B$25)^2+W49/(1+Inputs!$B$25)^3+X49/(1+Inputs!$B$25)^4+Y49/(1+Inputs!$B$25)^5</f>
        <v>355026484.432282</v>
      </c>
      <c r="AB49" s="5" t="n">
        <f aca="false">(D49-AA49)/Z49-Inputs!$B$20</f>
        <v>0.0627464923915354</v>
      </c>
      <c r="AC49" s="9" t="n">
        <f aca="false">AB49*D49</f>
        <v>33381133.9522968</v>
      </c>
      <c r="AD49" s="5" t="n">
        <f aca="false">(Inputs!$B$31-AC49)*(1-Inputs!$B$12)/G49</f>
        <v>0.296314863155615</v>
      </c>
      <c r="AE49" s="5" t="n">
        <f aca="false">(Inputs!$B$31-AC49)*(1-Inputs!$B$12)/I49</f>
        <v>0.388744082963157</v>
      </c>
      <c r="AF49" s="5" t="n">
        <f aca="false">IF(H49&gt;0,AC49/H49,"")</f>
        <v>0.105056250009871</v>
      </c>
      <c r="AG49" s="5" t="n">
        <f aca="false">Inputs!$B$9*H49/(1-Inputs!$B$12)/D49</f>
        <v>0.0915807372951611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4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125</v>
      </c>
    </row>
    <row r="4" customFormat="false" ht="15" hidden="false" customHeight="false" outlineLevel="0" collapsed="false">
      <c r="A4" s="3" t="s">
        <v>126</v>
      </c>
      <c r="B4" s="3" t="s">
        <v>127</v>
      </c>
      <c r="C4" s="3" t="s">
        <v>128</v>
      </c>
      <c r="D4" s="3" t="s">
        <v>129</v>
      </c>
      <c r="E4" s="3" t="s">
        <v>130</v>
      </c>
    </row>
    <row r="5" customFormat="false" ht="15" hidden="false" customHeight="false" outlineLevel="0" collapsed="false">
      <c r="A5" s="4" t="n">
        <v>1</v>
      </c>
      <c r="B5" s="18" t="n">
        <f aca="false">Inputs!B25</f>
        <v>0.075</v>
      </c>
      <c r="C5" s="18" t="n">
        <f aca="false">0.3</f>
        <v>0.3</v>
      </c>
      <c r="D5" s="18" t="n">
        <f aca="false">(B5+C5)/2</f>
        <v>0.1875</v>
      </c>
      <c r="E5" s="18" t="n">
        <f aca="false">(Inputs!$B$48-SUMPRODUCT(Inputs!$D$42:$D$46,1/(1+D5)^Inputs!$A$42:$A$46))/SUMPRODUCT(Inputs!$B$42:$B$46,1/(1+D5)^Inputs!$A$42:$A$46)-Inputs!$B$20</f>
        <v>0.188598974405889</v>
      </c>
    </row>
    <row r="6" customFormat="false" ht="15" hidden="false" customHeight="false" outlineLevel="0" collapsed="false">
      <c r="A6" s="4" t="n">
        <v>2</v>
      </c>
      <c r="B6" s="18" t="n">
        <f aca="false">IF(E5&lt;Range!$B$6,D5,B5)</f>
        <v>0.075</v>
      </c>
      <c r="C6" s="18" t="n">
        <f aca="false">IF(E5&lt;Range!$B$6,C5,D5)</f>
        <v>0.1875</v>
      </c>
      <c r="D6" s="18" t="n">
        <f aca="false">(B6+C6)/2</f>
        <v>0.13125</v>
      </c>
      <c r="E6" s="18" t="n">
        <f aca="false">(Inputs!$B$48-SUMPRODUCT(Inputs!$D$42:$D$46,1/(1+D6)^Inputs!$A$42:$A$46))/SUMPRODUCT(Inputs!$B$42:$B$46,1/(1+D6)^Inputs!$A$42:$A$46)-Inputs!$B$20</f>
        <v>0.132348081203037</v>
      </c>
    </row>
    <row r="7" customFormat="false" ht="15" hidden="false" customHeight="false" outlineLevel="0" collapsed="false">
      <c r="A7" s="4" t="n">
        <v>3</v>
      </c>
      <c r="B7" s="18" t="n">
        <f aca="false">IF(E6&lt;Range!$B$6,D6,B6)</f>
        <v>0.075</v>
      </c>
      <c r="C7" s="18" t="n">
        <f aca="false">IF(E6&lt;Range!$B$6,C6,D6)</f>
        <v>0.13125</v>
      </c>
      <c r="D7" s="18" t="n">
        <f aca="false">(B7+C7)/2</f>
        <v>0.103125</v>
      </c>
      <c r="E7" s="18" t="n">
        <f aca="false">(Inputs!$B$48-SUMPRODUCT(Inputs!$D$42:$D$46,1/(1+D7)^Inputs!$A$42:$A$46))/SUMPRODUCT(Inputs!$B$42:$B$46,1/(1+D7)^Inputs!$A$42:$A$46)-Inputs!$B$20</f>
        <v>0.104222893010573</v>
      </c>
    </row>
    <row r="8" customFormat="false" ht="15" hidden="false" customHeight="false" outlineLevel="0" collapsed="false">
      <c r="A8" s="4" t="n">
        <v>4</v>
      </c>
      <c r="B8" s="18" t="n">
        <f aca="false">IF(E7&lt;Range!$B$6,D7,B7)</f>
        <v>0.103125</v>
      </c>
      <c r="C8" s="18" t="n">
        <f aca="false">IF(E7&lt;Range!$B$6,C7,D7)</f>
        <v>0.13125</v>
      </c>
      <c r="D8" s="18" t="n">
        <f aca="false">(B8+C8)/2</f>
        <v>0.1171875</v>
      </c>
      <c r="E8" s="18" t="n">
        <f aca="false">(Inputs!$B$48-SUMPRODUCT(Inputs!$D$42:$D$46,1/(1+D8)^Inputs!$A$42:$A$46))/SUMPRODUCT(Inputs!$B$42:$B$46,1/(1+D8)^Inputs!$A$42:$A$46)-Inputs!$B$20</f>
        <v>0.11828546275967</v>
      </c>
    </row>
    <row r="9" customFormat="false" ht="15" hidden="false" customHeight="false" outlineLevel="0" collapsed="false">
      <c r="A9" s="4" t="n">
        <v>5</v>
      </c>
      <c r="B9" s="18" t="n">
        <f aca="false">IF(E8&lt;Range!$B$6,D8,B8)</f>
        <v>0.1171875</v>
      </c>
      <c r="C9" s="18" t="n">
        <f aca="false">IF(E8&lt;Range!$B$6,C8,D8)</f>
        <v>0.13125</v>
      </c>
      <c r="D9" s="18" t="n">
        <f aca="false">(B9+C9)/2</f>
        <v>0.12421875</v>
      </c>
      <c r="E9" s="18" t="n">
        <f aca="false">(Inputs!$B$48-SUMPRODUCT(Inputs!$D$42:$D$46,1/(1+D9)^Inputs!$A$42:$A$46))/SUMPRODUCT(Inputs!$B$42:$B$46,1/(1+D9)^Inputs!$A$42:$A$46)-Inputs!$B$20</f>
        <v>0.125316766117434</v>
      </c>
    </row>
    <row r="10" customFormat="false" ht="15" hidden="false" customHeight="false" outlineLevel="0" collapsed="false">
      <c r="A10" s="4" t="n">
        <v>6</v>
      </c>
      <c r="B10" s="18" t="n">
        <f aca="false">IF(E9&lt;Range!$B$6,D9,B9)</f>
        <v>0.12421875</v>
      </c>
      <c r="C10" s="18" t="n">
        <f aca="false">IF(E9&lt;Range!$B$6,C9,D9)</f>
        <v>0.13125</v>
      </c>
      <c r="D10" s="18" t="n">
        <f aca="false">(B10+C10)/2</f>
        <v>0.127734375</v>
      </c>
      <c r="E10" s="18" t="n">
        <f aca="false">(Inputs!$B$48-SUMPRODUCT(Inputs!$D$42:$D$46,1/(1+D10)^Inputs!$A$42:$A$46))/SUMPRODUCT(Inputs!$B$42:$B$46,1/(1+D10)^Inputs!$A$42:$A$46)-Inputs!$B$20</f>
        <v>0.128832422221521</v>
      </c>
    </row>
    <row r="11" customFormat="false" ht="15" hidden="false" customHeight="false" outlineLevel="0" collapsed="false">
      <c r="A11" s="4" t="n">
        <v>7</v>
      </c>
      <c r="B11" s="18" t="n">
        <f aca="false">IF(E10&lt;Range!$B$6,D10,B10)</f>
        <v>0.127734375</v>
      </c>
      <c r="C11" s="18" t="n">
        <f aca="false">IF(E10&lt;Range!$B$6,C10,D10)</f>
        <v>0.13125</v>
      </c>
      <c r="D11" s="18" t="n">
        <f aca="false">(B11+C11)/2</f>
        <v>0.1294921875</v>
      </c>
      <c r="E11" s="18" t="n">
        <f aca="false">(Inputs!$B$48-SUMPRODUCT(Inputs!$D$42:$D$46,1/(1+D11)^Inputs!$A$42:$A$46))/SUMPRODUCT(Inputs!$B$42:$B$46,1/(1+D11)^Inputs!$A$42:$A$46)-Inputs!$B$20</f>
        <v>0.130590251355972</v>
      </c>
    </row>
    <row r="12" customFormat="false" ht="15" hidden="false" customHeight="false" outlineLevel="0" collapsed="false">
      <c r="A12" s="4" t="n">
        <v>8</v>
      </c>
      <c r="B12" s="18" t="n">
        <f aca="false">IF(E11&lt;Range!$B$6,D11,B11)</f>
        <v>0.127734375</v>
      </c>
      <c r="C12" s="18" t="n">
        <f aca="false">IF(E11&lt;Range!$B$6,C11,D11)</f>
        <v>0.1294921875</v>
      </c>
      <c r="D12" s="18" t="n">
        <f aca="false">(B12+C12)/2</f>
        <v>0.12861328125</v>
      </c>
      <c r="E12" s="18" t="n">
        <f aca="false">(Inputs!$B$48-SUMPRODUCT(Inputs!$D$42:$D$46,1/(1+D12)^Inputs!$A$42:$A$46))/SUMPRODUCT(Inputs!$B$42:$B$46,1/(1+D12)^Inputs!$A$42:$A$46)-Inputs!$B$20</f>
        <v>0.12971133669925</v>
      </c>
    </row>
    <row r="13" customFormat="false" ht="15" hidden="false" customHeight="false" outlineLevel="0" collapsed="false">
      <c r="A13" s="4" t="n">
        <v>9</v>
      </c>
      <c r="B13" s="18" t="n">
        <f aca="false">IF(E12&lt;Range!$B$6,D12,B12)</f>
        <v>0.127734375</v>
      </c>
      <c r="C13" s="18" t="n">
        <f aca="false">IF(E12&lt;Range!$B$6,C12,D12)</f>
        <v>0.12861328125</v>
      </c>
      <c r="D13" s="18" t="n">
        <f aca="false">(B13+C13)/2</f>
        <v>0.128173828125</v>
      </c>
      <c r="E13" s="18" t="n">
        <f aca="false">(Inputs!$B$48-SUMPRODUCT(Inputs!$D$42:$D$46,1/(1+D13)^Inputs!$A$42:$A$46))/SUMPRODUCT(Inputs!$B$42:$B$46,1/(1+D13)^Inputs!$A$42:$A$46)-Inputs!$B$20</f>
        <v>0.129271879437959</v>
      </c>
    </row>
    <row r="14" customFormat="false" ht="15" hidden="false" customHeight="false" outlineLevel="0" collapsed="false">
      <c r="A14" s="4" t="n">
        <v>10</v>
      </c>
      <c r="B14" s="18" t="n">
        <f aca="false">IF(E13&lt;Range!$B$6,D13,B13)</f>
        <v>0.127734375</v>
      </c>
      <c r="C14" s="18" t="n">
        <f aca="false">IF(E13&lt;Range!$B$6,C13,D13)</f>
        <v>0.128173828125</v>
      </c>
      <c r="D14" s="18" t="n">
        <f aca="false">(B14+C14)/2</f>
        <v>0.1279541015625</v>
      </c>
      <c r="E14" s="18" t="n">
        <f aca="false">(Inputs!$B$48-SUMPRODUCT(Inputs!$D$42:$D$46,1/(1+D14)^Inputs!$A$42:$A$46))/SUMPRODUCT(Inputs!$B$42:$B$46,1/(1+D14)^Inputs!$A$42:$A$46)-Inputs!$B$20</f>
        <v>0.129052150824127</v>
      </c>
    </row>
    <row r="15" customFormat="false" ht="15" hidden="false" customHeight="false" outlineLevel="0" collapsed="false">
      <c r="A15" s="4" t="n">
        <v>11</v>
      </c>
      <c r="B15" s="18" t="n">
        <f aca="false">IF(E14&lt;Range!$B$6,D14,B14)</f>
        <v>0.1279541015625</v>
      </c>
      <c r="C15" s="18" t="n">
        <f aca="false">IF(E14&lt;Range!$B$6,C14,D14)</f>
        <v>0.128173828125</v>
      </c>
      <c r="D15" s="18" t="n">
        <f aca="false">(B15+C15)/2</f>
        <v>0.12806396484375</v>
      </c>
      <c r="E15" s="18" t="n">
        <f aca="false">(Inputs!$B$48-SUMPRODUCT(Inputs!$D$42:$D$46,1/(1+D15)^Inputs!$A$42:$A$46))/SUMPRODUCT(Inputs!$B$42:$B$46,1/(1+D15)^Inputs!$A$42:$A$46)-Inputs!$B$20</f>
        <v>0.12916201512964</v>
      </c>
    </row>
    <row r="16" customFormat="false" ht="15" hidden="false" customHeight="false" outlineLevel="0" collapsed="false">
      <c r="A16" s="4" t="n">
        <v>12</v>
      </c>
      <c r="B16" s="18" t="n">
        <f aca="false">IF(E15&lt;Range!$B$6,D15,B15)</f>
        <v>0.1279541015625</v>
      </c>
      <c r="C16" s="18" t="n">
        <f aca="false">IF(E15&lt;Range!$B$6,C15,D15)</f>
        <v>0.12806396484375</v>
      </c>
      <c r="D16" s="18" t="n">
        <f aca="false">(B16+C16)/2</f>
        <v>0.128009033203125</v>
      </c>
      <c r="E16" s="18" t="n">
        <f aca="false">(Inputs!$B$48-SUMPRODUCT(Inputs!$D$42:$D$46,1/(1+D16)^Inputs!$A$42:$A$46))/SUMPRODUCT(Inputs!$B$42:$B$46,1/(1+D16)^Inputs!$A$42:$A$46)-Inputs!$B$20</f>
        <v>0.129107082976533</v>
      </c>
    </row>
    <row r="17" customFormat="false" ht="15" hidden="false" customHeight="false" outlineLevel="0" collapsed="false">
      <c r="A17" s="4" t="n">
        <v>13</v>
      </c>
      <c r="B17" s="18" t="n">
        <f aca="false">IF(E16&lt;Range!$B$6,D16,B16)</f>
        <v>0.1279541015625</v>
      </c>
      <c r="C17" s="18" t="n">
        <f aca="false">IF(E16&lt;Range!$B$6,C16,D16)</f>
        <v>0.128009033203125</v>
      </c>
      <c r="D17" s="18" t="n">
        <f aca="false">(B17+C17)/2</f>
        <v>0.127981567382813</v>
      </c>
      <c r="E17" s="18" t="n">
        <f aca="false">(Inputs!$B$48-SUMPRODUCT(Inputs!$D$42:$D$46,1/(1+D17)^Inputs!$A$42:$A$46))/SUMPRODUCT(Inputs!$B$42:$B$46,1/(1+D17)^Inputs!$A$42:$A$46)-Inputs!$B$20</f>
        <v>0.129079616900242</v>
      </c>
    </row>
    <row r="18" customFormat="false" ht="15" hidden="false" customHeight="false" outlineLevel="0" collapsed="false">
      <c r="A18" s="4" t="n">
        <v>14</v>
      </c>
      <c r="B18" s="18" t="n">
        <f aca="false">IF(E17&lt;Range!$B$6,D17,B17)</f>
        <v>0.127981567382813</v>
      </c>
      <c r="C18" s="18" t="n">
        <f aca="false">IF(E17&lt;Range!$B$6,C17,D17)</f>
        <v>0.128009033203125</v>
      </c>
      <c r="D18" s="18" t="n">
        <f aca="false">(B18+C18)/2</f>
        <v>0.127995300292969</v>
      </c>
      <c r="E18" s="18" t="n">
        <f aca="false">(Inputs!$B$48-SUMPRODUCT(Inputs!$D$42:$D$46,1/(1+D18)^Inputs!$A$42:$A$46))/SUMPRODUCT(Inputs!$B$42:$B$46,1/(1+D18)^Inputs!$A$42:$A$46)-Inputs!$B$20</f>
        <v>0.129093349938366</v>
      </c>
    </row>
    <row r="19" customFormat="false" ht="15" hidden="false" customHeight="false" outlineLevel="0" collapsed="false">
      <c r="A19" s="4" t="n">
        <v>15</v>
      </c>
      <c r="B19" s="18" t="n">
        <f aca="false">IF(E18&lt;Range!$B$6,D18,B18)</f>
        <v>0.127995300292969</v>
      </c>
      <c r="C19" s="18" t="n">
        <f aca="false">IF(E18&lt;Range!$B$6,C18,D18)</f>
        <v>0.128009033203125</v>
      </c>
      <c r="D19" s="18" t="n">
        <f aca="false">(B19+C19)/2</f>
        <v>0.128002166748047</v>
      </c>
      <c r="E19" s="18" t="n">
        <f aca="false">(Inputs!$B$48-SUMPRODUCT(Inputs!$D$42:$D$46,1/(1+D19)^Inputs!$A$42:$A$46))/SUMPRODUCT(Inputs!$B$42:$B$46,1/(1+D19)^Inputs!$A$42:$A$46)-Inputs!$B$20</f>
        <v>0.129100216457444</v>
      </c>
    </row>
    <row r="20" customFormat="false" ht="15" hidden="false" customHeight="false" outlineLevel="0" collapsed="false">
      <c r="A20" s="4" t="n">
        <v>16</v>
      </c>
      <c r="B20" s="18" t="n">
        <f aca="false">IF(E19&lt;Range!$B$6,D19,B19)</f>
        <v>0.127995300292969</v>
      </c>
      <c r="C20" s="18" t="n">
        <f aca="false">IF(E19&lt;Range!$B$6,C19,D19)</f>
        <v>0.128002166748047</v>
      </c>
      <c r="D20" s="18" t="n">
        <f aca="false">(B20+C20)/2</f>
        <v>0.127998733520508</v>
      </c>
      <c r="E20" s="18" t="n">
        <f aca="false">(Inputs!$B$48-SUMPRODUCT(Inputs!$D$42:$D$46,1/(1+D20)^Inputs!$A$42:$A$46))/SUMPRODUCT(Inputs!$B$42:$B$46,1/(1+D20)^Inputs!$A$42:$A$46)-Inputs!$B$20</f>
        <v>0.129096783197903</v>
      </c>
    </row>
    <row r="21" customFormat="false" ht="15" hidden="false" customHeight="false" outlineLevel="0" collapsed="false">
      <c r="A21" s="4" t="n">
        <v>17</v>
      </c>
      <c r="B21" s="18" t="n">
        <f aca="false">IF(E20&lt;Range!$B$6,D20,B20)</f>
        <v>0.127995300292969</v>
      </c>
      <c r="C21" s="18" t="n">
        <f aca="false">IF(E20&lt;Range!$B$6,C20,D20)</f>
        <v>0.127998733520508</v>
      </c>
      <c r="D21" s="18" t="n">
        <f aca="false">(B21+C21)/2</f>
        <v>0.127997016906738</v>
      </c>
      <c r="E21" s="18" t="n">
        <f aca="false">(Inputs!$B$48-SUMPRODUCT(Inputs!$D$42:$D$46,1/(1+D21)^Inputs!$A$42:$A$46))/SUMPRODUCT(Inputs!$B$42:$B$46,1/(1+D21)^Inputs!$A$42:$A$46)-Inputs!$B$20</f>
        <v>0.129095066568134</v>
      </c>
    </row>
    <row r="22" customFormat="false" ht="15" hidden="false" customHeight="false" outlineLevel="0" collapsed="false">
      <c r="A22" s="4" t="n">
        <v>18</v>
      </c>
      <c r="B22" s="18" t="n">
        <f aca="false">IF(E21&lt;Range!$B$6,D21,B21)</f>
        <v>0.127995300292969</v>
      </c>
      <c r="C22" s="18" t="n">
        <f aca="false">IF(E21&lt;Range!$B$6,C21,D21)</f>
        <v>0.127997016906738</v>
      </c>
      <c r="D22" s="18" t="n">
        <f aca="false">(B22+C22)/2</f>
        <v>0.127996158599854</v>
      </c>
      <c r="E22" s="18" t="n">
        <f aca="false">(Inputs!$B$48-SUMPRODUCT(Inputs!$D$42:$D$46,1/(1+D22)^Inputs!$A$42:$A$46))/SUMPRODUCT(Inputs!$B$42:$B$46,1/(1+D22)^Inputs!$A$42:$A$46)-Inputs!$B$20</f>
        <v>0.12909420825325</v>
      </c>
    </row>
    <row r="23" customFormat="false" ht="15" hidden="false" customHeight="false" outlineLevel="0" collapsed="false">
      <c r="A23" s="4" t="n">
        <v>19</v>
      </c>
      <c r="B23" s="18" t="n">
        <f aca="false">IF(E22&lt;Range!$B$6,D22,B22)</f>
        <v>0.127995300292969</v>
      </c>
      <c r="C23" s="18" t="n">
        <f aca="false">IF(E22&lt;Range!$B$6,C22,D22)</f>
        <v>0.127996158599854</v>
      </c>
      <c r="D23" s="18" t="n">
        <f aca="false">(B23+C23)/2</f>
        <v>0.127995729446411</v>
      </c>
      <c r="E23" s="18" t="n">
        <f aca="false">(Inputs!$B$48-SUMPRODUCT(Inputs!$D$42:$D$46,1/(1+D23)^Inputs!$A$42:$A$46))/SUMPRODUCT(Inputs!$B$42:$B$46,1/(1+D23)^Inputs!$A$42:$A$46)-Inputs!$B$20</f>
        <v>0.129093779095808</v>
      </c>
    </row>
    <row r="24" customFormat="false" ht="15" hidden="false" customHeight="false" outlineLevel="0" collapsed="false">
      <c r="A24" s="4" t="n">
        <v>20</v>
      </c>
      <c r="B24" s="18" t="n">
        <f aca="false">IF(E23&lt;Range!$B$6,D23,B23)</f>
        <v>0.127995300292969</v>
      </c>
      <c r="C24" s="18" t="n">
        <f aca="false">IF(E23&lt;Range!$B$6,C23,D23)</f>
        <v>0.127995729446411</v>
      </c>
      <c r="D24" s="18" t="n">
        <f aca="false">(B24+C24)/2</f>
        <v>0.12799551486969</v>
      </c>
      <c r="E24" s="18" t="n">
        <f aca="false">(Inputs!$B$48-SUMPRODUCT(Inputs!$D$42:$D$46,1/(1+D24)^Inputs!$A$42:$A$46))/SUMPRODUCT(Inputs!$B$42:$B$46,1/(1+D24)^Inputs!$A$42:$A$46)-Inputs!$B$20</f>
        <v>0.129093564517087</v>
      </c>
    </row>
    <row r="25" customFormat="false" ht="15" hidden="false" customHeight="false" outlineLevel="0" collapsed="false">
      <c r="A25" s="4" t="n">
        <v>21</v>
      </c>
      <c r="B25" s="18" t="n">
        <f aca="false">IF(E24&lt;Range!$B$6,D24,B24)</f>
        <v>0.127995300292969</v>
      </c>
      <c r="C25" s="18" t="n">
        <f aca="false">IF(E24&lt;Range!$B$6,C24,D24)</f>
        <v>0.12799551486969</v>
      </c>
      <c r="D25" s="18" t="n">
        <f aca="false">(B25+C25)/2</f>
        <v>0.127995407581329</v>
      </c>
      <c r="E25" s="18" t="n">
        <f aca="false">(Inputs!$B$48-SUMPRODUCT(Inputs!$D$42:$D$46,1/(1+D25)^Inputs!$A$42:$A$46))/SUMPRODUCT(Inputs!$B$42:$B$46,1/(1+D25)^Inputs!$A$42:$A$46)-Inputs!$B$20</f>
        <v>0.129093457227726</v>
      </c>
    </row>
    <row r="26" customFormat="false" ht="15" hidden="false" customHeight="false" outlineLevel="0" collapsed="false">
      <c r="A26" s="4" t="n">
        <v>22</v>
      </c>
      <c r="B26" s="18" t="n">
        <f aca="false">IF(E25&lt;Range!$B$6,D25,B25)</f>
        <v>0.127995300292969</v>
      </c>
      <c r="C26" s="18" t="n">
        <f aca="false">IF(E25&lt;Range!$B$6,C25,D25)</f>
        <v>0.127995407581329</v>
      </c>
      <c r="D26" s="18" t="n">
        <f aca="false">(B26+C26)/2</f>
        <v>0.127995353937149</v>
      </c>
      <c r="E26" s="18" t="n">
        <f aca="false">(Inputs!$B$48-SUMPRODUCT(Inputs!$D$42:$D$46,1/(1+D26)^Inputs!$A$42:$A$46))/SUMPRODUCT(Inputs!$B$42:$B$46,1/(1+D26)^Inputs!$A$42:$A$46)-Inputs!$B$20</f>
        <v>0.129093403583046</v>
      </c>
    </row>
    <row r="27" customFormat="false" ht="15" hidden="false" customHeight="false" outlineLevel="0" collapsed="false">
      <c r="A27" s="4" t="n">
        <v>23</v>
      </c>
      <c r="B27" s="18" t="n">
        <f aca="false">IF(E26&lt;Range!$B$6,D26,B26)</f>
        <v>0.127995300292969</v>
      </c>
      <c r="C27" s="18" t="n">
        <f aca="false">IF(E26&lt;Range!$B$6,C26,D26)</f>
        <v>0.127995353937149</v>
      </c>
      <c r="D27" s="18" t="n">
        <f aca="false">(B27+C27)/2</f>
        <v>0.127995327115059</v>
      </c>
      <c r="E27" s="18" t="n">
        <f aca="false">(Inputs!$B$48-SUMPRODUCT(Inputs!$D$42:$D$46,1/(1+D27)^Inputs!$A$42:$A$46))/SUMPRODUCT(Inputs!$B$42:$B$46,1/(1+D27)^Inputs!$A$42:$A$46)-Inputs!$B$20</f>
        <v>0.129093376760706</v>
      </c>
    </row>
    <row r="28" customFormat="false" ht="15" hidden="false" customHeight="false" outlineLevel="0" collapsed="false">
      <c r="A28" s="4" t="n">
        <v>24</v>
      </c>
      <c r="B28" s="18" t="n">
        <f aca="false">IF(E27&lt;Range!$B$6,D27,B27)</f>
        <v>0.127995327115059</v>
      </c>
      <c r="C28" s="18" t="n">
        <f aca="false">IF(E27&lt;Range!$B$6,C27,D27)</f>
        <v>0.127995353937149</v>
      </c>
      <c r="D28" s="18" t="n">
        <f aca="false">(B28+C28)/2</f>
        <v>0.127995340526104</v>
      </c>
      <c r="E28" s="18" t="n">
        <f aca="false">(Inputs!$B$48-SUMPRODUCT(Inputs!$D$42:$D$46,1/(1+D28)^Inputs!$A$42:$A$46))/SUMPRODUCT(Inputs!$B$42:$B$46,1/(1+D28)^Inputs!$A$42:$A$46)-Inputs!$B$20</f>
        <v>0.129093390171876</v>
      </c>
    </row>
    <row r="29" customFormat="false" ht="15" hidden="false" customHeight="false" outlineLevel="0" collapsed="false">
      <c r="A29" s="4" t="n">
        <v>25</v>
      </c>
      <c r="B29" s="18" t="n">
        <f aca="false">IF(E28&lt;Range!$B$6,D28,B28)</f>
        <v>0.127995340526104</v>
      </c>
      <c r="C29" s="18" t="n">
        <f aca="false">IF(E28&lt;Range!$B$6,C28,D28)</f>
        <v>0.127995353937149</v>
      </c>
      <c r="D29" s="18" t="n">
        <f aca="false">(B29+C29)/2</f>
        <v>0.127995347231627</v>
      </c>
      <c r="E29" s="18" t="n">
        <f aca="false">(Inputs!$B$48-SUMPRODUCT(Inputs!$D$42:$D$46,1/(1+D29)^Inputs!$A$42:$A$46))/SUMPRODUCT(Inputs!$B$42:$B$46,1/(1+D29)^Inputs!$A$42:$A$46)-Inputs!$B$20</f>
        <v>0.129093396877461</v>
      </c>
    </row>
    <row r="30" customFormat="false" ht="15" hidden="false" customHeight="false" outlineLevel="0" collapsed="false">
      <c r="A30" s="4" t="n">
        <v>26</v>
      </c>
      <c r="B30" s="18" t="n">
        <f aca="false">IF(E29&lt;Range!$B$6,D29,B29)</f>
        <v>0.127995347231627</v>
      </c>
      <c r="C30" s="18" t="n">
        <f aca="false">IF(E29&lt;Range!$B$6,C29,D29)</f>
        <v>0.127995353937149</v>
      </c>
      <c r="D30" s="18" t="n">
        <f aca="false">(B30+C30)/2</f>
        <v>0.127995350584388</v>
      </c>
      <c r="E30" s="18" t="n">
        <f aca="false">(Inputs!$B$48-SUMPRODUCT(Inputs!$D$42:$D$46,1/(1+D30)^Inputs!$A$42:$A$46))/SUMPRODUCT(Inputs!$B$42:$B$46,1/(1+D30)^Inputs!$A$42:$A$46)-Inputs!$B$20</f>
        <v>0.129093400230253</v>
      </c>
    </row>
    <row r="31" customFormat="false" ht="15" hidden="false" customHeight="false" outlineLevel="0" collapsed="false">
      <c r="A31" s="4" t="n">
        <v>27</v>
      </c>
      <c r="B31" s="18" t="n">
        <f aca="false">IF(E30&lt;Range!$B$6,D30,B30)</f>
        <v>0.127995350584388</v>
      </c>
      <c r="C31" s="18" t="n">
        <f aca="false">IF(E30&lt;Range!$B$6,C30,D30)</f>
        <v>0.127995353937149</v>
      </c>
      <c r="D31" s="18" t="n">
        <f aca="false">(B31+C31)/2</f>
        <v>0.127995352260768</v>
      </c>
      <c r="E31" s="18" t="n">
        <f aca="false">(Inputs!$B$48-SUMPRODUCT(Inputs!$D$42:$D$46,1/(1+D31)^Inputs!$A$42:$A$46))/SUMPRODUCT(Inputs!$B$42:$B$46,1/(1+D31)^Inputs!$A$42:$A$46)-Inputs!$B$20</f>
        <v>0.12909340190665</v>
      </c>
    </row>
    <row r="32" customFormat="false" ht="15" hidden="false" customHeight="false" outlineLevel="0" collapsed="false">
      <c r="A32" s="4" t="n">
        <v>28</v>
      </c>
      <c r="B32" s="18" t="n">
        <f aca="false">IF(E31&lt;Range!$B$6,D31,B31)</f>
        <v>0.127995352260768</v>
      </c>
      <c r="C32" s="18" t="n">
        <f aca="false">IF(E31&lt;Range!$B$6,C31,D31)</f>
        <v>0.127995353937149</v>
      </c>
      <c r="D32" s="18" t="n">
        <f aca="false">(B32+C32)/2</f>
        <v>0.127995353098959</v>
      </c>
      <c r="E32" s="18" t="n">
        <f aca="false">(Inputs!$B$48-SUMPRODUCT(Inputs!$D$42:$D$46,1/(1+D32)^Inputs!$A$42:$A$46))/SUMPRODUCT(Inputs!$B$42:$B$46,1/(1+D32)^Inputs!$A$42:$A$46)-Inputs!$B$20</f>
        <v>0.129093402744848</v>
      </c>
    </row>
    <row r="33" customFormat="false" ht="15" hidden="false" customHeight="false" outlineLevel="0" collapsed="false">
      <c r="A33" s="4" t="n">
        <v>29</v>
      </c>
      <c r="B33" s="18" t="n">
        <f aca="false">IF(E32&lt;Range!$B$6,D32,B32)</f>
        <v>0.127995353098959</v>
      </c>
      <c r="C33" s="18" t="n">
        <f aca="false">IF(E32&lt;Range!$B$6,C32,D32)</f>
        <v>0.127995353937149</v>
      </c>
      <c r="D33" s="18" t="n">
        <f aca="false">(B33+C33)/2</f>
        <v>0.127995353518054</v>
      </c>
      <c r="E33" s="18" t="n">
        <f aca="false">(Inputs!$B$48-SUMPRODUCT(Inputs!$D$42:$D$46,1/(1+D33)^Inputs!$A$42:$A$46))/SUMPRODUCT(Inputs!$B$42:$B$46,1/(1+D33)^Inputs!$A$42:$A$46)-Inputs!$B$20</f>
        <v>0.129093403163947</v>
      </c>
    </row>
    <row r="34" customFormat="false" ht="15" hidden="false" customHeight="false" outlineLevel="0" collapsed="false">
      <c r="A34" s="4" t="n">
        <v>30</v>
      </c>
      <c r="B34" s="18" t="n">
        <f aca="false">IF(E33&lt;Range!$B$6,D33,B33)</f>
        <v>0.127995353098959</v>
      </c>
      <c r="C34" s="18" t="n">
        <f aca="false">IF(E33&lt;Range!$B$6,C33,D33)</f>
        <v>0.127995353518054</v>
      </c>
      <c r="D34" s="18" t="n">
        <f aca="false">(B34+C34)/2</f>
        <v>0.127995353308506</v>
      </c>
      <c r="E34" s="18" t="n">
        <f aca="false">(Inputs!$B$48-SUMPRODUCT(Inputs!$D$42:$D$46,1/(1+D34)^Inputs!$A$42:$A$46))/SUMPRODUCT(Inputs!$B$42:$B$46,1/(1+D34)^Inputs!$A$42:$A$46)-Inputs!$B$20</f>
        <v>0.129093402954397</v>
      </c>
    </row>
    <row r="35" customFormat="false" ht="15" hidden="false" customHeight="false" outlineLevel="0" collapsed="false">
      <c r="A35" s="4" t="n">
        <v>31</v>
      </c>
      <c r="B35" s="18" t="n">
        <f aca="false">IF(E34&lt;Range!$B$6,D34,B34)</f>
        <v>0.127995353098959</v>
      </c>
      <c r="C35" s="18" t="n">
        <f aca="false">IF(E34&lt;Range!$B$6,C34,D34)</f>
        <v>0.127995353308506</v>
      </c>
      <c r="D35" s="18" t="n">
        <f aca="false">(B35+C35)/2</f>
        <v>0.127995353203733</v>
      </c>
      <c r="E35" s="18" t="n">
        <f aca="false">(Inputs!$B$48-SUMPRODUCT(Inputs!$D$42:$D$46,1/(1+D35)^Inputs!$A$42:$A$46))/SUMPRODUCT(Inputs!$B$42:$B$46,1/(1+D35)^Inputs!$A$42:$A$46)-Inputs!$B$20</f>
        <v>0.129093402849623</v>
      </c>
    </row>
    <row r="36" customFormat="false" ht="15" hidden="false" customHeight="false" outlineLevel="0" collapsed="false">
      <c r="A36" s="4" t="n">
        <v>32</v>
      </c>
      <c r="B36" s="18" t="n">
        <f aca="false">IF(E35&lt;Range!$B$6,D35,B35)</f>
        <v>0.127995353203733</v>
      </c>
      <c r="C36" s="18" t="n">
        <f aca="false">IF(E35&lt;Range!$B$6,C35,D35)</f>
        <v>0.127995353308506</v>
      </c>
      <c r="D36" s="18" t="n">
        <f aca="false">(B36+C36)/2</f>
        <v>0.127995353256119</v>
      </c>
      <c r="E36" s="18" t="n">
        <f aca="false">(Inputs!$B$48-SUMPRODUCT(Inputs!$D$42:$D$46,1/(1+D36)^Inputs!$A$42:$A$46))/SUMPRODUCT(Inputs!$B$42:$B$46,1/(1+D36)^Inputs!$A$42:$A$46)-Inputs!$B$20</f>
        <v>0.12909340290201</v>
      </c>
    </row>
    <row r="37" customFormat="false" ht="15" hidden="false" customHeight="false" outlineLevel="0" collapsed="false">
      <c r="A37" s="4" t="n">
        <v>33</v>
      </c>
      <c r="B37" s="18" t="n">
        <f aca="false">IF(E36&lt;Range!$B$6,D36,B36)</f>
        <v>0.127995353256119</v>
      </c>
      <c r="C37" s="18" t="n">
        <f aca="false">IF(E36&lt;Range!$B$6,C36,D36)</f>
        <v>0.127995353308506</v>
      </c>
      <c r="D37" s="18" t="n">
        <f aca="false">(B37+C37)/2</f>
        <v>0.127995353282313</v>
      </c>
      <c r="E37" s="18" t="n">
        <f aca="false">(Inputs!$B$48-SUMPRODUCT(Inputs!$D$42:$D$46,1/(1+D37)^Inputs!$A$42:$A$46))/SUMPRODUCT(Inputs!$B$42:$B$46,1/(1+D37)^Inputs!$A$42:$A$46)-Inputs!$B$20</f>
        <v>0.129093402928203</v>
      </c>
    </row>
    <row r="38" customFormat="false" ht="15" hidden="false" customHeight="false" outlineLevel="0" collapsed="false">
      <c r="A38" s="4" t="n">
        <v>34</v>
      </c>
      <c r="B38" s="18" t="n">
        <f aca="false">IF(E37&lt;Range!$B$6,D37,B37)</f>
        <v>0.127995353282313</v>
      </c>
      <c r="C38" s="18" t="n">
        <f aca="false">IF(E37&lt;Range!$B$6,C37,D37)</f>
        <v>0.127995353308506</v>
      </c>
      <c r="D38" s="18" t="n">
        <f aca="false">(B38+C38)/2</f>
        <v>0.12799535329541</v>
      </c>
      <c r="E38" s="18" t="n">
        <f aca="false">(Inputs!$B$48-SUMPRODUCT(Inputs!$D$42:$D$46,1/(1+D38)^Inputs!$A$42:$A$46))/SUMPRODUCT(Inputs!$B$42:$B$46,1/(1+D38)^Inputs!$A$42:$A$46)-Inputs!$B$20</f>
        <v>0.1290934029413</v>
      </c>
    </row>
    <row r="39" customFormat="false" ht="15" hidden="false" customHeight="false" outlineLevel="0" collapsed="false">
      <c r="A39" s="4" t="n">
        <v>35</v>
      </c>
      <c r="B39" s="18" t="n">
        <f aca="false">IF(E38&lt;Range!$B$6,D38,B38)</f>
        <v>0.12799535329541</v>
      </c>
      <c r="C39" s="18" t="n">
        <f aca="false">IF(E38&lt;Range!$B$6,C38,D38)</f>
        <v>0.127995353308506</v>
      </c>
      <c r="D39" s="18" t="n">
        <f aca="false">(B39+C39)/2</f>
        <v>0.127995353301958</v>
      </c>
      <c r="E39" s="18" t="n">
        <f aca="false">(Inputs!$B$48-SUMPRODUCT(Inputs!$D$42:$D$46,1/(1+D39)^Inputs!$A$42:$A$46))/SUMPRODUCT(Inputs!$B$42:$B$46,1/(1+D39)^Inputs!$A$42:$A$46)-Inputs!$B$20</f>
        <v>0.129093402947849</v>
      </c>
    </row>
    <row r="40" customFormat="false" ht="15" hidden="false" customHeight="false" outlineLevel="0" collapsed="false">
      <c r="A40" s="4" t="n">
        <v>36</v>
      </c>
      <c r="B40" s="18" t="n">
        <f aca="false">IF(E39&lt;Range!$B$6,D39,B39)</f>
        <v>0.127995353301958</v>
      </c>
      <c r="C40" s="18" t="n">
        <f aca="false">IF(E39&lt;Range!$B$6,C39,D39)</f>
        <v>0.127995353308506</v>
      </c>
      <c r="D40" s="18" t="n">
        <f aca="false">(B40+C40)/2</f>
        <v>0.127995353305232</v>
      </c>
      <c r="E40" s="18" t="n">
        <f aca="false">(Inputs!$B$48-SUMPRODUCT(Inputs!$D$42:$D$46,1/(1+D40)^Inputs!$A$42:$A$46))/SUMPRODUCT(Inputs!$B$42:$B$46,1/(1+D40)^Inputs!$A$42:$A$46)-Inputs!$B$20</f>
        <v>0.129093402951123</v>
      </c>
    </row>
    <row r="41" customFormat="false" ht="15" hidden="false" customHeight="false" outlineLevel="0" collapsed="false">
      <c r="A41" s="4" t="n">
        <v>37</v>
      </c>
      <c r="B41" s="18" t="n">
        <f aca="false">IF(E40&lt;Range!$B$6,D40,B40)</f>
        <v>0.127995353301958</v>
      </c>
      <c r="C41" s="18" t="n">
        <f aca="false">IF(E40&lt;Range!$B$6,C40,D40)</f>
        <v>0.127995353305232</v>
      </c>
      <c r="D41" s="18" t="n">
        <f aca="false">(B41+C41)/2</f>
        <v>0.127995353303595</v>
      </c>
      <c r="E41" s="18" t="n">
        <f aca="false">(Inputs!$B$48-SUMPRODUCT(Inputs!$D$42:$D$46,1/(1+D41)^Inputs!$A$42:$A$46))/SUMPRODUCT(Inputs!$B$42:$B$46,1/(1+D41)^Inputs!$A$42:$A$46)-Inputs!$B$20</f>
        <v>0.129093402949486</v>
      </c>
    </row>
    <row r="42" customFormat="false" ht="15" hidden="false" customHeight="false" outlineLevel="0" collapsed="false">
      <c r="A42" s="4" t="n">
        <v>38</v>
      </c>
      <c r="B42" s="18" t="n">
        <f aca="false">IF(E41&lt;Range!$B$6,D41,B41)</f>
        <v>0.127995353303595</v>
      </c>
      <c r="C42" s="18" t="n">
        <f aca="false">IF(E41&lt;Range!$B$6,C41,D41)</f>
        <v>0.127995353305232</v>
      </c>
      <c r="D42" s="18" t="n">
        <f aca="false">(B42+C42)/2</f>
        <v>0.127995353304414</v>
      </c>
      <c r="E42" s="18" t="n">
        <f aca="false">(Inputs!$B$48-SUMPRODUCT(Inputs!$D$42:$D$46,1/(1+D42)^Inputs!$A$42:$A$46))/SUMPRODUCT(Inputs!$B$42:$B$46,1/(1+D42)^Inputs!$A$42:$A$46)-Inputs!$B$20</f>
        <v>0.129093402950304</v>
      </c>
    </row>
    <row r="43" customFormat="false" ht="15" hidden="false" customHeight="false" outlineLevel="0" collapsed="false">
      <c r="A43" s="4" t="n">
        <v>39</v>
      </c>
      <c r="B43" s="18" t="n">
        <f aca="false">IF(E42&lt;Range!$B$6,D42,B42)</f>
        <v>0.127995353304414</v>
      </c>
      <c r="C43" s="18" t="n">
        <f aca="false">IF(E42&lt;Range!$B$6,C42,D42)</f>
        <v>0.127995353305232</v>
      </c>
      <c r="D43" s="18" t="n">
        <f aca="false">(B43+C43)/2</f>
        <v>0.127995353304823</v>
      </c>
      <c r="E43" s="18" t="n">
        <f aca="false">(Inputs!$B$48-SUMPRODUCT(Inputs!$D$42:$D$46,1/(1+D43)^Inputs!$A$42:$A$46))/SUMPRODUCT(Inputs!$B$42:$B$46,1/(1+D43)^Inputs!$A$42:$A$46)-Inputs!$B$20</f>
        <v>0.129093402950714</v>
      </c>
    </row>
    <row r="44" customFormat="false" ht="15" hidden="false" customHeight="false" outlineLevel="0" collapsed="false">
      <c r="A44" s="4" t="n">
        <v>40</v>
      </c>
      <c r="B44" s="18" t="n">
        <f aca="false">IF(E43&lt;Range!$B$6,D43,B43)</f>
        <v>0.127995353304823</v>
      </c>
      <c r="C44" s="18" t="n">
        <f aca="false">IF(E43&lt;Range!$B$6,C43,D43)</f>
        <v>0.127995353305232</v>
      </c>
      <c r="D44" s="18" t="n">
        <f aca="false">(B44+C44)/2</f>
        <v>0.127995353305027</v>
      </c>
      <c r="E44" s="18" t="n">
        <f aca="false">(Inputs!$B$48-SUMPRODUCT(Inputs!$D$42:$D$46,1/(1+D44)^Inputs!$A$42:$A$46))/SUMPRODUCT(Inputs!$B$42:$B$46,1/(1+D44)^Inputs!$A$42:$A$46)-Inputs!$B$20</f>
        <v>0.129093402950918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131</v>
      </c>
    </row>
    <row r="2" customFormat="false" ht="15" hidden="false" customHeight="false" outlineLevel="0" collapsed="false">
      <c r="A2" s="2" t="s">
        <v>132</v>
      </c>
    </row>
    <row r="4" customFormat="false" ht="15" hidden="false" customHeight="false" outlineLevel="0" collapsed="false">
      <c r="A4" s="3" t="s">
        <v>133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138</v>
      </c>
    </row>
    <row r="5" customFormat="false" ht="15" hidden="false" customHeight="false" outlineLevel="0" collapsed="false">
      <c r="A5" s="19" t="s">
        <v>12</v>
      </c>
      <c r="B5" s="5" t="n">
        <f aca="false">Range!B9</f>
        <v>0.0529954884731567</v>
      </c>
      <c r="C5" s="20" t="n">
        <v>0.0529954884731567</v>
      </c>
      <c r="D5" s="5" t="n">
        <f aca="false">B5-C5</f>
        <v>0</v>
      </c>
      <c r="E5" s="7" t="str">
        <f aca="false">IF(ISNUMBER(B5),IF(ABS(D5)&lt;=ABS(C5)*0.0001+0.000001,"OK","CHECK"),"CHECK")</f>
        <v>OK</v>
      </c>
      <c r="F5" s="21" t="s">
        <v>139</v>
      </c>
    </row>
    <row r="6" customFormat="false" ht="15" hidden="false" customHeight="false" outlineLevel="0" collapsed="false">
      <c r="A6" s="19" t="s">
        <v>33</v>
      </c>
      <c r="B6" s="5" t="n">
        <f aca="false">Range!B28</f>
        <v>0.0440841221558975</v>
      </c>
      <c r="C6" s="20" t="n">
        <v>0.0440841221558976</v>
      </c>
      <c r="D6" s="5" t="n">
        <f aca="false">B6-C6</f>
        <v>-1.66533453693773E-016</v>
      </c>
      <c r="E6" s="7" t="str">
        <f aca="false">IF(ISNUMBER(B6),IF(ABS(D6)&lt;=ABS(C6)*0.0001+0.000001,"OK","CHECK"),"CHECK")</f>
        <v>OK</v>
      </c>
      <c r="F6" s="21" t="s">
        <v>140</v>
      </c>
    </row>
    <row r="7" customFormat="false" ht="15" hidden="false" customHeight="false" outlineLevel="0" collapsed="false">
      <c r="A7" s="19" t="s">
        <v>141</v>
      </c>
      <c r="B7" s="5" t="n">
        <f aca="false">Range!B5</f>
        <v>0.145854024123375</v>
      </c>
      <c r="C7" s="20" t="n">
        <v>0.145854024123375</v>
      </c>
      <c r="D7" s="5" t="n">
        <f aca="false">B7-C7</f>
        <v>0</v>
      </c>
      <c r="E7" s="7" t="str">
        <f aca="false">IF(ISNUMBER(B7),IF(ABS(D7)&lt;=ABS(C7)*0.0001+0.000001,"OK","CHECK"),"CHECK")</f>
        <v>OK</v>
      </c>
      <c r="F7" s="21" t="s">
        <v>142</v>
      </c>
    </row>
    <row r="8" customFormat="false" ht="15" hidden="false" customHeight="false" outlineLevel="0" collapsed="false">
      <c r="A8" s="19" t="s">
        <v>123</v>
      </c>
      <c r="B8" s="5" t="n">
        <f aca="false">Range!B6</f>
        <v>0.129093402950876</v>
      </c>
      <c r="C8" s="20" t="n">
        <v>0.129093402950876</v>
      </c>
      <c r="D8" s="5" t="n">
        <f aca="false">B8-C8</f>
        <v>0</v>
      </c>
      <c r="E8" s="7" t="str">
        <f aca="false">IF(ISNUMBER(B8),IF(ABS(D8)&lt;=ABS(C8)*0.0001+0.000001,"OK","CHECK"),"CHECK")</f>
        <v>OK</v>
      </c>
      <c r="F8" s="21" t="s">
        <v>142</v>
      </c>
    </row>
    <row r="9" customFormat="false" ht="15" hidden="false" customHeight="false" outlineLevel="0" collapsed="false">
      <c r="A9" s="19" t="s">
        <v>10</v>
      </c>
      <c r="B9" s="5" t="n">
        <f aca="false">Range!B8</f>
        <v>0.0760979144777193</v>
      </c>
      <c r="C9" s="20" t="n">
        <v>0.0760979144777194</v>
      </c>
      <c r="D9" s="5" t="n">
        <f aca="false">B9-C9</f>
        <v>0</v>
      </c>
      <c r="E9" s="7" t="str">
        <f aca="false">IF(ISNUMBER(B9),IF(ABS(D9)&lt;=ABS(C9)*0.0001+0.000001,"OK","CHECK"),"CHECK")</f>
        <v>OK</v>
      </c>
      <c r="F9" s="21" t="s">
        <v>142</v>
      </c>
    </row>
    <row r="10" customFormat="false" ht="15" hidden="false" customHeight="false" outlineLevel="0" collapsed="false">
      <c r="A10" s="19" t="s">
        <v>143</v>
      </c>
      <c r="B10" s="5" t="n">
        <f aca="false">Range!B13</f>
        <v>0.0610980224403518</v>
      </c>
      <c r="C10" s="20" t="n">
        <v>0.0610980224403518</v>
      </c>
      <c r="D10" s="5" t="n">
        <f aca="false">B10-C10</f>
        <v>0</v>
      </c>
      <c r="E10" s="7" t="str">
        <f aca="false">IF(ISNUMBER(B10),IF(ABS(D10)&lt;=ABS(C10)*0.0001+0.000001,"OK","CHECK"),"CHECK")</f>
        <v>OK</v>
      </c>
      <c r="F10" s="21" t="s">
        <v>144</v>
      </c>
    </row>
    <row r="11" customFormat="false" ht="15" hidden="false" customHeight="false" outlineLevel="0" collapsed="false">
      <c r="A11" s="19" t="s">
        <v>145</v>
      </c>
      <c r="B11" s="5" t="n">
        <f aca="false">Range!B14</f>
        <v>0.0760979144777193</v>
      </c>
      <c r="C11" s="20" t="n">
        <v>0.0760979144777194</v>
      </c>
      <c r="D11" s="5" t="n">
        <f aca="false">B11-C11</f>
        <v>0</v>
      </c>
      <c r="E11" s="7" t="str">
        <f aca="false">IF(ISNUMBER(B11),IF(ABS(D11)&lt;=ABS(C11)*0.0001+0.000001,"OK","CHECK"),"CHECK")</f>
        <v>OK</v>
      </c>
      <c r="F11" s="21" t="s">
        <v>144</v>
      </c>
    </row>
    <row r="12" customFormat="false" ht="15" hidden="false" customHeight="false" outlineLevel="0" collapsed="false">
      <c r="A12" s="19" t="s">
        <v>146</v>
      </c>
      <c r="B12" s="5" t="n">
        <f aca="false">Range!B15</f>
        <v>0.0910978750845532</v>
      </c>
      <c r="C12" s="20" t="n">
        <v>0.0910978750845532</v>
      </c>
      <c r="D12" s="5" t="n">
        <f aca="false">B12-C12</f>
        <v>0</v>
      </c>
      <c r="E12" s="7" t="str">
        <f aca="false">IF(ISNUMBER(B12),IF(ABS(D12)&lt;=ABS(C12)*0.0001+0.000001,"OK","CHECK"),"CHECK")</f>
        <v>OK</v>
      </c>
      <c r="F12" s="21" t="s">
        <v>144</v>
      </c>
    </row>
    <row r="13" customFormat="false" ht="15" hidden="false" customHeight="false" outlineLevel="0" collapsed="false">
      <c r="A13" s="19" t="s">
        <v>147</v>
      </c>
      <c r="B13" s="5" t="n">
        <f aca="false">Range!B16</f>
        <v>0.101097884489869</v>
      </c>
      <c r="C13" s="20" t="n">
        <v>0.101097884489869</v>
      </c>
      <c r="D13" s="5" t="n">
        <f aca="false">B13-C13</f>
        <v>0</v>
      </c>
      <c r="E13" s="7" t="str">
        <f aca="false">IF(ISNUMBER(B13),IF(ABS(D13)&lt;=ABS(C13)*0.0001+0.000001,"OK","CHECK"),"CHECK")</f>
        <v>OK</v>
      </c>
      <c r="F13" s="21" t="s">
        <v>144</v>
      </c>
    </row>
    <row r="14" customFormat="false" ht="15" hidden="false" customHeight="false" outlineLevel="0" collapsed="false">
      <c r="A14" s="19" t="s">
        <v>148</v>
      </c>
      <c r="B14" s="5" t="n">
        <f aca="false">Range!B17</f>
        <v>0.116097948620686</v>
      </c>
      <c r="C14" s="20" t="n">
        <v>0.116097948620686</v>
      </c>
      <c r="D14" s="5" t="n">
        <f aca="false">B14-C14</f>
        <v>0</v>
      </c>
      <c r="E14" s="7" t="str">
        <f aca="false">IF(ISNUMBER(B14),IF(ABS(D14)&lt;=ABS(C14)*0.0001+0.000001,"OK","CHECK"),"CHECK")</f>
        <v>OK</v>
      </c>
      <c r="F14" s="21" t="s">
        <v>144</v>
      </c>
    </row>
    <row r="15" customFormat="false" ht="15" hidden="false" customHeight="false" outlineLevel="0" collapsed="false">
      <c r="A15" s="19" t="s">
        <v>149</v>
      </c>
      <c r="B15" s="5" t="n">
        <f aca="false">Range!B18</f>
        <v>0.131098068794446</v>
      </c>
      <c r="C15" s="20" t="n">
        <v>0.131098068794446</v>
      </c>
      <c r="D15" s="5" t="n">
        <f aca="false">B15-C15</f>
        <v>0</v>
      </c>
      <c r="E15" s="7" t="str">
        <f aca="false">IF(ISNUMBER(B15),IF(ABS(D15)&lt;=ABS(C15)*0.0001+0.000001,"OK","CHECK"),"CHECK")</f>
        <v>OK</v>
      </c>
      <c r="F15" s="21" t="s">
        <v>144</v>
      </c>
    </row>
    <row r="16" customFormat="false" ht="15" hidden="false" customHeight="false" outlineLevel="0" collapsed="false">
      <c r="A16" s="19" t="s">
        <v>150</v>
      </c>
      <c r="B16" s="5" t="n">
        <f aca="false">Range!B22</f>
        <v>0.0552219862657643</v>
      </c>
      <c r="C16" s="20" t="n">
        <v>0.0552219862657644</v>
      </c>
      <c r="D16" s="5" t="n">
        <f aca="false">B16-C16</f>
        <v>0</v>
      </c>
      <c r="E16" s="7" t="str">
        <f aca="false">IF(ISNUMBER(B16),IF(ABS(D16)&lt;=ABS(C16)*0.0001+0.000001,"OK","CHECK"),"CHECK")</f>
        <v>OK</v>
      </c>
      <c r="F16" s="21" t="s">
        <v>144</v>
      </c>
    </row>
    <row r="17" customFormat="false" ht="15" hidden="false" customHeight="false" outlineLevel="0" collapsed="false">
      <c r="A17" s="19" t="s">
        <v>151</v>
      </c>
      <c r="B17" s="5" t="n">
        <f aca="false">Range!B23</f>
        <v>0.131177848295015</v>
      </c>
      <c r="C17" s="20" t="n">
        <v>0.131177848295015</v>
      </c>
      <c r="D17" s="5" t="n">
        <f aca="false">B17-C17</f>
        <v>0</v>
      </c>
      <c r="E17" s="7" t="str">
        <f aca="false">IF(ISNUMBER(B17),IF(ABS(D17)&lt;=ABS(C17)*0.0001+0.000001,"OK","CHECK"),"CHECK")</f>
        <v>OK</v>
      </c>
      <c r="F17" s="21" t="s">
        <v>144</v>
      </c>
    </row>
    <row r="18" customFormat="false" ht="15" hidden="false" customHeight="false" outlineLevel="0" collapsed="false">
      <c r="A18" s="19" t="s">
        <v>27</v>
      </c>
      <c r="B18" s="5" t="n">
        <f aca="false">Range!B24</f>
        <v>0.174720472483361</v>
      </c>
      <c r="C18" s="20" t="n">
        <v>0.17472047248336</v>
      </c>
      <c r="D18" s="5" t="n">
        <f aca="false">B18-C18</f>
        <v>0</v>
      </c>
      <c r="E18" s="7" t="str">
        <f aca="false">IF(ISNUMBER(B18),IF(ABS(D18)&lt;=ABS(C18)*0.0001+0.000001,"OK","CHECK"),"CHECK")</f>
        <v>OK</v>
      </c>
      <c r="F18" s="21" t="s">
        <v>144</v>
      </c>
    </row>
    <row r="19" customFormat="false" ht="15" hidden="false" customHeight="false" outlineLevel="0" collapsed="false">
      <c r="A19" s="19" t="s">
        <v>152</v>
      </c>
      <c r="B19" s="5" t="n">
        <f aca="false">Range!B25</f>
        <v>0.349982442934273</v>
      </c>
      <c r="C19" s="20" t="n">
        <v>0.349982442934273</v>
      </c>
      <c r="D19" s="5" t="n">
        <f aca="false">B19-C19</f>
        <v>0</v>
      </c>
      <c r="E19" s="7" t="str">
        <f aca="false">IF(ISNUMBER(B19),IF(ABS(D19)&lt;=ABS(C19)*0.0001+0.000001,"OK","CHECK"),"CHECK")</f>
        <v>OK</v>
      </c>
      <c r="F19" s="21" t="s">
        <v>144</v>
      </c>
    </row>
    <row r="20" customFormat="false" ht="15" hidden="false" customHeight="false" outlineLevel="0" collapsed="false">
      <c r="A20" s="19" t="s">
        <v>153</v>
      </c>
      <c r="B20" s="5" t="n">
        <f aca="false">Range!B26</f>
        <v>0.305898320778376</v>
      </c>
      <c r="C20" s="20" t="n">
        <v>0.305898320778376</v>
      </c>
      <c r="D20" s="5" t="n">
        <f aca="false">B20-C20</f>
        <v>0</v>
      </c>
      <c r="E20" s="7" t="str">
        <f aca="false">IF(ISNUMBER(B20),IF(ABS(D20)&lt;=ABS(C20)*0.0001+0.000001,"OK","CHECK"),"CHECK")</f>
        <v>OK</v>
      </c>
      <c r="F20" s="21" t="s">
        <v>144</v>
      </c>
    </row>
    <row r="21" customFormat="false" ht="15" hidden="false" customHeight="false" outlineLevel="0" collapsed="false">
      <c r="A21" s="19" t="s">
        <v>154</v>
      </c>
      <c r="B21" s="5" t="n">
        <f aca="false">Range!B27</f>
        <v>0.111680046839847</v>
      </c>
      <c r="C21" s="20" t="n">
        <v>0.1117</v>
      </c>
      <c r="D21" s="5" t="n">
        <f aca="false">B21-C21</f>
        <v>-1.99531601532688E-005</v>
      </c>
      <c r="E21" s="7" t="str">
        <f aca="false">IF(ISNUMBER(B21),IF(ABS(D21)&lt;=0.00005,"OK","CHECK"),"CHECK")</f>
        <v>OK</v>
      </c>
      <c r="F21" s="21" t="s">
        <v>155</v>
      </c>
    </row>
    <row r="22" customFormat="false" ht="15" hidden="false" customHeight="false" outlineLevel="0" collapsed="false">
      <c r="A22" s="19" t="s">
        <v>156</v>
      </c>
      <c r="B22" s="5" t="n">
        <f aca="false">Range!B29</f>
        <v>0.00521006484294746</v>
      </c>
      <c r="C22" s="20" t="n">
        <v>0.0052</v>
      </c>
      <c r="D22" s="5" t="n">
        <f aca="false">B22-C22</f>
        <v>1.00648429474624E-005</v>
      </c>
      <c r="E22" s="7" t="str">
        <f aca="false">IF(ISNUMBER(B22),IF(ABS(D22)&lt;=0.00005,"OK","CHECK"),"CHECK")</f>
        <v>OK</v>
      </c>
      <c r="F22" s="21" t="s">
        <v>144</v>
      </c>
    </row>
    <row r="23" customFormat="false" ht="15" hidden="false" customHeight="false" outlineLevel="0" collapsed="false">
      <c r="A23" s="19" t="s">
        <v>157</v>
      </c>
      <c r="B23" s="22" t="b">
        <f aca="false">AND(Range!E13="yes",Range!E14="yes",Range!E15="yes",Range!E16="yes",Range!E17="no",Range!E18="no")</f>
        <v>1</v>
      </c>
      <c r="C23" s="4" t="s">
        <v>158</v>
      </c>
      <c r="E23" s="7" t="str">
        <f aca="false">IF(B23=TRUE(),"OK","CHECK")</f>
        <v>OK</v>
      </c>
      <c r="F23" s="21" t="s">
        <v>159</v>
      </c>
    </row>
    <row r="24" customFormat="false" ht="15" hidden="false" customHeight="false" outlineLevel="0" collapsed="false">
      <c r="A24" s="19" t="s">
        <v>160</v>
      </c>
      <c r="B24" s="22" t="b">
        <f aca="false">Range!D18="no"</f>
        <v>1</v>
      </c>
      <c r="C24" s="4" t="s">
        <v>158</v>
      </c>
      <c r="E24" s="7" t="str">
        <f aca="false">IF(B24=TRUE(),"OK","CHECK")</f>
        <v>OK</v>
      </c>
      <c r="F24" s="21" t="s">
        <v>161</v>
      </c>
    </row>
    <row r="25" customFormat="false" ht="15" hidden="false" customHeight="false" outlineLevel="0" collapsed="false">
      <c r="A25" s="19" t="s">
        <v>162</v>
      </c>
      <c r="B25" s="5" t="n">
        <f aca="false">Range!B19</f>
        <v>0.127995353305027</v>
      </c>
      <c r="C25" s="20" t="n">
        <v>0.128</v>
      </c>
      <c r="D25" s="5" t="n">
        <f aca="false">B25-C25</f>
        <v>-4.64669497252102E-006</v>
      </c>
      <c r="E25" s="7" t="str">
        <f aca="false">IF(ISNUMBER(B25),IF(ABS(D25)&lt;=0.0005,"OK","CHECK"),"CHECK")</f>
        <v>OK</v>
      </c>
      <c r="F25" s="21" t="s">
        <v>163</v>
      </c>
    </row>
    <row r="26" customFormat="false" ht="15" hidden="false" customHeight="false" outlineLevel="0" collapsed="false">
      <c r="A26" s="19" t="s">
        <v>164</v>
      </c>
      <c r="B26" s="5" t="n">
        <f aca="false">Range!B32</f>
        <v>0.0975</v>
      </c>
      <c r="C26" s="20" t="n">
        <v>0.0975</v>
      </c>
      <c r="D26" s="5" t="n">
        <f aca="false">B26-C26</f>
        <v>0</v>
      </c>
      <c r="E26" s="7" t="str">
        <f aca="false">IF(ISNUMBER(B26),IF(ABS(D26)&lt;=0.000000001,"OK","CHECK"),"CHECK")</f>
        <v>OK</v>
      </c>
      <c r="F26" s="21" t="s">
        <v>165</v>
      </c>
    </row>
    <row r="27" customFormat="false" ht="15" hidden="false" customHeight="false" outlineLevel="0" collapsed="false">
      <c r="A27" s="19" t="s">
        <v>166</v>
      </c>
      <c r="B27" s="5" t="n">
        <f aca="false">Range!B33</f>
        <v>0.068489469068595</v>
      </c>
      <c r="C27" s="20" t="n">
        <v>0.0685</v>
      </c>
      <c r="D27" s="5" t="n">
        <f aca="false">B27-C27</f>
        <v>-1.05309314049618E-005</v>
      </c>
      <c r="E27" s="7" t="str">
        <f aca="false">IF(ISNUMBER(B27),IF(ABS(D27)&lt;=0.00005,"OK","CHECK"),"CHECK")</f>
        <v>OK</v>
      </c>
      <c r="F27" s="21" t="s">
        <v>165</v>
      </c>
    </row>
    <row r="28" customFormat="false" ht="15" hidden="false" customHeight="false" outlineLevel="0" collapsed="false">
      <c r="A28" s="19" t="s">
        <v>167</v>
      </c>
      <c r="B28" s="9" t="n">
        <f aca="false">Range!B34</f>
        <v>322802840.702342</v>
      </c>
      <c r="C28" s="23" t="n">
        <v>322800000</v>
      </c>
      <c r="D28" s="9" t="n">
        <f aca="false">B28-C28</f>
        <v>2840.70234161615</v>
      </c>
      <c r="E28" s="7" t="str">
        <f aca="false">IF(ISNUMBER(B28),IF(ABS(D28)&lt;=50000,"OK","CHECK"),"CHECK")</f>
        <v>OK</v>
      </c>
      <c r="F28" s="21" t="s">
        <v>165</v>
      </c>
    </row>
    <row r="29" customFormat="false" ht="15" hidden="false" customHeight="false" outlineLevel="0" collapsed="false">
      <c r="A29" s="19" t="s">
        <v>168</v>
      </c>
      <c r="B29" s="5" t="n">
        <f aca="false">Range!B35</f>
        <v>0.377338071678023</v>
      </c>
      <c r="C29" s="20" t="n">
        <v>0.3773</v>
      </c>
      <c r="D29" s="5" t="n">
        <f aca="false">B29-C29</f>
        <v>3.80716780233326E-005</v>
      </c>
      <c r="E29" s="7" t="str">
        <f aca="false">IF(ISNUMBER(B29),IF(ABS(D29)&lt;=0.00005,"OK","CHECK"),"CHECK")</f>
        <v>OK</v>
      </c>
      <c r="F29" s="21" t="s">
        <v>165</v>
      </c>
    </row>
    <row r="30" customFormat="false" ht="15" hidden="false" customHeight="false" outlineLevel="0" collapsed="false">
      <c r="A30" s="19" t="s">
        <v>169</v>
      </c>
      <c r="B30" s="9" t="n">
        <f aca="false">Range!B36</f>
        <v>390000000</v>
      </c>
      <c r="C30" s="23" t="n">
        <v>390000000</v>
      </c>
      <c r="D30" s="9" t="n">
        <f aca="false">B30-C30</f>
        <v>0</v>
      </c>
      <c r="E30" s="7" t="str">
        <f aca="false">IF(ISNUMBER(B30),IF(ABS(D30)&lt;=50000,"OK","CHECK"),"CHECK")</f>
        <v>OK</v>
      </c>
      <c r="F30" s="21" t="s">
        <v>165</v>
      </c>
    </row>
    <row r="31" customFormat="false" ht="15" hidden="false" customHeight="false" outlineLevel="0" collapsed="false">
      <c r="A31" s="19" t="s">
        <v>170</v>
      </c>
      <c r="B31" s="5" t="n">
        <f aca="false">Range!B37</f>
        <v>0.13359361828437</v>
      </c>
      <c r="C31" s="20" t="n">
        <v>0.1336</v>
      </c>
      <c r="D31" s="5" t="n">
        <f aca="false">B31-C31</f>
        <v>-6.38171563008272E-006</v>
      </c>
      <c r="E31" s="7" t="str">
        <f aca="false">IF(ISNUMBER(B31),IF(ABS(D31)&lt;=0.00005,"OK","CHECK"),"CHECK")</f>
        <v>OK</v>
      </c>
      <c r="F31" s="21" t="s">
        <v>165</v>
      </c>
    </row>
    <row r="32" customFormat="false" ht="15" hidden="false" customHeight="false" outlineLevel="0" collapsed="false">
      <c r="A32" s="19" t="s">
        <v>171</v>
      </c>
      <c r="B32" s="5" t="n">
        <f aca="false">Range!B38</f>
        <v>0.085</v>
      </c>
      <c r="C32" s="20" t="n">
        <v>0.085</v>
      </c>
      <c r="D32" s="5" t="n">
        <f aca="false">B32-C32</f>
        <v>0</v>
      </c>
      <c r="E32" s="7" t="str">
        <f aca="false">IF(ISNUMBER(B32),IF(ABS(D32)&lt;=0.000000001,"OK","CHECK"),"CHECK")</f>
        <v>OK</v>
      </c>
      <c r="F32" s="21" t="s">
        <v>144</v>
      </c>
    </row>
    <row r="33" customFormat="false" ht="15" hidden="false" customHeight="false" outlineLevel="0" collapsed="false">
      <c r="A33" s="19" t="s">
        <v>172</v>
      </c>
      <c r="B33" s="5" t="n">
        <f aca="false">Range!B39</f>
        <v>0.202617599194663</v>
      </c>
      <c r="C33" s="20" t="n">
        <v>0.2026</v>
      </c>
      <c r="D33" s="5" t="n">
        <f aca="false">B33-C33</f>
        <v>1.75991946626264E-005</v>
      </c>
      <c r="E33" s="7" t="str">
        <f aca="false">IF(ISNUMBER(B33),IF(ABS(D33)&lt;=0.00005,"OK","CHECK"),"CHECK")</f>
        <v>OK</v>
      </c>
      <c r="F33" s="21" t="s">
        <v>165</v>
      </c>
    </row>
    <row r="34" customFormat="false" ht="15" hidden="false" customHeight="false" outlineLevel="0" collapsed="false">
      <c r="A34" s="19" t="s">
        <v>173</v>
      </c>
      <c r="B34" s="5" t="n">
        <f aca="false">Range!B40</f>
        <v>0.172501251261164</v>
      </c>
      <c r="C34" s="20" t="n">
        <v>0.1725</v>
      </c>
      <c r="D34" s="5" t="n">
        <f aca="false">B34-C34</f>
        <v>1.25126116357066E-006</v>
      </c>
      <c r="E34" s="7" t="str">
        <f aca="false">IF(ISNUMBER(B34),IF(ABS(D34)&lt;=0.00005,"OK","CHECK"),"CHECK")</f>
        <v>OK</v>
      </c>
      <c r="F34" s="21" t="s">
        <v>174</v>
      </c>
    </row>
    <row r="35" customFormat="false" ht="15" hidden="false" customHeight="false" outlineLevel="0" collapsed="false">
      <c r="A35" s="19" t="s">
        <v>175</v>
      </c>
      <c r="B35" s="5" t="n">
        <f aca="false">Range!B41</f>
        <v>0.0301163479334991</v>
      </c>
      <c r="C35" s="20" t="n">
        <v>0.0301</v>
      </c>
      <c r="D35" s="5" t="n">
        <f aca="false">B35-C35</f>
        <v>1.63479334990731E-005</v>
      </c>
      <c r="E35" s="7" t="str">
        <f aca="false">IF(ISNUMBER(B35),IF(ABS(D35)&lt;=0.00005,"OK","CHECK"),"CHECK")</f>
        <v>OK</v>
      </c>
      <c r="F35" s="21" t="s">
        <v>165</v>
      </c>
    </row>
    <row r="36" customFormat="false" ht="15" hidden="false" customHeight="false" outlineLevel="0" collapsed="false">
      <c r="A36" s="19" t="s">
        <v>176</v>
      </c>
      <c r="B36" s="5" t="n">
        <f aca="false">Thickness!AB5</f>
        <v>0.115008760040537</v>
      </c>
      <c r="C36" s="20" t="n">
        <v>0.115</v>
      </c>
      <c r="D36" s="5" t="n">
        <f aca="false">B36-C36</f>
        <v>8.76004053691759E-006</v>
      </c>
      <c r="E36" s="7" t="str">
        <f aca="false">IF(ISNUMBER(B36),IF(ABS(D36)&lt;=0.00005,"OK","CHECK"),"CHECK")</f>
        <v>OK</v>
      </c>
      <c r="F36" s="21" t="s">
        <v>165</v>
      </c>
    </row>
    <row r="37" customFormat="false" ht="15" hidden="false" customHeight="false" outlineLevel="0" collapsed="false">
      <c r="A37" s="19" t="s">
        <v>177</v>
      </c>
      <c r="B37" s="5" t="n">
        <f aca="false">Thickness!AD5</f>
        <v>0.097891466031438</v>
      </c>
      <c r="C37" s="20" t="n">
        <v>0.0979</v>
      </c>
      <c r="D37" s="5" t="n">
        <f aca="false">B37-C37</f>
        <v>-8.53396856195787E-006</v>
      </c>
      <c r="E37" s="7" t="str">
        <f aca="false">IF(ISNUMBER(B37),IF(ABS(D37)&lt;=0.00005,"OK","CHECK"),"CHECK")</f>
        <v>OK</v>
      </c>
      <c r="F37" s="21" t="s">
        <v>165</v>
      </c>
    </row>
    <row r="38" customFormat="false" ht="15" hidden="false" customHeight="false" outlineLevel="0" collapsed="false">
      <c r="A38" s="19" t="s">
        <v>178</v>
      </c>
      <c r="B38" s="5" t="n">
        <f aca="false">Thickness!AB9</f>
        <v>0.0973569691726131</v>
      </c>
      <c r="C38" s="20" t="n">
        <v>0.0974</v>
      </c>
      <c r="D38" s="5" t="n">
        <f aca="false">B38-C38</f>
        <v>-4.30308273869223E-005</v>
      </c>
      <c r="E38" s="7" t="str">
        <f aca="false">IF(ISNUMBER(B38),IF(ABS(D38)&lt;=0.00005,"OK","CHECK"),"CHECK")</f>
        <v>OK</v>
      </c>
      <c r="F38" s="21" t="s">
        <v>165</v>
      </c>
    </row>
    <row r="39" customFormat="false" ht="15" hidden="false" customHeight="false" outlineLevel="0" collapsed="false">
      <c r="A39" s="19" t="s">
        <v>179</v>
      </c>
      <c r="B39" s="5" t="n">
        <f aca="false">Thickness!AD9</f>
        <v>0.111244470371258</v>
      </c>
      <c r="C39" s="20" t="n">
        <v>0.1112</v>
      </c>
      <c r="D39" s="5" t="n">
        <f aca="false">B39-C39</f>
        <v>4.44703712578348E-005</v>
      </c>
      <c r="E39" s="7" t="str">
        <f aca="false">IF(ISNUMBER(B39),IF(ABS(D39)&lt;=0.00005,"OK","CHECK"),"CHECK")</f>
        <v>OK</v>
      </c>
      <c r="F39" s="21" t="s">
        <v>165</v>
      </c>
    </row>
    <row r="40" customFormat="false" ht="15" hidden="false" customHeight="false" outlineLevel="0" collapsed="false">
      <c r="A40" s="19" t="s">
        <v>180</v>
      </c>
      <c r="B40" s="5" t="n">
        <f aca="false">Thickness!AF9</f>
        <v>0.493430925940968</v>
      </c>
      <c r="C40" s="20" t="n">
        <v>0.4934</v>
      </c>
      <c r="D40" s="5" t="n">
        <f aca="false">B40-C40</f>
        <v>3.09259409677631E-005</v>
      </c>
      <c r="E40" s="7" t="str">
        <f aca="false">IF(ISNUMBER(B40),IF(ABS(D40)&lt;=0.00005,"OK","CHECK"),"CHECK")</f>
        <v>OK</v>
      </c>
      <c r="F40" s="21" t="s">
        <v>165</v>
      </c>
    </row>
    <row r="41" customFormat="false" ht="15" hidden="false" customHeight="false" outlineLevel="0" collapsed="false">
      <c r="A41" s="19" t="s">
        <v>181</v>
      </c>
      <c r="B41" s="5" t="n">
        <f aca="false">Thickness!AB13</f>
        <v>0.0872441002552572</v>
      </c>
      <c r="C41" s="20" t="n">
        <v>0.0872</v>
      </c>
      <c r="D41" s="5" t="n">
        <f aca="false">B41-C41</f>
        <v>4.41002552571956E-005</v>
      </c>
      <c r="E41" s="7" t="str">
        <f aca="false">IF(ISNUMBER(B41),IF(ABS(D41)&lt;=0.00005,"OK","CHECK"),"CHECK")</f>
        <v>OK</v>
      </c>
      <c r="F41" s="21" t="s">
        <v>165</v>
      </c>
    </row>
    <row r="42" customFormat="false" ht="15" hidden="false" customHeight="false" outlineLevel="0" collapsed="false">
      <c r="A42" s="19" t="s">
        <v>182</v>
      </c>
      <c r="B42" s="5" t="n">
        <f aca="false">Thickness!AD13</f>
        <v>0.129852308997808</v>
      </c>
      <c r="C42" s="20" t="n">
        <v>0.1299</v>
      </c>
      <c r="D42" s="5" t="n">
        <f aca="false">B42-C42</f>
        <v>-4.76910021918464E-005</v>
      </c>
      <c r="E42" s="7" t="str">
        <f aca="false">IF(ISNUMBER(B42),IF(ABS(D42)&lt;=0.00005,"OK","CHECK"),"CHECK")</f>
        <v>OK</v>
      </c>
      <c r="F42" s="21" t="s">
        <v>165</v>
      </c>
    </row>
    <row r="43" customFormat="false" ht="15" hidden="false" customHeight="false" outlineLevel="0" collapsed="false">
      <c r="A43" s="19" t="s">
        <v>183</v>
      </c>
      <c r="B43" s="5" t="n">
        <f aca="false">Thickness!AF13</f>
        <v>0.173591847550523</v>
      </c>
      <c r="C43" s="20" t="n">
        <v>0.1736</v>
      </c>
      <c r="D43" s="5" t="n">
        <f aca="false">B43-C43</f>
        <v>-8.15244947724447E-006</v>
      </c>
      <c r="E43" s="7" t="str">
        <f aca="false">IF(ISNUMBER(B43),IF(ABS(D43)&lt;=0.00005,"OK","CHECK"),"CHECK")</f>
        <v>OK</v>
      </c>
      <c r="F43" s="21" t="s">
        <v>165</v>
      </c>
    </row>
    <row r="44" customFormat="false" ht="15" hidden="false" customHeight="false" outlineLevel="0" collapsed="false">
      <c r="A44" s="19" t="s">
        <v>184</v>
      </c>
      <c r="B44" s="5" t="n">
        <f aca="false">Thickness!AB17</f>
        <v>0.0806903197619724</v>
      </c>
      <c r="C44" s="20" t="n">
        <v>0.0807</v>
      </c>
      <c r="D44" s="5" t="n">
        <f aca="false">B44-C44</f>
        <v>-9.68023802763729E-006</v>
      </c>
      <c r="E44" s="7" t="str">
        <f aca="false">IF(ISNUMBER(B44),IF(ABS(D44)&lt;=0.00005,"OK","CHECK"),"CHECK")</f>
        <v>OK</v>
      </c>
      <c r="F44" s="21" t="s">
        <v>165</v>
      </c>
    </row>
    <row r="45" customFormat="false" ht="15" hidden="false" customHeight="false" outlineLevel="0" collapsed="false">
      <c r="A45" s="19" t="s">
        <v>185</v>
      </c>
      <c r="B45" s="5" t="n">
        <f aca="false">Thickness!AD17</f>
        <v>0.157915007363538</v>
      </c>
      <c r="C45" s="20" t="n">
        <v>0.1579</v>
      </c>
      <c r="D45" s="5" t="n">
        <f aca="false">B45-C45</f>
        <v>1.50073635378223E-005</v>
      </c>
      <c r="E45" s="7" t="str">
        <f aca="false">IF(ISNUMBER(B45),IF(ABS(D45)&lt;=0.00005,"OK","CHECK"),"CHECK")</f>
        <v>OK</v>
      </c>
      <c r="F45" s="21" t="s">
        <v>165</v>
      </c>
    </row>
    <row r="46" customFormat="false" ht="15" hidden="false" customHeight="false" outlineLevel="0" collapsed="false">
      <c r="A46" s="19" t="s">
        <v>186</v>
      </c>
      <c r="B46" s="5" t="n">
        <f aca="false">Thickness!AF17</f>
        <v>0.11427623664352</v>
      </c>
      <c r="C46" s="20" t="n">
        <v>0.1143</v>
      </c>
      <c r="D46" s="5" t="n">
        <f aca="false">B46-C46</f>
        <v>-2.37633564796197E-005</v>
      </c>
      <c r="E46" s="7" t="str">
        <f aca="false">IF(ISNUMBER(B46),IF(ABS(D46)&lt;=0.00005,"OK","CHECK"),"CHECK")</f>
        <v>OK</v>
      </c>
      <c r="F46" s="21" t="s">
        <v>165</v>
      </c>
    </row>
    <row r="47" customFormat="false" ht="15" hidden="false" customHeight="false" outlineLevel="0" collapsed="false">
      <c r="A47" s="19" t="s">
        <v>187</v>
      </c>
      <c r="B47" s="5" t="n">
        <f aca="false">Thickness!AB21</f>
        <v>0.0760979144777193</v>
      </c>
      <c r="C47" s="20" t="n">
        <v>0.0761</v>
      </c>
      <c r="D47" s="5" t="n">
        <f aca="false">B47-C47</f>
        <v>-2.08552228067593E-006</v>
      </c>
      <c r="E47" s="7" t="str">
        <f aca="false">IF(ISNUMBER(B47),IF(ABS(D47)&lt;=0.00005,"OK","CHECK"),"CHECK")</f>
        <v>OK</v>
      </c>
      <c r="F47" s="21" t="s">
        <v>165</v>
      </c>
    </row>
    <row r="48" customFormat="false" ht="15" hidden="false" customHeight="false" outlineLevel="0" collapsed="false">
      <c r="A48" s="19" t="s">
        <v>188</v>
      </c>
      <c r="B48" s="5" t="n">
        <f aca="false">Thickness!AD21</f>
        <v>0.202617599194663</v>
      </c>
      <c r="C48" s="20" t="n">
        <v>0.2026</v>
      </c>
      <c r="D48" s="5" t="n">
        <f aca="false">B48-C48</f>
        <v>1.75991946626264E-005</v>
      </c>
      <c r="E48" s="7" t="str">
        <f aca="false">IF(ISNUMBER(B48),IF(ABS(D48)&lt;=0.00005,"OK","CHECK"),"CHECK")</f>
        <v>OK</v>
      </c>
      <c r="F48" s="21" t="s">
        <v>165</v>
      </c>
    </row>
    <row r="49" customFormat="false" ht="15" hidden="false" customHeight="false" outlineLevel="0" collapsed="false">
      <c r="A49" s="19" t="s">
        <v>189</v>
      </c>
      <c r="B49" s="5" t="n">
        <f aca="false">Thickness!AF21</f>
        <v>0.0903868564919912</v>
      </c>
      <c r="C49" s="20" t="n">
        <v>0.0904</v>
      </c>
      <c r="D49" s="5" t="n">
        <f aca="false">B49-C49</f>
        <v>-1.31435080087672E-005</v>
      </c>
      <c r="E49" s="7" t="str">
        <f aca="false">IF(ISNUMBER(B49),IF(ABS(D49)&lt;=0.00005,"OK","CHECK"),"CHECK")</f>
        <v>OK</v>
      </c>
      <c r="F49" s="21" t="s">
        <v>165</v>
      </c>
    </row>
    <row r="50" customFormat="false" ht="15" hidden="false" customHeight="false" outlineLevel="0" collapsed="false">
      <c r="A50" s="19" t="s">
        <v>190</v>
      </c>
      <c r="B50" s="5" t="n">
        <f aca="false">Thickness!AB25</f>
        <v>0.0727010056448999</v>
      </c>
      <c r="C50" s="20" t="n">
        <v>0.0727</v>
      </c>
      <c r="D50" s="5" t="n">
        <f aca="false">B50-C50</f>
        <v>1.00564489989574E-006</v>
      </c>
      <c r="E50" s="7" t="str">
        <f aca="false">IF(ISNUMBER(B50),IF(ABS(D50)&lt;=0.00005,"OK","CHECK"),"CHECK")</f>
        <v>OK</v>
      </c>
      <c r="F50" s="21" t="s">
        <v>165</v>
      </c>
    </row>
    <row r="51" customFormat="false" ht="15" hidden="false" customHeight="false" outlineLevel="0" collapsed="false">
      <c r="A51" s="19" t="s">
        <v>191</v>
      </c>
      <c r="B51" s="5" t="n">
        <f aca="false">Thickness!AD25</f>
        <v>0.259090556359314</v>
      </c>
      <c r="C51" s="20" t="n">
        <v>0.2591</v>
      </c>
      <c r="D51" s="5" t="n">
        <f aca="false">B51-C51</f>
        <v>-9.4436406863907E-006</v>
      </c>
      <c r="E51" s="7" t="str">
        <f aca="false">IF(ISNUMBER(B51),IF(ABS(D51)&lt;=0.00005,"OK","CHECK"),"CHECK")</f>
        <v>OK</v>
      </c>
      <c r="F51" s="21" t="s">
        <v>165</v>
      </c>
    </row>
    <row r="52" customFormat="false" ht="15" hidden="false" customHeight="false" outlineLevel="0" collapsed="false">
      <c r="A52" s="19" t="s">
        <v>192</v>
      </c>
      <c r="B52" s="5" t="n">
        <f aca="false">Thickness!AF25</f>
        <v>0.0815353976898525</v>
      </c>
      <c r="C52" s="20" t="n">
        <v>0.0815</v>
      </c>
      <c r="D52" s="5" t="n">
        <f aca="false">B52-C52</f>
        <v>3.53976898525288E-005</v>
      </c>
      <c r="E52" s="7" t="str">
        <f aca="false">IF(ISNUMBER(B52),IF(ABS(D52)&lt;=0.00005,"OK","CHECK"),"CHECK")</f>
        <v>OK</v>
      </c>
      <c r="F52" s="21" t="s">
        <v>165</v>
      </c>
    </row>
    <row r="53" customFormat="false" ht="15" hidden="false" customHeight="false" outlineLevel="0" collapsed="false">
      <c r="A53" s="19" t="s">
        <v>193</v>
      </c>
      <c r="B53" s="5" t="n">
        <f aca="false">Thickness!AB29</f>
        <v>0.0700865384966431</v>
      </c>
      <c r="C53" s="20" t="n">
        <v>0.0701</v>
      </c>
      <c r="D53" s="5" t="n">
        <f aca="false">B53-C53</f>
        <v>-1.34615033569041E-005</v>
      </c>
      <c r="E53" s="7" t="str">
        <f aca="false">IF(ISNUMBER(B53),IF(ABS(D53)&lt;=0.00005,"OK","CHECK"),"CHECK")</f>
        <v>OK</v>
      </c>
      <c r="F53" s="21" t="s">
        <v>165</v>
      </c>
    </row>
    <row r="54" customFormat="false" ht="15" hidden="false" customHeight="false" outlineLevel="0" collapsed="false">
      <c r="A54" s="19" t="s">
        <v>194</v>
      </c>
      <c r="B54" s="5" t="n">
        <f aca="false">Thickness!AD29</f>
        <v>0.324811201771114</v>
      </c>
      <c r="C54" s="20" t="n">
        <v>0.3248</v>
      </c>
      <c r="D54" s="5" t="n">
        <f aca="false">B54-C54</f>
        <v>1.12017711135781E-005</v>
      </c>
      <c r="E54" s="7" t="str">
        <f aca="false">IF(ISNUMBER(B54),IF(ABS(D54)&lt;=0.00005,"OK","CHECK"),"CHECK")</f>
        <v>OK</v>
      </c>
      <c r="F54" s="21" t="s">
        <v>165</v>
      </c>
    </row>
    <row r="55" customFormat="false" ht="15" hidden="false" customHeight="false" outlineLevel="0" collapsed="false">
      <c r="A55" s="19" t="s">
        <v>195</v>
      </c>
      <c r="B55" s="5" t="n">
        <f aca="false">Thickness!AF29</f>
        <v>0.0786967729238685</v>
      </c>
      <c r="C55" s="20" t="n">
        <v>0.0787</v>
      </c>
      <c r="D55" s="5" t="n">
        <f aca="false">B55-C55</f>
        <v>-3.2270761315123E-006</v>
      </c>
      <c r="E55" s="7" t="str">
        <f aca="false">IF(ISNUMBER(B55),IF(ABS(D55)&lt;=0.00005,"OK","CHECK"),"CHECK")</f>
        <v>OK</v>
      </c>
      <c r="F55" s="21" t="s">
        <v>165</v>
      </c>
    </row>
    <row r="56" customFormat="false" ht="15" hidden="false" customHeight="false" outlineLevel="0" collapsed="false">
      <c r="A56" s="19" t="s">
        <v>196</v>
      </c>
      <c r="B56" s="5" t="n">
        <f aca="false">Thickness!AB33</f>
        <v>0.068012091953584</v>
      </c>
      <c r="C56" s="20" t="n">
        <v>0.068</v>
      </c>
      <c r="D56" s="5" t="n">
        <f aca="false">B56-C56</f>
        <v>1.20919535840092E-005</v>
      </c>
      <c r="E56" s="7" t="str">
        <f aca="false">IF(ISNUMBER(B56),IF(ABS(D56)&lt;=0.00005,"OK","CHECK"),"CHECK")</f>
        <v>OK</v>
      </c>
      <c r="F56" s="21" t="s">
        <v>165</v>
      </c>
    </row>
    <row r="57" customFormat="false" ht="15" hidden="false" customHeight="false" outlineLevel="0" collapsed="false">
      <c r="A57" s="19" t="s">
        <v>197</v>
      </c>
      <c r="B57" s="5" t="n">
        <f aca="false">Thickness!AD33</f>
        <v>0.372341375599877</v>
      </c>
      <c r="C57" s="20" t="n">
        <v>0.3723</v>
      </c>
      <c r="D57" s="5" t="n">
        <f aca="false">B57-C57</f>
        <v>4.1375599876825E-005</v>
      </c>
      <c r="E57" s="7" t="str">
        <f aca="false">IF(ISNUMBER(B57),IF(ABS(D57)&lt;=0.00005,"OK","CHECK"),"CHECK")</f>
        <v>OK</v>
      </c>
      <c r="F57" s="21" t="s">
        <v>165</v>
      </c>
    </row>
    <row r="58" customFormat="false" ht="15" hidden="false" customHeight="false" outlineLevel="0" collapsed="false">
      <c r="A58" s="19" t="s">
        <v>198</v>
      </c>
      <c r="B58" s="5" t="n">
        <f aca="false">Thickness!AF33</f>
        <v>0.0801369517976924</v>
      </c>
      <c r="C58" s="20" t="n">
        <v>0.0801</v>
      </c>
      <c r="D58" s="5" t="n">
        <f aca="false">B58-C58</f>
        <v>3.69517976924194E-005</v>
      </c>
      <c r="E58" s="7" t="str">
        <f aca="false">IF(ISNUMBER(B58),IF(ABS(D58)&lt;=0.00005,"OK","CHECK"),"CHECK")</f>
        <v>OK</v>
      </c>
      <c r="F58" s="21" t="s">
        <v>165</v>
      </c>
    </row>
    <row r="59" customFormat="false" ht="15" hidden="false" customHeight="false" outlineLevel="0" collapsed="false">
      <c r="A59" s="19" t="s">
        <v>199</v>
      </c>
      <c r="B59" s="5" t="n">
        <f aca="false">Thickness!AB37</f>
        <v>0.0663260151921299</v>
      </c>
      <c r="C59" s="20" t="n">
        <v>0.0663</v>
      </c>
      <c r="D59" s="5" t="n">
        <f aca="false">B59-C59</f>
        <v>2.60151921298857E-005</v>
      </c>
      <c r="E59" s="7" t="str">
        <f aca="false">IF(ISNUMBER(B59),IF(ABS(D59)&lt;=0.00005,"OK","CHECK"),"CHECK")</f>
        <v>OK</v>
      </c>
      <c r="F59" s="21" t="s">
        <v>165</v>
      </c>
    </row>
    <row r="60" customFormat="false" ht="15" hidden="false" customHeight="false" outlineLevel="0" collapsed="false">
      <c r="A60" s="19" t="s">
        <v>200</v>
      </c>
      <c r="B60" s="5" t="n">
        <f aca="false">Thickness!AD37</f>
        <v>0.352649104445396</v>
      </c>
      <c r="C60" s="20" t="n">
        <v>0.3526</v>
      </c>
      <c r="D60" s="5" t="n">
        <f aca="false">B60-C60</f>
        <v>4.91044453955758E-005</v>
      </c>
      <c r="E60" s="7" t="str">
        <f aca="false">IF(ISNUMBER(B60),IF(ABS(D60)&lt;=0.00005,"OK","CHECK"),"CHECK")</f>
        <v>OK</v>
      </c>
      <c r="F60" s="21" t="s">
        <v>165</v>
      </c>
    </row>
    <row r="61" customFormat="false" ht="15" hidden="false" customHeight="false" outlineLevel="0" collapsed="false">
      <c r="A61" s="19" t="s">
        <v>201</v>
      </c>
      <c r="B61" s="5" t="n">
        <f aca="false">Thickness!AF37</f>
        <v>0.086283693426245</v>
      </c>
      <c r="C61" s="20" t="n">
        <v>0.0863</v>
      </c>
      <c r="D61" s="5" t="n">
        <f aca="false">B61-C61</f>
        <v>-1.63065737550511E-005</v>
      </c>
      <c r="E61" s="7" t="str">
        <f aca="false">IF(ISNUMBER(B61),IF(ABS(D61)&lt;=0.00005,"OK","CHECK"),"CHECK")</f>
        <v>OK</v>
      </c>
      <c r="F61" s="21" t="s">
        <v>165</v>
      </c>
    </row>
    <row r="62" customFormat="false" ht="15" hidden="false" customHeight="false" outlineLevel="0" collapsed="false">
      <c r="A62" s="19" t="s">
        <v>202</v>
      </c>
      <c r="B62" s="5" t="n">
        <f aca="false">Thickness!AB43</f>
        <v>0.0643158912475439</v>
      </c>
      <c r="C62" s="20" t="n">
        <v>0.0643</v>
      </c>
      <c r="D62" s="5" t="n">
        <f aca="false">B62-C62</f>
        <v>1.58912475439477E-005</v>
      </c>
      <c r="E62" s="7" t="str">
        <f aca="false">IF(ISNUMBER(B62),IF(ABS(D62)&lt;=0.00005,"OK","CHECK"),"CHECK")</f>
        <v>OK</v>
      </c>
      <c r="F62" s="21" t="s">
        <v>165</v>
      </c>
    </row>
    <row r="63" customFormat="false" ht="15" hidden="false" customHeight="false" outlineLevel="0" collapsed="false">
      <c r="A63" s="19" t="s">
        <v>203</v>
      </c>
      <c r="B63" s="5" t="n">
        <f aca="false">Thickness!AD43</f>
        <v>0.323978344125815</v>
      </c>
      <c r="C63" s="20" t="n">
        <v>0.324</v>
      </c>
      <c r="D63" s="5" t="n">
        <f aca="false">B63-C63</f>
        <v>-2.16558741854556E-005</v>
      </c>
      <c r="E63" s="7" t="str">
        <f aca="false">IF(ISNUMBER(B63),IF(ABS(D63)&lt;=0.00005,"OK","CHECK"),"CHECK")</f>
        <v>OK</v>
      </c>
      <c r="F63" s="21" t="s">
        <v>165</v>
      </c>
    </row>
    <row r="64" customFormat="false" ht="15" hidden="false" customHeight="false" outlineLevel="0" collapsed="false">
      <c r="A64" s="19" t="s">
        <v>204</v>
      </c>
      <c r="B64" s="5" t="n">
        <f aca="false">Thickness!AF43</f>
        <v>0.0956092253256233</v>
      </c>
      <c r="C64" s="20" t="n">
        <v>0.0956</v>
      </c>
      <c r="D64" s="5" t="n">
        <f aca="false">B64-C64</f>
        <v>9.22532562333545E-006</v>
      </c>
      <c r="E64" s="7" t="str">
        <f aca="false">IF(ISNUMBER(B64),IF(ABS(D64)&lt;=0.00005,"OK","CHECK"),"CHECK")</f>
        <v>OK</v>
      </c>
      <c r="F64" s="21" t="s">
        <v>165</v>
      </c>
    </row>
    <row r="65" customFormat="false" ht="15" hidden="false" customHeight="false" outlineLevel="0" collapsed="false">
      <c r="A65" s="19" t="s">
        <v>205</v>
      </c>
      <c r="B65" s="22" t="b">
        <f aca="false">ABS(-Inputs!B48+(Range!B8+Inputs!B20)*SUMPRODUCT(Inputs!B42:B46,1/(1+Inputs!B25)^Inputs!A42:A46)+SUMPRODUCT(Inputs!D42:D46,1/(1+Inputs!B25)^Inputs!A42:A46))&lt;1</f>
        <v>1</v>
      </c>
      <c r="C65" s="4" t="s">
        <v>158</v>
      </c>
      <c r="E65" s="7" t="str">
        <f aca="false">IF(B65=TRUE(),"OK","CHECK")</f>
        <v>OK</v>
      </c>
    </row>
    <row r="66" customFormat="false" ht="15" hidden="false" customHeight="false" outlineLevel="0" collapsed="false">
      <c r="A66" s="19" t="s">
        <v>206</v>
      </c>
      <c r="B66" s="22" t="b">
        <f aca="false">AND(ABS(Thickness!H21-Inputs!B53)&lt;1,ABS(Thickness!AB21-Range!B8)&lt;0.000000000001)</f>
        <v>1</v>
      </c>
      <c r="C66" s="4" t="s">
        <v>158</v>
      </c>
      <c r="E66" s="7" t="str">
        <f aca="false">IF(B66=TRUE(),"OK","CHECK")</f>
        <v>OK</v>
      </c>
    </row>
    <row r="67" customFormat="false" ht="15" hidden="false" customHeight="false" outlineLevel="0" collapsed="false">
      <c r="A67" s="19" t="s">
        <v>207</v>
      </c>
      <c r="B67" s="22" t="b">
        <f aca="false">MIN(Thickness!H20:H49)&gt;0</f>
        <v>1</v>
      </c>
      <c r="C67" s="4" t="s">
        <v>158</v>
      </c>
      <c r="E67" s="7" t="str">
        <f aca="false">IF(B67=TRUE(),"OK","CHECK")</f>
        <v>OK</v>
      </c>
    </row>
    <row r="69" customFormat="false" ht="15" hidden="false" customHeight="false" outlineLevel="0" collapsed="false">
      <c r="A69" s="7" t="s">
        <v>208</v>
      </c>
      <c r="B69" s="7" t="n">
        <f aca="false">COUNTIF(E5:E67,"CHECK")</f>
        <v>0</v>
      </c>
    </row>
    <row r="70" customFormat="false" ht="15" hidden="false" customHeight="false" outlineLevel="0" collapsed="false">
      <c r="A70" s="7" t="s">
        <v>209</v>
      </c>
      <c r="B70" s="7" t="str">
        <f aca="false">IF(COUNTIF(E5:E67,"OK")=63,"ALL OK",COUNTIF(E5:E67,"OK")&amp;" / 63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2026-09-23T22:57:31Z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