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ase 1 — the exit" sheetId="2" state="visible" r:id="rId4"/>
    <sheet name="Case 2 — capital account" sheetId="3" state="visible" r:id="rId5"/>
    <sheet name="Case 3 — your own return" sheetId="4" state="visible" r:id="rId6"/>
    <sheet name="Case 4 — the facility" sheetId="5" state="visible" r:id="rId7"/>
    <sheet name="Case 5 — accrued carry"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<sst xmlns="http://schemas.openxmlformats.org/spreadsheetml/2006/main" count="316" uniqueCount="248">
  <si>
    <t xml:space="preserve">How to Read a Private Fund's Financial Statements — Workbook 2 of 4</t>
  </si>
  <si>
    <t xml:space="preserve">The five worked cases of Appendix C, live</t>
  </si>
  <si>
    <t xml:space="preserve">Julian R. Sterling · julianrsterling.com/statements</t>
  </si>
  <si>
    <t xml:space="preserve">Work each one before you read the solution</t>
  </si>
  <si>
    <t xml:space="preserve">That is the appendix's own instruction, and it is right: the arithmetic is the point, and the arithmetic is where the misunderstanding lives. Each sheet gives the case's data as blue inputs and the solution as formulas. Cover the answer column, work it on paper, then look.</t>
  </si>
  <si>
    <t xml:space="preserve">Then change the inputs</t>
  </si>
  <si>
    <t xml:space="preserve">That is what a workbook adds to a printed appendix. Case 1 stops being a curiosity once you set the prior carrying value above the proceeds and watch a profitable-looking exit turn into a real one. Case 4's subscription facility adds 654 basis points to the reported rate at twelve months of deferral — set it to six and see what remains of the effect.</t>
  </si>
  <si>
    <t xml:space="preserve">The two cases most worth your time</t>
  </si>
  <si>
    <t xml:space="preserve">Case 2 rebuilds a capital account that is deliberately not a clean percentage of the fund, and accounts for every unit of the divergence: a fee discount pushing one way, an equalisation payment pushing the other. If an investor cannot account for a divergence in that way, the account has not been proved — it has been accepted.
Case 3 recomputes a reported return from the investor's own cash flows and finds that 8.7 per cent and 1.28 times are, on the same data, 7.4 per cent and 1.23 times. Neither figure is an error. Both are choices, and both run in the same direction.</t>
  </si>
  <si>
    <t xml:space="preserve">Conventions</t>
  </si>
  <si>
    <t xml:space="preserve">Blue is an input. Black is a formula. Yellow fill marks the assumptions that carry the answer. The internal rates of return use XIRR, which discounts on actual dates — the same basis the appendix uses.</t>
  </si>
  <si>
    <t xml:space="preserve">Provided for education. Not investment advice.</t>
  </si>
  <si>
    <t xml:space="preserve">Case 1: the exit that looks like a write-down</t>
  </si>
  <si>
    <t xml:space="preserve">Appendix C. Meadowbrook Systems, sold in the current year.</t>
  </si>
  <si>
    <t xml:space="preserve">THE DATA</t>
  </si>
  <si>
    <t xml:space="preserve">Why neither line means anything alone</t>
  </si>
  <si>
    <t xml:space="preserve">Cost of the position, including transaction costs</t>
  </si>
  <si>
    <t xml:space="preserve">An investment committee member reads the negative 27,200,000, concludes the portfolio fell apart, and asks why the manager is reporting a decline in a year with a successful exit.
The realised gain is measured against original cost, not against the last carrying value. Of the 26,500,000 of gain, 23,000,000 was appreciation already recognised in earlier periods and is now being taken out of the unrealised line so it is not counted twice. The two lines describe one event.
The genuine news of the year is 3,500,000 — what the position fetched above what it was carried at. The residue of the unrealised movement, negative 4,200,000, is the rest of the portfolio being marked down.
The committee member was wrong about the mechanism and directionally right about the concern. The portfolio excluding the exit did decline. The lesson is that the decomposition takes two subtractions — and that a reader who reacts to either line alone will be wrong in one direction or the other roughly half the time.</t>
  </si>
  <si>
    <t xml:space="preserve">Carrying value at the end of the prior year</t>
  </si>
  <si>
    <t xml:space="preserve">Net proceeds on sale during the current year</t>
  </si>
  <si>
    <t xml:space="preserve">Fund's reported net realised gain for the year</t>
  </si>
  <si>
    <t xml:space="preserve">Fund's reported net change in unrealised for the year</t>
  </si>
  <si>
    <t xml:space="preserve">THE SOLUTION</t>
  </si>
  <si>
    <t xml:space="preserve">Realised gain on the position: proceeds less ORIGINAL cost</t>
  </si>
  <si>
    <t xml:space="preserve">Unrealised appreciation carried at the start of the year</t>
  </si>
  <si>
    <t xml:space="preserve">which reverses out on sale, so the unrealised movement is</t>
  </si>
  <si>
    <t xml:space="preserve">The genuine economic news: proceeds less prior carrying value</t>
  </si>
  <si>
    <t xml:space="preserve">Confirm: realised less the reversal</t>
  </si>
  <si>
    <t xml:space="preserve">Total change in unrealised reported by the fund</t>
  </si>
  <si>
    <t xml:space="preserve">less the Meadowbrook reversal</t>
  </si>
  <si>
    <t xml:space="preserve">leaves the markdown on the rest of the portfolio</t>
  </si>
  <si>
    <t xml:space="preserve">Combined contribution of both effects to the year</t>
  </si>
  <si>
    <t xml:space="preserve">which decomposes into the exit gain</t>
  </si>
  <si>
    <t xml:space="preserve">and the markdown elsewhere</t>
  </si>
  <si>
    <t xml:space="preserve">Case 2: rebuilding a capital account with a fee discount and a late close</t>
  </si>
  <si>
    <t xml:space="preserve">Appendix C. Institution R in Kettlewell Partners IV, Year 3.</t>
  </si>
  <si>
    <t xml:space="preserve">THE INVESTOR</t>
  </si>
  <si>
    <t xml:space="preserve">Every unit of the divergence is a documented event</t>
  </si>
  <si>
    <t xml:space="preserve">Commitment</t>
  </si>
  <si>
    <t xml:space="preserve">R's closing balance is 11,840,000. Five per cent of the limited partners' column is 11,880,000. The 40,000 gap is not an error and not a rounding: it is two offsetting effects.
R's fee advantage for the year is 80,000 — a pro-rata share of the aggregate fee would have been 380,000, and R paid 300,000. Its opening deficit is 120,000. Net, negative 40,000.
And the opening deficit itself decomposes: equalisation interest of 260,000 charged at admission, less an accumulated fee advantage of 140,000 over Years 1 and 2. Row 58 runs that proof.
That is the standard to hold an account to. If an investor cannot account for the divergence from pro rata in this way, the account has not been proved — it has been accepted. Note also what R's fee line is not: it is not five per cent of the fund's aggregate fee. Calls and distributions are pro rata, so those lines scale; fee differentials are settled through the allocation, so that one does not.</t>
  </si>
  <si>
    <t xml:space="preserve">Total limited partner commitments</t>
  </si>
  <si>
    <t xml:space="preserve">Share by commitment</t>
  </si>
  <si>
    <t xml:space="preserve">Negotiated management fee rate</t>
  </si>
  <si>
    <t xml:space="preserve">Opening balance per its statement</t>
  </si>
  <si>
    <t xml:space="preserve">Equalisation interest paid at admission</t>
  </si>
  <si>
    <t xml:space="preserve">Accumulated fee advantage over Years 1 and 2</t>
  </si>
  <si>
    <t xml:space="preserve">THE FUND'S YEAR 3 LIMITED PARTNER AGGREGATES</t>
  </si>
  <si>
    <t xml:space="preserve">Opening capital</t>
  </si>
  <si>
    <t xml:space="preserve">Contributions</t>
  </si>
  <si>
    <t xml:space="preserve">Distributions</t>
  </si>
  <si>
    <t xml:space="preserve">Investment income</t>
  </si>
  <si>
    <t xml:space="preserve">Management fee</t>
  </si>
  <si>
    <t xml:space="preserve">Other expenses</t>
  </si>
  <si>
    <t xml:space="preserve">Net realised gains</t>
  </si>
  <si>
    <t xml:space="preserve">Net change in unrealised</t>
  </si>
  <si>
    <t xml:space="preserve">Carried interest accrual</t>
  </si>
  <si>
    <t xml:space="preserve">Limited partners' closing column</t>
  </si>
  <si>
    <t xml:space="preserve">PROVING THE AGGREGATE FEE FIRST</t>
  </si>
  <si>
    <t xml:space="preserve">It is the item most often wrong.</t>
  </si>
  <si>
    <t xml:space="preserve">Tranche</t>
  </si>
  <si>
    <t xml:space="preserve">Commitments</t>
  </si>
  <si>
    <t xml:space="preserve">Rate</t>
  </si>
  <si>
    <t xml:space="preserve">Fee</t>
  </si>
  <si>
    <t xml:space="preserve">Standard investors</t>
  </si>
  <si>
    <t xml:space="preserve">Institution R</t>
  </si>
  <si>
    <t xml:space="preserve">Other discounted investors</t>
  </si>
  <si>
    <t xml:space="preserve">Total</t>
  </si>
  <si>
    <t xml:space="preserve">agrees with the aggregate fee above</t>
  </si>
  <si>
    <t xml:space="preserve">REBUILDING R'S ACCOUNT</t>
  </si>
  <si>
    <t xml:space="preserve">Line</t>
  </si>
  <si>
    <t xml:space="preserve">Amount</t>
  </si>
  <si>
    <t xml:space="preserve">Running balance</t>
  </si>
  <si>
    <t xml:space="preserve">Opening balance</t>
  </si>
  <si>
    <t xml:space="preserve">Realised gains</t>
  </si>
  <si>
    <t xml:space="preserve">Change in unrealised</t>
  </si>
  <si>
    <t xml:space="preserve">Carried interest</t>
  </si>
  <si>
    <t xml:space="preserve">Closing balance</t>
  </si>
  <si>
    <t xml:space="preserve">R's management fee is its own, not a share of the aggregate.</t>
  </si>
  <si>
    <t xml:space="preserve">WHY IT IS NOT 5 PER CENT OF THE COLUMN</t>
  </si>
  <si>
    <t xml:space="preserve">Five per cent of the limited partners' closing column</t>
  </si>
  <si>
    <t xml:space="preserve">R's actual balance</t>
  </si>
  <si>
    <t xml:space="preserve">Difference</t>
  </si>
  <si>
    <t xml:space="preserve">R's pro-rata share of the aggregate fee would have been</t>
  </si>
  <si>
    <t xml:space="preserve">R actually paid</t>
  </si>
  <si>
    <t xml:space="preserve">Fee advantage for the year</t>
  </si>
  <si>
    <t xml:space="preserve">Five per cent of the opening column</t>
  </si>
  <si>
    <t xml:space="preserve">R's opening balance</t>
  </si>
  <si>
    <t xml:space="preserve">Opening deficit</t>
  </si>
  <si>
    <t xml:space="preserve">Net: the deficit less the advantage</t>
  </si>
  <si>
    <t xml:space="preserve">Proof of the deficit: the accumulated fee advantage less the equalisation interest</t>
  </si>
  <si>
    <t xml:space="preserve">Case 3: recomputing your own return</t>
  </si>
  <si>
    <t xml:space="preserve">Appendix C. The manager reports 8.7% and 1.28x. Compute your own and reconcile.</t>
  </si>
  <si>
    <t xml:space="preserve">Year 1 begins in</t>
  </si>
  <si>
    <t xml:space="preserve">the calendar year is a convention only — the intervals are what matter</t>
  </si>
  <si>
    <t xml:space="preserve">Your number is 7.4 per cent and 1.23 times</t>
  </si>
  <si>
    <t xml:space="preserve">Closing capital account at 31 December of Year 5</t>
  </si>
  <si>
    <t xml:space="preserve">The multiples need no iteration and they are where to start. Paid-in 9,000,000, distributions 4,200,000, residual 6,900,000. That is 0.47x, 0.77x and 1.23x.
The reported multiple is 1.28x. Test the obvious hypothesis — that it is struck before the accrued carry. Gross residual is 7,290,000, and (4,200,000 + 7,290,000) / 9,000,000 is 1.2767, or 1.28x. That is the whole difference. The manager's multiple is not wrong; it answers a different question, and the question it answers is not the one an investor cares about, because the carry will be paid.
The rate reconciles in two steps and neither involves an error. Re-dating every flow to the end of the quarter in which it fell — the convention most administrators use when they do not hold settlement dates — moves 7.38 per cent to 7.50. Replacing the terminal value with the gross figure moves it to 8.72. Twelve basis points from dating, a hundred and twenty-two from the carry basis, and both choices run in the same direction.
Use 7.4 per cent and 1.23x. Note the manager's basis in the file so that next year's comparison is like for like.</t>
  </si>
  <si>
    <t xml:space="preserve">Accrued carried interest inside that balance</t>
  </si>
  <si>
    <t xml:space="preserve">Manager's reported net rate of return</t>
  </si>
  <si>
    <t xml:space="preserve">Manager's reported net multiple</t>
  </si>
  <si>
    <t xml:space="preserve">THE CASH FLOWS</t>
  </si>
  <si>
    <t xml:space="preserve">Event</t>
  </si>
  <si>
    <t xml:space="preserve">Actual date</t>
  </si>
  <si>
    <t xml:space="preserve">Quarter-end date</t>
  </si>
  <si>
    <t xml:space="preserve">15 March, Year 1</t>
  </si>
  <si>
    <t xml:space="preserve">20 September, Year 1</t>
  </si>
  <si>
    <t xml:space="preserve">12 April, Year 2</t>
  </si>
  <si>
    <t xml:space="preserve">30 November, Year 2</t>
  </si>
  <si>
    <t xml:space="preserve">18 June, Year 3</t>
  </si>
  <si>
    <t xml:space="preserve">15 December, Year 3</t>
  </si>
  <si>
    <t xml:space="preserve">10 May, Year 4</t>
  </si>
  <si>
    <t xml:space="preserve">28 October, Year 4</t>
  </si>
  <si>
    <t xml:space="preserve">Terminal value, net of accrued carry</t>
  </si>
  <si>
    <t xml:space="preserve">Terminal value, gross of accrued carry</t>
  </si>
  <si>
    <t xml:space="preserve">THE MULTIPLES — NO ITERATION NEEDED</t>
  </si>
  <si>
    <t xml:space="preserve">Paid-in capital (sum of contributions)</t>
  </si>
  <si>
    <t xml:space="preserve">Distributions received</t>
  </si>
  <si>
    <t xml:space="preserve">Distributions to paid-in</t>
  </si>
  <si>
    <t xml:space="preserve">Residual value to paid-in</t>
  </si>
  <si>
    <t xml:space="preserve">Total value to paid-in</t>
  </si>
  <si>
    <t xml:space="preserve">The same, on the gross terminal value</t>
  </si>
  <si>
    <t xml:space="preserve">this is the manager's 1.28x — a pre-carry figure</t>
  </si>
  <si>
    <t xml:space="preserve">THE RATE, ON THREE BASES</t>
  </si>
  <si>
    <t xml:space="preserve">Basis</t>
  </si>
  <si>
    <t xml:space="preserve">Difference from the row above</t>
  </si>
  <si>
    <t xml:space="preserve">Actual dates, terminal value net of carry</t>
  </si>
  <si>
    <t xml:space="preserve">Quarter-end dates, terminal value net of carry</t>
  </si>
  <si>
    <t xml:space="preserve">Quarter-end dates, terminal value gross of carry</t>
  </si>
  <si>
    <t xml:space="preserve">Reported rate, for comparison</t>
  </si>
  <si>
    <t xml:space="preserve">Unexplained residue</t>
  </si>
  <si>
    <t xml:space="preserve">THE SERIES USED FOR THE GROSS-TERMINAL BASIS</t>
  </si>
  <si>
    <t xml:space="preserve">The same eight flows, on quarter-end dates, with the terminal value taken before the accrued carry.</t>
  </si>
  <si>
    <t xml:space="preserve">Flow</t>
  </si>
  <si>
    <t xml:space="preserve">Date</t>
  </si>
  <si>
    <t xml:space="preserve">Case 4: unlevering a return for a subscription facility</t>
  </si>
  <si>
    <t xml:space="preserve">Appendix C. Both reported figures are arithmetically correct. What did investors actually earn on the asset?</t>
  </si>
  <si>
    <t xml:space="preserve">The highest rate corresponds to the worst multiple</t>
  </si>
  <si>
    <t xml:space="preserve">Acquisition price, funded from the facility</t>
  </si>
  <si>
    <t xml:space="preserve">The correct adjustment is to re-date the contribution to the day the fund actually deployed the capital, and to change nothing else. The interest was genuinely paid by the fund and has already reduced what investors received; adding it back would double-count.
Three observations. The reported rate is the highest of the three and corresponds to the worst multiple. The facility cost investors a tenth of a turn of multiple — real money, permanently gone. And the honest comparison for judging investment skill is the third row, which nobody publishes because nobody can observe the counterfactual precisely. The second row is the one you can construct from disclosed data, and it is the one to use.
Set the deferral in row 6 to six months and watch the 654 basis points roughly halve. Set it to twenty-four and watch what a facility can do to a track record.</t>
  </si>
  <si>
    <t xml:space="preserve">Months between deployment and the capital call</t>
  </si>
  <si>
    <t xml:space="preserve">Interest paid on the facility</t>
  </si>
  <si>
    <t xml:space="preserve">Distribution to investors on sale</t>
  </si>
  <si>
    <t xml:space="preserve">Years from the capital call to the sale</t>
  </si>
  <si>
    <t xml:space="preserve">Total capital call: principal plus interest</t>
  </si>
  <si>
    <t xml:space="preserve">Years from deployment to the sale</t>
  </si>
  <si>
    <t xml:space="preserve">THE THREE BASES</t>
  </si>
  <si>
    <t xml:space="preserve">Multiple</t>
  </si>
  <si>
    <t xml:space="preserve">Comment</t>
  </si>
  <si>
    <t xml:space="preserve">As reported: capital called after the deferral</t>
  </si>
  <si>
    <t xml:space="preserve">the manager's figures</t>
  </si>
  <si>
    <t xml:space="preserve">Re-dated to deployment, interest borne</t>
  </si>
  <si>
    <t xml:space="preserve">constructible from disclosed data</t>
  </si>
  <si>
    <t xml:space="preserve">No facility used</t>
  </si>
  <si>
    <t xml:space="preserve">the unobservable counterfactual</t>
  </si>
  <si>
    <t xml:space="preserve">Basis points the facility added to the reported rate</t>
  </si>
  <si>
    <t xml:space="preserve">Multiple the facility cost investors</t>
  </si>
  <si>
    <t xml:space="preserve">Case 5: net asset value before and after accrued carry</t>
  </si>
  <si>
    <t xml:space="preserve">Appendix C. The accrual computed on a hypothetical liquidation, and what a 10% fall does to it.</t>
  </si>
  <si>
    <t xml:space="preserve">THE FUND</t>
  </si>
  <si>
    <t xml:space="preserve">A genuine feature, not an artefact</t>
  </si>
  <si>
    <t xml:space="preserve">Limited partner commitments</t>
  </si>
  <si>
    <t xml:space="preserve">The accrual is computed as if the portfolio were liquidated at carrying value today and the proceeds run through the waterfall. The check in row 32 is the one to watch: the catch-up has done its job when the accrued carry equals the rate applied to total profit. If your own arithmetic does not satisfy that identity, the catch-up has been mis-sized.
The gap of 0.15 turns of multiple, on a position of this size, is 1,800,000 of the investor's money. Any comparison between two funds where one reports before the accrual and the other after is meaningless.
Now the downside. Before carry, the investor's share falls by exactly the portfolio's ten per cent. After carry, it falls by less, because a falling portfolio reduces the general partner's entitlement as well. The accrual acts as a shock absorber on the way down — and it works in reverse, so on the way up the after-carry value rises more slowly than the portfolio.
An investor who tracks only gross net asset value systematically overstates both their gains and their losses. Change row 11 and read rows 48 and 51 together.</t>
  </si>
  <si>
    <t xml:space="preserve">Paid-in capital to date</t>
  </si>
  <si>
    <t xml:space="preserve">Distributions to date</t>
  </si>
  <si>
    <t xml:space="preserve">Portfolio carried at, before any carry accrual</t>
  </si>
  <si>
    <t xml:space="preserve">Accrued preferred return on actual contribution timing</t>
  </si>
  <si>
    <t xml:space="preserve">Residual carry rate</t>
  </si>
  <si>
    <t xml:space="preserve">Portfolio stress</t>
  </si>
  <si>
    <t xml:space="preserve">Paid-in</t>
  </si>
  <si>
    <t xml:space="preserve">Share of the fund</t>
  </si>
  <si>
    <t xml:space="preserve">THE HYPOTHETICAL LIQUIDATION</t>
  </si>
  <si>
    <t xml:space="preserve">Base case</t>
  </si>
  <si>
    <t xml:space="preserve">Portfolio down</t>
  </si>
  <si>
    <t xml:space="preserve">Portfolio value</t>
  </si>
  <si>
    <t xml:space="preserve">Total distributable: distributions plus portfolio</t>
  </si>
  <si>
    <t xml:space="preserve">Less return of contributed capital</t>
  </si>
  <si>
    <t xml:space="preserve">Profit available</t>
  </si>
  <si>
    <t xml:space="preserve">Less the preferred return</t>
  </si>
  <si>
    <t xml:space="preserve">Remaining after the preferred return</t>
  </si>
  <si>
    <t xml:space="preserve">Full catch-up to the general partner</t>
  </si>
  <si>
    <t xml:space="preserve">Remaining after the catch-up</t>
  </si>
  <si>
    <t xml:space="preserve">Residual to the investors</t>
  </si>
  <si>
    <t xml:space="preserve">Residual to the general partner</t>
  </si>
  <si>
    <t xml:space="preserve">Accrued carry: catch-up plus residual share</t>
  </si>
  <si>
    <t xml:space="preserve">Check: the carry rate applied to total profit</t>
  </si>
  <si>
    <t xml:space="preserve">Net asset value after the accrual</t>
  </si>
  <si>
    <t xml:space="preserve">THE INVESTOR'S POSITION</t>
  </si>
  <si>
    <t xml:space="preserve">Measure</t>
  </si>
  <si>
    <t xml:space="preserve">Before carry</t>
  </si>
  <si>
    <t xml:space="preserve">After carry</t>
  </si>
  <si>
    <t xml:space="preserve">Share of net asset value</t>
  </si>
  <si>
    <t xml:space="preserve">Total value</t>
  </si>
  <si>
    <t xml:space="preserve">The gap, in turns of multiple</t>
  </si>
  <si>
    <t xml:space="preserve">which on this position is</t>
  </si>
  <si>
    <t xml:space="preserve">THE SHOCK ABSORBER</t>
  </si>
  <si>
    <t xml:space="preserve">Investor's share before carry, base case</t>
  </si>
  <si>
    <t xml:space="preserve">Investor's share before carry, stressed</t>
  </si>
  <si>
    <t xml:space="preserve">Fall, before carry</t>
  </si>
  <si>
    <t xml:space="preserve">Investor's share after carry, base case</t>
  </si>
  <si>
    <t xml:space="preserve">Investor's share after carry, stressed</t>
  </si>
  <si>
    <t xml:space="preserve">Fall, after carry</t>
  </si>
  <si>
    <t xml:space="preserve">Every figure the five cases print, against what this workbook computes</t>
  </si>
  <si>
    <t xml:space="preserve">Column D links into each case. Change an input and this page moves with it.</t>
  </si>
  <si>
    <t xml:space="preserve">Case</t>
  </si>
  <si>
    <t xml:space="preserve">Figure as the appendix prints it</t>
  </si>
  <si>
    <t xml:space="preserve">Printed</t>
  </si>
  <si>
    <t xml:space="preserve">Computed</t>
  </si>
  <si>
    <t xml:space="preserve">Variance</t>
  </si>
  <si>
    <t xml:space="preserve">Status</t>
  </si>
  <si>
    <t xml:space="preserve">On the tolerances</t>
  </si>
  <si>
    <t xml:space="preserve">Case 1</t>
  </si>
  <si>
    <t xml:space="preserve">Realised gain on the position</t>
  </si>
  <si>
    <t xml:space="preserve">All forty-two lines reproduce. Two points on how that was measured, because a check that does not state its tolerance is not a check.
Multiples are compared to six thousandths of a turn and rates to six hundredths of a basis point. That is deliberately tighter than the appendix prints. Where the appendix shows 0.47x the exact figure is 0.4667, and where it shows 16.66 per cent the exact figure is 16.663 — both inside the band, both a printing convention rather than a difference.
One figure in Case 4 is described in the text rather than tabulated: the facility is said to have cost investors 'a tenth' of a turn of multiple. The workbook computes 0.092. The text is rounding the difference between two already-rounded multiples; row 21 of that sheet shows the unrounded figure.</t>
  </si>
  <si>
    <t xml:space="preserve">The genuine economic news of the year</t>
  </si>
  <si>
    <t xml:space="preserve">Markdown on the rest of the portfolio</t>
  </si>
  <si>
    <t xml:space="preserve">Combined contribution of both effects</t>
  </si>
  <si>
    <t xml:space="preserve">Case 2</t>
  </si>
  <si>
    <t xml:space="preserve">Aggregate management fee, rebuilt from the three tranches</t>
  </si>
  <si>
    <t xml:space="preserve">R's contributions</t>
  </si>
  <si>
    <t xml:space="preserve">R's management fee</t>
  </si>
  <si>
    <t xml:space="preserve">R's realised gains</t>
  </si>
  <si>
    <t xml:space="preserve">R's carried interest</t>
  </si>
  <si>
    <t xml:space="preserve">R's closing balance</t>
  </si>
  <si>
    <t xml:space="preserve">Five per cent of that column</t>
  </si>
  <si>
    <t xml:space="preserve">Net divergence from pro rata</t>
  </si>
  <si>
    <t xml:space="preserve">Case 3</t>
  </si>
  <si>
    <t xml:space="preserve">Paid-in capital</t>
  </si>
  <si>
    <t xml:space="preserve">The same on the gross terminal value</t>
  </si>
  <si>
    <t xml:space="preserve">Rate: actual dates, terminal net of carry</t>
  </si>
  <si>
    <t xml:space="preserve">Rate: quarter-end dates, terminal net of carry</t>
  </si>
  <si>
    <t xml:space="preserve">Rate: quarter-end dates, terminal gross of carry</t>
  </si>
  <si>
    <t xml:space="preserve">Case 4</t>
  </si>
  <si>
    <t xml:space="preserve">Multiple as reported</t>
  </si>
  <si>
    <t xml:space="preserve">Rate as reported</t>
  </si>
  <si>
    <t xml:space="preserve">Rate re-dated to deployment</t>
  </si>
  <si>
    <t xml:space="preserve">Multiple with no facility</t>
  </si>
  <si>
    <t xml:space="preserve">Rate with no facility</t>
  </si>
  <si>
    <t xml:space="preserve">Case 5</t>
  </si>
  <si>
    <t xml:space="preserve">Accrued carry</t>
  </si>
  <si>
    <t xml:space="preserve">Investor total value to paid-in, before carry</t>
  </si>
  <si>
    <t xml:space="preserve">Investor total value to paid-in, after carry</t>
  </si>
  <si>
    <t xml:space="preserve">Accrued carry after a 10% fall</t>
  </si>
  <si>
    <t xml:space="preserve">Net asset value after the accrual, stressed</t>
  </si>
  <si>
    <t xml:space="preserve">Investor's fall before carry</t>
  </si>
  <si>
    <t xml:space="preserve">Investor's fall after carry</t>
  </si>
  <si>
    <t xml:space="preserve">Lines reproduced exactly</t>
  </si>
  <si>
    <t xml:space="preserve">Lines differing only by the appendix's own rounding</t>
  </si>
  <si>
    <t xml:space="preserve">Lines to check</t>
  </si>
</sst>
</file>

<file path=xl/styles.xml><?xml version="1.0" encoding="utf-8"?>
<styleSheet xmlns="http://schemas.openxmlformats.org/spreadsheetml/2006/main">
  <numFmts count="8">
    <numFmt numFmtId="164" formatCode="General"/>
    <numFmt numFmtId="165" formatCode="#,##0;\(#,##0\);\-"/>
    <numFmt numFmtId="166" formatCode="0.00%"/>
    <numFmt numFmtId="167" formatCode="0"/>
    <numFmt numFmtId="168" formatCode="0.00\x"/>
    <numFmt numFmtId="169" formatCode="dd\ mmm\ yyyy"/>
    <numFmt numFmtId="170" formatCode="0.00"/>
    <numFmt numFmtId="171" formatCode="#,##0"/>
  </numFmts>
  <fonts count="18">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sz val="10"/>
      <color rgb="FF0000FF"/>
      <name val="Arial"/>
      <family val="0"/>
      <charset val="1"/>
    </font>
    <font>
      <b val="true"/>
      <sz val="10"/>
      <name val="Arial"/>
      <family val="0"/>
      <charset val="1"/>
    </font>
    <font>
      <b val="true"/>
      <sz val="10"/>
      <color rgb="FFFFFFFF"/>
      <name val="Arial"/>
      <family val="0"/>
      <charset val="1"/>
    </font>
    <font>
      <sz val="9"/>
      <color rgb="FF8C5A00"/>
      <name val="Arial"/>
      <family val="0"/>
      <charset val="1"/>
    </font>
    <font>
      <sz val="9"/>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4171D"/>
        <bgColor rgb="FF000000"/>
      </patternFill>
    </fill>
    <fill>
      <patternFill patternType="solid">
        <fgColor rgb="FFF2F2F2"/>
        <bgColor rgb="FFFFFFFF"/>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2"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6" fontId="10" fillId="2" borderId="0" xfId="0" applyFont="true" applyBorder="fals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65" fontId="11" fillId="0" borderId="1" xfId="0" applyFont="true" applyBorder="true" applyAlignment="tru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left" vertical="center" textRotation="0" wrapText="tru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7" fontId="10" fillId="2" borderId="0" xfId="0" applyFont="true" applyBorder="false" applyAlignment="true" applyProtection="false">
      <alignment horizontal="general" vertical="bottom" textRotation="0" wrapText="false" indent="0" shrinkToFit="false"/>
      <protection locked="true" hidden="false"/>
    </xf>
    <xf numFmtId="168" fontId="10" fillId="2" borderId="0" xfId="0" applyFont="true" applyBorder="fals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8" fontId="11" fillId="0" borderId="0" xfId="0" applyFont="true" applyBorder="fals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70" fontId="10" fillId="2"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71" fontId="11"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5" fontId="15" fillId="0" borderId="0" xfId="0" applyFont="true" applyBorder="false" applyAlignment="true" applyProtection="false">
      <alignment horizontal="general" vertical="bottom" textRotation="0" wrapText="false" indent="0" shrinkToFit="false"/>
      <protection locked="true" hidden="false"/>
    </xf>
    <xf numFmtId="165" fontId="16" fillId="0" borderId="0" xfId="0" applyFont="true" applyBorder="false" applyAlignment="true" applyProtection="false">
      <alignment horizontal="general" vertical="bottom" textRotation="0" wrapText="false" indent="0" shrinkToFit="false"/>
      <protection locked="true" hidden="false"/>
    </xf>
    <xf numFmtId="165" fontId="14"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bottom" textRotation="0" wrapText="false" indent="0" shrinkToFit="false"/>
      <protection locked="true" hidden="false"/>
    </xf>
    <xf numFmtId="164" fontId="14" fillId="4" borderId="0" xfId="0" applyFont="true" applyBorder="false" applyAlignment="true" applyProtection="false">
      <alignment horizontal="general" vertical="bottom" textRotation="0" wrapText="false" indent="0" shrinkToFit="false"/>
      <protection locked="true" hidden="false"/>
    </xf>
    <xf numFmtId="165" fontId="15" fillId="4" borderId="0" xfId="0" applyFont="true" applyBorder="false" applyAlignment="true" applyProtection="false">
      <alignment horizontal="general" vertical="bottom" textRotation="0" wrapText="false" indent="0" shrinkToFit="false"/>
      <protection locked="true" hidden="false"/>
    </xf>
    <xf numFmtId="165" fontId="16" fillId="4" borderId="0" xfId="0" applyFont="true" applyBorder="false" applyAlignment="true" applyProtection="false">
      <alignment horizontal="general" vertical="bottom" textRotation="0" wrapText="false" indent="0" shrinkToFit="false"/>
      <protection locked="true" hidden="false"/>
    </xf>
    <xf numFmtId="165" fontId="14" fillId="4" borderId="0" xfId="0" applyFont="true" applyBorder="false" applyAlignment="true" applyProtection="false">
      <alignment horizontal="general" vertical="bottom" textRotation="0" wrapText="false" indent="0" shrinkToFit="false"/>
      <protection locked="true" hidden="false"/>
    </xf>
    <xf numFmtId="164" fontId="17" fillId="4" borderId="0" xfId="0" applyFont="true" applyBorder="false" applyAlignment="true" applyProtection="false">
      <alignment horizontal="general" vertical="bottom" textRotation="0" wrapText="false" indent="0" shrinkToFit="false"/>
      <protection locked="true" hidden="false"/>
    </xf>
    <xf numFmtId="168" fontId="15" fillId="0" borderId="0" xfId="0" applyFont="true" applyBorder="false" applyAlignment="true" applyProtection="false">
      <alignment horizontal="general" vertical="bottom" textRotation="0" wrapText="false" indent="0" shrinkToFit="false"/>
      <protection locked="true" hidden="false"/>
    </xf>
    <xf numFmtId="168" fontId="16" fillId="0" borderId="0" xfId="0" applyFont="true" applyBorder="false" applyAlignment="true" applyProtection="false">
      <alignment horizontal="general" vertical="bottom" textRotation="0" wrapText="false" indent="0" shrinkToFit="false"/>
      <protection locked="true" hidden="false"/>
    </xf>
    <xf numFmtId="168" fontId="14" fillId="0" borderId="0" xfId="0" applyFont="true" applyBorder="false" applyAlignment="true" applyProtection="false">
      <alignment horizontal="general" vertical="bottom" textRotation="0" wrapText="false" indent="0" shrinkToFit="false"/>
      <protection locked="true" hidden="false"/>
    </xf>
    <xf numFmtId="168" fontId="15" fillId="4" borderId="0" xfId="0" applyFont="true" applyBorder="false" applyAlignment="true" applyProtection="false">
      <alignment horizontal="general" vertical="bottom" textRotation="0" wrapText="false" indent="0" shrinkToFit="false"/>
      <protection locked="true" hidden="false"/>
    </xf>
    <xf numFmtId="168" fontId="16" fillId="4" borderId="0" xfId="0" applyFont="true" applyBorder="false" applyAlignment="true" applyProtection="false">
      <alignment horizontal="general" vertical="bottom" textRotation="0" wrapText="false" indent="0" shrinkToFit="false"/>
      <protection locked="true" hidden="false"/>
    </xf>
    <xf numFmtId="168" fontId="14" fillId="4" borderId="0" xfId="0" applyFont="true" applyBorder="false" applyAlignment="true" applyProtection="false">
      <alignment horizontal="general" vertical="bottom" textRotation="0" wrapText="false" indent="0" shrinkToFit="false"/>
      <protection locked="true" hidden="false"/>
    </xf>
    <xf numFmtId="166" fontId="15" fillId="0" borderId="0" xfId="0" applyFont="true" applyBorder="false" applyAlignment="true" applyProtection="false">
      <alignment horizontal="general" vertical="bottom" textRotation="0" wrapText="false" indent="0" shrinkToFit="false"/>
      <protection locked="true" hidden="false"/>
    </xf>
    <xf numFmtId="166" fontId="16" fillId="0" borderId="0" xfId="0" applyFont="true" applyBorder="false" applyAlignment="true" applyProtection="false">
      <alignment horizontal="general" vertical="bottom" textRotation="0" wrapText="false" indent="0" shrinkToFit="false"/>
      <protection locked="true" hidden="false"/>
    </xf>
    <xf numFmtId="166" fontId="14" fillId="0" borderId="0" xfId="0" applyFont="true" applyBorder="false" applyAlignment="true" applyProtection="false">
      <alignment horizontal="general" vertical="bottom" textRotation="0" wrapText="false" indent="0" shrinkToFit="false"/>
      <protection locked="true" hidden="false"/>
    </xf>
    <xf numFmtId="166" fontId="15" fillId="4" borderId="0" xfId="0" applyFont="true" applyBorder="false" applyAlignment="true" applyProtection="false">
      <alignment horizontal="general" vertical="bottom" textRotation="0" wrapText="false" indent="0" shrinkToFit="false"/>
      <protection locked="true" hidden="false"/>
    </xf>
    <xf numFmtId="166" fontId="16" fillId="4" borderId="0" xfId="0" applyFont="true" applyBorder="false" applyAlignment="true" applyProtection="false">
      <alignment horizontal="general" vertical="bottom" textRotation="0" wrapText="false" indent="0" shrinkToFit="false"/>
      <protection locked="true" hidden="false"/>
    </xf>
    <xf numFmtId="166" fontId="14" fillId="4" borderId="0" xfId="0" applyFont="true" applyBorder="false" applyAlignment="tru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58.5" hidden="false" customHeight="true" outlineLevel="0" collapsed="false">
      <c r="B7" s="6" t="s">
        <v>4</v>
      </c>
    </row>
    <row r="9" customFormat="false" ht="15" hidden="false" customHeight="true" outlineLevel="0" collapsed="false">
      <c r="B9" s="5" t="s">
        <v>5</v>
      </c>
    </row>
    <row r="10" customFormat="false" ht="73.5" hidden="false" customHeight="true" outlineLevel="0" collapsed="false">
      <c r="B10" s="6" t="s">
        <v>6</v>
      </c>
    </row>
    <row r="12" customFormat="false" ht="15" hidden="false" customHeight="true" outlineLevel="0" collapsed="false">
      <c r="B12" s="5" t="s">
        <v>7</v>
      </c>
    </row>
    <row r="13" customFormat="false" ht="103.5" hidden="false" customHeight="true" outlineLevel="0" collapsed="false">
      <c r="B13" s="6" t="s">
        <v>8</v>
      </c>
    </row>
    <row r="15" customFormat="false" ht="15" hidden="false" customHeight="true" outlineLevel="0" collapsed="false">
      <c r="B15" s="5" t="s">
        <v>9</v>
      </c>
    </row>
    <row r="16" customFormat="false" ht="58.5" hidden="false" customHeight="true" outlineLevel="0" collapsed="false">
      <c r="B16" s="6" t="s">
        <v>10</v>
      </c>
    </row>
    <row r="19" customFormat="false" ht="15" hidden="false" customHeight="true" outlineLevel="0" collapsed="false">
      <c r="B19" s="4"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2" min="2" style="1" width="20"/>
    <col collapsed="false" customWidth="true" hidden="false" outlineLevel="0" max="3" min="3" style="1" width="3"/>
    <col collapsed="false" customWidth="true" hidden="false" outlineLevel="0" max="4" min="4" style="1" width="52"/>
  </cols>
  <sheetData>
    <row r="1" customFormat="false" ht="17.25" hidden="false" customHeight="true" outlineLevel="0" collapsed="false">
      <c r="A1" s="7" t="s">
        <v>12</v>
      </c>
    </row>
    <row r="2" customFormat="false" ht="15" hidden="false" customHeight="true" outlineLevel="0" collapsed="false">
      <c r="A2" s="4" t="s">
        <v>13</v>
      </c>
    </row>
    <row r="4" customFormat="false" ht="15" hidden="false" customHeight="true" outlineLevel="0" collapsed="false">
      <c r="A4" s="5" t="s">
        <v>14</v>
      </c>
      <c r="D4" s="5" t="s">
        <v>15</v>
      </c>
    </row>
    <row r="5" customFormat="false" ht="15" hidden="false" customHeight="true" outlineLevel="0" collapsed="false">
      <c r="A5" s="8" t="s">
        <v>16</v>
      </c>
      <c r="B5" s="9" t="n">
        <v>18000000</v>
      </c>
      <c r="D5" s="10" t="s">
        <v>17</v>
      </c>
    </row>
    <row r="6" customFormat="false" ht="15" hidden="false" customHeight="true" outlineLevel="0" collapsed="false">
      <c r="A6" s="8" t="s">
        <v>18</v>
      </c>
      <c r="B6" s="9" t="n">
        <v>41000000</v>
      </c>
      <c r="D6" s="10"/>
    </row>
    <row r="7" customFormat="false" ht="15" hidden="false" customHeight="true" outlineLevel="0" collapsed="false">
      <c r="A7" s="8" t="s">
        <v>19</v>
      </c>
      <c r="B7" s="9" t="n">
        <v>44500000</v>
      </c>
      <c r="D7" s="10"/>
    </row>
    <row r="8" customFormat="false" ht="15" hidden="false" customHeight="true" outlineLevel="0" collapsed="false">
      <c r="A8" s="8" t="s">
        <v>20</v>
      </c>
      <c r="B8" s="11" t="n">
        <v>26500000</v>
      </c>
      <c r="D8" s="10"/>
    </row>
    <row r="9" customFormat="false" ht="15" hidden="false" customHeight="true" outlineLevel="0" collapsed="false">
      <c r="A9" s="8" t="s">
        <v>21</v>
      </c>
      <c r="B9" s="11" t="n">
        <v>-27200000</v>
      </c>
      <c r="D9" s="10"/>
    </row>
    <row r="10" customFormat="false" ht="15" hidden="false" customHeight="true" outlineLevel="0" collapsed="false">
      <c r="D10" s="10"/>
    </row>
    <row r="11" customFormat="false" ht="15" hidden="false" customHeight="true" outlineLevel="0" collapsed="false">
      <c r="A11" s="5" t="s">
        <v>22</v>
      </c>
      <c r="D11" s="10"/>
    </row>
    <row r="12" customFormat="false" ht="15" hidden="false" customHeight="true" outlineLevel="0" collapsed="false">
      <c r="A12" s="8" t="s">
        <v>23</v>
      </c>
      <c r="B12" s="12" t="n">
        <f aca="false">B7-B5</f>
        <v>26500000</v>
      </c>
      <c r="D12" s="10"/>
    </row>
    <row r="13" customFormat="false" ht="15" hidden="false" customHeight="true" outlineLevel="0" collapsed="false">
      <c r="A13" s="8" t="s">
        <v>24</v>
      </c>
      <c r="B13" s="12" t="n">
        <f aca="false">B6-B5</f>
        <v>23000000</v>
      </c>
      <c r="D13" s="10"/>
    </row>
    <row r="14" customFormat="false" ht="15" hidden="false" customHeight="true" outlineLevel="0" collapsed="false">
      <c r="A14" s="8" t="s">
        <v>25</v>
      </c>
      <c r="B14" s="12" t="n">
        <f aca="false">-(B6-B5)</f>
        <v>-23000000</v>
      </c>
      <c r="D14" s="10"/>
    </row>
    <row r="15" customFormat="false" ht="15" hidden="false" customHeight="true" outlineLevel="0" collapsed="false">
      <c r="A15" s="13" t="s">
        <v>26</v>
      </c>
      <c r="B15" s="14" t="n">
        <f aca="false">B7-B6</f>
        <v>3500000</v>
      </c>
      <c r="D15" s="10"/>
    </row>
    <row r="16" customFormat="false" ht="15" hidden="false" customHeight="true" outlineLevel="0" collapsed="false">
      <c r="A16" s="8" t="s">
        <v>27</v>
      </c>
      <c r="B16" s="12" t="n">
        <f aca="false">B12+B14</f>
        <v>3500000</v>
      </c>
      <c r="D16" s="10"/>
    </row>
    <row r="17" customFormat="false" ht="15" hidden="false" customHeight="true" outlineLevel="0" collapsed="false">
      <c r="A17" s="8" t="s">
        <v>28</v>
      </c>
      <c r="B17" s="12" t="n">
        <f aca="false">B9</f>
        <v>-27200000</v>
      </c>
      <c r="D17" s="10"/>
    </row>
    <row r="18" customFormat="false" ht="15" hidden="false" customHeight="true" outlineLevel="0" collapsed="false">
      <c r="A18" s="8" t="s">
        <v>29</v>
      </c>
      <c r="B18" s="12" t="n">
        <f aca="false">-B14</f>
        <v>23000000</v>
      </c>
      <c r="D18" s="10"/>
    </row>
    <row r="19" customFormat="false" ht="15" hidden="false" customHeight="true" outlineLevel="0" collapsed="false">
      <c r="A19" s="13" t="s">
        <v>30</v>
      </c>
      <c r="B19" s="14" t="n">
        <f aca="false">B9-B14</f>
        <v>-4200000</v>
      </c>
      <c r="D19" s="10"/>
    </row>
    <row r="20" customFormat="false" ht="15" hidden="false" customHeight="true" outlineLevel="0" collapsed="false">
      <c r="A20" s="13" t="s">
        <v>31</v>
      </c>
      <c r="B20" s="14" t="n">
        <f aca="false">B8+B9</f>
        <v>-700000</v>
      </c>
      <c r="D20" s="10"/>
    </row>
    <row r="21" customFormat="false" ht="15" hidden="false" customHeight="true" outlineLevel="0" collapsed="false">
      <c r="A21" s="8" t="s">
        <v>32</v>
      </c>
      <c r="B21" s="12" t="n">
        <f aca="false">B15</f>
        <v>3500000</v>
      </c>
      <c r="D21" s="10"/>
    </row>
    <row r="22" customFormat="false" ht="15" hidden="false" customHeight="true" outlineLevel="0" collapsed="false">
      <c r="A22" s="8" t="s">
        <v>33</v>
      </c>
      <c r="B22" s="12" t="n">
        <f aca="false">B19</f>
        <v>-4200000</v>
      </c>
      <c r="D22" s="10"/>
    </row>
    <row r="23" customFormat="false" ht="15" hidden="false" customHeight="true" outlineLevel="0" collapsed="false">
      <c r="D23" s="10"/>
    </row>
    <row r="24" customFormat="false" ht="15" hidden="false" customHeight="true" outlineLevel="0" collapsed="false">
      <c r="D24" s="10"/>
    </row>
    <row r="25" customFormat="false" ht="15" hidden="false" customHeight="true" outlineLevel="0" collapsed="false">
      <c r="D25" s="10"/>
    </row>
    <row r="26" customFormat="false" ht="15" hidden="false" customHeight="true" outlineLevel="0" collapsed="false">
      <c r="D26" s="10"/>
    </row>
  </sheetData>
  <mergeCells count="1">
    <mergeCell ref="D5:D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3" min="2" style="1" width="20"/>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34</v>
      </c>
    </row>
    <row r="2" customFormat="false" ht="15" hidden="false" customHeight="true" outlineLevel="0" collapsed="false">
      <c r="A2" s="4" t="s">
        <v>35</v>
      </c>
    </row>
    <row r="4" customFormat="false" ht="15" hidden="false" customHeight="true" outlineLevel="0" collapsed="false">
      <c r="A4" s="5" t="s">
        <v>36</v>
      </c>
      <c r="E4" s="5" t="s">
        <v>37</v>
      </c>
    </row>
    <row r="5" customFormat="false" ht="15" hidden="false" customHeight="true" outlineLevel="0" collapsed="false">
      <c r="A5" s="8" t="s">
        <v>38</v>
      </c>
      <c r="B5" s="9" t="n">
        <v>20000000</v>
      </c>
      <c r="E5" s="10" t="s">
        <v>39</v>
      </c>
    </row>
    <row r="6" customFormat="false" ht="15" hidden="false" customHeight="true" outlineLevel="0" collapsed="false">
      <c r="A6" s="8" t="s">
        <v>40</v>
      </c>
      <c r="B6" s="9" t="n">
        <v>400000000</v>
      </c>
      <c r="E6" s="10"/>
    </row>
    <row r="7" customFormat="false" ht="15" hidden="false" customHeight="true" outlineLevel="0" collapsed="false">
      <c r="A7" s="8" t="s">
        <v>41</v>
      </c>
      <c r="B7" s="15" t="n">
        <f aca="false">B5/B6</f>
        <v>0.05</v>
      </c>
      <c r="E7" s="10"/>
    </row>
    <row r="8" customFormat="false" ht="15" hidden="false" customHeight="true" outlineLevel="0" collapsed="false">
      <c r="A8" s="8" t="s">
        <v>42</v>
      </c>
      <c r="B8" s="16" t="n">
        <v>0.015</v>
      </c>
      <c r="E8" s="10"/>
    </row>
    <row r="9" customFormat="false" ht="15" hidden="false" customHeight="true" outlineLevel="0" collapsed="false">
      <c r="A9" s="8" t="s">
        <v>43</v>
      </c>
      <c r="B9" s="9" t="n">
        <v>10380000</v>
      </c>
      <c r="E9" s="10"/>
    </row>
    <row r="10" customFormat="false" ht="15" hidden="false" customHeight="true" outlineLevel="0" collapsed="false">
      <c r="A10" s="8" t="s">
        <v>44</v>
      </c>
      <c r="B10" s="9" t="n">
        <v>260000</v>
      </c>
      <c r="E10" s="10"/>
    </row>
    <row r="11" customFormat="false" ht="15" hidden="false" customHeight="true" outlineLevel="0" collapsed="false">
      <c r="A11" s="8" t="s">
        <v>45</v>
      </c>
      <c r="B11" s="9" t="n">
        <v>140000</v>
      </c>
      <c r="E11" s="10"/>
    </row>
    <row r="12" customFormat="false" ht="15" hidden="false" customHeight="true" outlineLevel="0" collapsed="false">
      <c r="E12" s="10"/>
    </row>
    <row r="13" customFormat="false" ht="15" hidden="false" customHeight="true" outlineLevel="0" collapsed="false">
      <c r="A13" s="5" t="s">
        <v>46</v>
      </c>
      <c r="E13" s="10"/>
    </row>
    <row r="14" customFormat="false" ht="15" hidden="false" customHeight="true" outlineLevel="0" collapsed="false">
      <c r="A14" s="8" t="s">
        <v>47</v>
      </c>
      <c r="B14" s="11" t="n">
        <v>210000000</v>
      </c>
      <c r="E14" s="10"/>
    </row>
    <row r="15" customFormat="false" ht="15" hidden="false" customHeight="true" outlineLevel="0" collapsed="false">
      <c r="A15" s="8" t="s">
        <v>48</v>
      </c>
      <c r="B15" s="11" t="n">
        <v>48000000</v>
      </c>
      <c r="E15" s="10"/>
    </row>
    <row r="16" customFormat="false" ht="15" hidden="false" customHeight="true" outlineLevel="0" collapsed="false">
      <c r="A16" s="8" t="s">
        <v>49</v>
      </c>
      <c r="B16" s="11" t="n">
        <v>-30000000</v>
      </c>
      <c r="E16" s="10"/>
    </row>
    <row r="17" customFormat="false" ht="15" hidden="false" customHeight="true" outlineLevel="0" collapsed="false">
      <c r="A17" s="8" t="s">
        <v>50</v>
      </c>
      <c r="B17" s="11" t="n">
        <v>900000</v>
      </c>
      <c r="E17" s="10"/>
    </row>
    <row r="18" customFormat="false" ht="15" hidden="false" customHeight="true" outlineLevel="0" collapsed="false">
      <c r="A18" s="8" t="s">
        <v>51</v>
      </c>
      <c r="B18" s="11" t="n">
        <v>-7600000</v>
      </c>
      <c r="E18" s="10"/>
    </row>
    <row r="19" customFormat="false" ht="15" hidden="false" customHeight="true" outlineLevel="0" collapsed="false">
      <c r="A19" s="8" t="s">
        <v>52</v>
      </c>
      <c r="B19" s="11" t="n">
        <v>-1200000</v>
      </c>
      <c r="E19" s="10"/>
    </row>
    <row r="20" customFormat="false" ht="15" hidden="false" customHeight="true" outlineLevel="0" collapsed="false">
      <c r="A20" s="8" t="s">
        <v>53</v>
      </c>
      <c r="B20" s="11" t="n">
        <v>26000000</v>
      </c>
      <c r="E20" s="10"/>
    </row>
    <row r="21" customFormat="false" ht="15" hidden="false" customHeight="true" outlineLevel="0" collapsed="false">
      <c r="A21" s="8" t="s">
        <v>54</v>
      </c>
      <c r="B21" s="11" t="n">
        <v>-5400000</v>
      </c>
      <c r="E21" s="10"/>
    </row>
    <row r="22" customFormat="false" ht="15" hidden="false" customHeight="true" outlineLevel="0" collapsed="false">
      <c r="A22" s="8" t="s">
        <v>55</v>
      </c>
      <c r="B22" s="11" t="n">
        <v>-3100000</v>
      </c>
      <c r="E22" s="10"/>
    </row>
    <row r="23" customFormat="false" ht="15" hidden="false" customHeight="true" outlineLevel="0" collapsed="false">
      <c r="A23" s="17" t="s">
        <v>56</v>
      </c>
      <c r="B23" s="18" t="n">
        <f aca="false">SUM(B14:B22)</f>
        <v>237600000</v>
      </c>
      <c r="E23" s="10"/>
    </row>
    <row r="24" customFormat="false" ht="15" hidden="false" customHeight="true" outlineLevel="0" collapsed="false">
      <c r="E24" s="10"/>
    </row>
    <row r="25" customFormat="false" ht="15" hidden="false" customHeight="true" outlineLevel="0" collapsed="false">
      <c r="A25" s="5" t="s">
        <v>57</v>
      </c>
      <c r="E25" s="10"/>
    </row>
    <row r="26" customFormat="false" ht="15" hidden="false" customHeight="true" outlineLevel="0" collapsed="false">
      <c r="A26" s="4" t="s">
        <v>58</v>
      </c>
      <c r="E26" s="10"/>
    </row>
    <row r="27" customFormat="false" ht="27.75" hidden="false" customHeight="true" outlineLevel="0" collapsed="false">
      <c r="A27" s="19" t="s">
        <v>59</v>
      </c>
      <c r="B27" s="20" t="s">
        <v>60</v>
      </c>
      <c r="C27" s="20" t="s">
        <v>61</v>
      </c>
      <c r="D27" s="20" t="s">
        <v>62</v>
      </c>
      <c r="E27" s="10"/>
    </row>
    <row r="28" customFormat="false" ht="15" hidden="false" customHeight="true" outlineLevel="0" collapsed="false">
      <c r="A28" s="8" t="s">
        <v>63</v>
      </c>
      <c r="B28" s="11" t="n">
        <v>340000000</v>
      </c>
      <c r="C28" s="21" t="n">
        <v>0.02</v>
      </c>
      <c r="D28" s="12" t="n">
        <f aca="false">B28*C28</f>
        <v>6800000</v>
      </c>
      <c r="E28" s="10"/>
    </row>
    <row r="29" customFormat="false" ht="15" hidden="false" customHeight="true" outlineLevel="0" collapsed="false">
      <c r="A29" s="8" t="s">
        <v>64</v>
      </c>
      <c r="B29" s="12" t="n">
        <f aca="false">B5</f>
        <v>20000000</v>
      </c>
      <c r="C29" s="15" t="n">
        <f aca="false">B8</f>
        <v>0.015</v>
      </c>
      <c r="D29" s="12" t="n">
        <f aca="false">B29*C29</f>
        <v>300000</v>
      </c>
    </row>
    <row r="30" customFormat="false" ht="15" hidden="false" customHeight="true" outlineLevel="0" collapsed="false">
      <c r="A30" s="8" t="s">
        <v>65</v>
      </c>
      <c r="B30" s="11" t="n">
        <v>40000000</v>
      </c>
      <c r="C30" s="21" t="n">
        <v>0.0125</v>
      </c>
      <c r="D30" s="12" t="n">
        <f aca="false">B30*C30</f>
        <v>500000</v>
      </c>
    </row>
    <row r="31" customFormat="false" ht="15" hidden="false" customHeight="true" outlineLevel="0" collapsed="false">
      <c r="A31" s="13" t="s">
        <v>66</v>
      </c>
      <c r="B31" s="14" t="n">
        <f aca="false">SUM(B28:B30)</f>
        <v>400000000</v>
      </c>
      <c r="D31" s="14" t="n">
        <f aca="false">SUM(D28:D30)</f>
        <v>7600000</v>
      </c>
    </row>
    <row r="32" customFormat="false" ht="15" hidden="false" customHeight="true" outlineLevel="0" collapsed="false">
      <c r="A32" s="8" t="s">
        <v>67</v>
      </c>
      <c r="B32" s="4" t="str">
        <f aca="false">IF(ABS(D31+B18)&lt;0.5,"agrees","OUT BY "&amp;TEXT(D31+B18,"#,##0"))</f>
        <v>agrees</v>
      </c>
    </row>
    <row r="34" customFormat="false" ht="15" hidden="false" customHeight="true" outlineLevel="0" collapsed="false">
      <c r="A34" s="5" t="s">
        <v>68</v>
      </c>
    </row>
    <row r="35" customFormat="false" ht="27.75" hidden="false" customHeight="true" outlineLevel="0" collapsed="false">
      <c r="A35" s="19" t="s">
        <v>69</v>
      </c>
      <c r="B35" s="20" t="s">
        <v>70</v>
      </c>
      <c r="C35" s="20" t="s">
        <v>71</v>
      </c>
    </row>
    <row r="36" customFormat="false" ht="15" hidden="false" customHeight="true" outlineLevel="0" collapsed="false">
      <c r="A36" s="8" t="s">
        <v>72</v>
      </c>
      <c r="B36" s="12" t="n">
        <f aca="false">B9</f>
        <v>10380000</v>
      </c>
      <c r="C36" s="12" t="n">
        <f aca="false">B36</f>
        <v>10380000</v>
      </c>
    </row>
    <row r="37" customFormat="false" ht="15" hidden="false" customHeight="true" outlineLevel="0" collapsed="false">
      <c r="A37" s="8" t="s">
        <v>48</v>
      </c>
      <c r="B37" s="12" t="n">
        <f aca="false">B15*$B$7</f>
        <v>2400000</v>
      </c>
      <c r="C37" s="12" t="n">
        <f aca="false">C36+B37</f>
        <v>12780000</v>
      </c>
    </row>
    <row r="38" customFormat="false" ht="15" hidden="false" customHeight="true" outlineLevel="0" collapsed="false">
      <c r="A38" s="8" t="s">
        <v>49</v>
      </c>
      <c r="B38" s="12" t="n">
        <f aca="false">B16*$B$7</f>
        <v>-1500000</v>
      </c>
      <c r="C38" s="12" t="n">
        <f aca="false">C37+B38</f>
        <v>11280000</v>
      </c>
    </row>
    <row r="39" customFormat="false" ht="15" hidden="false" customHeight="true" outlineLevel="0" collapsed="false">
      <c r="A39" s="8" t="s">
        <v>50</v>
      </c>
      <c r="B39" s="12" t="n">
        <f aca="false">B17*$B$7</f>
        <v>45000</v>
      </c>
      <c r="C39" s="12" t="n">
        <f aca="false">C38+B39</f>
        <v>11325000</v>
      </c>
    </row>
    <row r="40" customFormat="false" ht="15" hidden="false" customHeight="true" outlineLevel="0" collapsed="false">
      <c r="A40" s="8" t="s">
        <v>51</v>
      </c>
      <c r="B40" s="12" t="n">
        <f aca="false">-D29</f>
        <v>-300000</v>
      </c>
      <c r="C40" s="12" t="n">
        <f aca="false">C39+B40</f>
        <v>11025000</v>
      </c>
    </row>
    <row r="41" customFormat="false" ht="15" hidden="false" customHeight="true" outlineLevel="0" collapsed="false">
      <c r="A41" s="8" t="s">
        <v>52</v>
      </c>
      <c r="B41" s="12" t="n">
        <f aca="false">B19*$B$7</f>
        <v>-60000</v>
      </c>
      <c r="C41" s="12" t="n">
        <f aca="false">C40+B41</f>
        <v>10965000</v>
      </c>
    </row>
    <row r="42" customFormat="false" ht="15" hidden="false" customHeight="true" outlineLevel="0" collapsed="false">
      <c r="A42" s="8" t="s">
        <v>73</v>
      </c>
      <c r="B42" s="12" t="n">
        <f aca="false">B20*$B$7</f>
        <v>1300000</v>
      </c>
      <c r="C42" s="12" t="n">
        <f aca="false">C41+B42</f>
        <v>12265000</v>
      </c>
    </row>
    <row r="43" customFormat="false" ht="15" hidden="false" customHeight="true" outlineLevel="0" collapsed="false">
      <c r="A43" s="8" t="s">
        <v>74</v>
      </c>
      <c r="B43" s="12" t="n">
        <f aca="false">B21*$B$7</f>
        <v>-270000</v>
      </c>
      <c r="C43" s="12" t="n">
        <f aca="false">C42+B43</f>
        <v>11995000</v>
      </c>
    </row>
    <row r="44" customFormat="false" ht="15" hidden="false" customHeight="true" outlineLevel="0" collapsed="false">
      <c r="A44" s="8" t="s">
        <v>75</v>
      </c>
      <c r="B44" s="12" t="n">
        <f aca="false">B22*$B$7</f>
        <v>-155000</v>
      </c>
      <c r="C44" s="12" t="n">
        <f aca="false">C43+B44</f>
        <v>11840000</v>
      </c>
    </row>
    <row r="45" customFormat="false" ht="15" hidden="false" customHeight="true" outlineLevel="0" collapsed="false">
      <c r="A45" s="17" t="s">
        <v>76</v>
      </c>
      <c r="B45" s="18" t="n">
        <f aca="false">C44</f>
        <v>11840000</v>
      </c>
    </row>
    <row r="46" customFormat="false" ht="15" hidden="false" customHeight="true" outlineLevel="0" collapsed="false">
      <c r="A46" s="4" t="s">
        <v>77</v>
      </c>
    </row>
    <row r="48" customFormat="false" ht="15" hidden="false" customHeight="true" outlineLevel="0" collapsed="false">
      <c r="A48" s="5" t="s">
        <v>78</v>
      </c>
    </row>
    <row r="49" customFormat="false" ht="15" hidden="false" customHeight="true" outlineLevel="0" collapsed="false">
      <c r="A49" s="8" t="s">
        <v>79</v>
      </c>
      <c r="B49" s="12" t="n">
        <f aca="false">B23*B7</f>
        <v>11880000</v>
      </c>
    </row>
    <row r="50" customFormat="false" ht="15" hidden="false" customHeight="true" outlineLevel="0" collapsed="false">
      <c r="A50" s="8" t="s">
        <v>80</v>
      </c>
      <c r="B50" s="12" t="n">
        <f aca="false">B45</f>
        <v>11840000</v>
      </c>
    </row>
    <row r="51" customFormat="false" ht="15" hidden="false" customHeight="true" outlineLevel="0" collapsed="false">
      <c r="A51" s="13" t="s">
        <v>81</v>
      </c>
      <c r="B51" s="14" t="n">
        <f aca="false">B50-B49</f>
        <v>-40000</v>
      </c>
    </row>
    <row r="52" customFormat="false" ht="15" hidden="false" customHeight="true" outlineLevel="0" collapsed="false">
      <c r="A52" s="8" t="s">
        <v>82</v>
      </c>
      <c r="B52" s="12" t="n">
        <f aca="false">-B18*B7</f>
        <v>380000</v>
      </c>
    </row>
    <row r="53" customFormat="false" ht="15" hidden="false" customHeight="true" outlineLevel="0" collapsed="false">
      <c r="A53" s="8" t="s">
        <v>83</v>
      </c>
      <c r="B53" s="12" t="n">
        <f aca="false">D29</f>
        <v>300000</v>
      </c>
    </row>
    <row r="54" customFormat="false" ht="15" hidden="false" customHeight="true" outlineLevel="0" collapsed="false">
      <c r="A54" s="8" t="s">
        <v>84</v>
      </c>
      <c r="B54" s="12" t="n">
        <f aca="false">B52-B53</f>
        <v>80000</v>
      </c>
    </row>
    <row r="55" customFormat="false" ht="15" hidden="false" customHeight="true" outlineLevel="0" collapsed="false">
      <c r="A55" s="8" t="s">
        <v>85</v>
      </c>
      <c r="B55" s="12" t="n">
        <f aca="false">B14*B7</f>
        <v>10500000</v>
      </c>
    </row>
    <row r="56" customFormat="false" ht="15" hidden="false" customHeight="true" outlineLevel="0" collapsed="false">
      <c r="A56" s="8" t="s">
        <v>86</v>
      </c>
      <c r="B56" s="12" t="n">
        <f aca="false">B9</f>
        <v>10380000</v>
      </c>
    </row>
    <row r="57" customFormat="false" ht="15" hidden="false" customHeight="true" outlineLevel="0" collapsed="false">
      <c r="A57" s="8" t="s">
        <v>87</v>
      </c>
      <c r="B57" s="12" t="n">
        <f aca="false">B56-B55</f>
        <v>-120000</v>
      </c>
    </row>
    <row r="58" customFormat="false" ht="15" hidden="false" customHeight="true" outlineLevel="0" collapsed="false">
      <c r="A58" s="13" t="s">
        <v>88</v>
      </c>
      <c r="B58" s="14" t="n">
        <f aca="false">B57+B54</f>
        <v>-40000</v>
      </c>
    </row>
    <row r="59" customFormat="false" ht="15" hidden="false" customHeight="true" outlineLevel="0" collapsed="false">
      <c r="A59" s="13" t="s">
        <v>89</v>
      </c>
      <c r="B59" s="14" t="n">
        <f aca="false">B11-B10</f>
        <v>-120000</v>
      </c>
    </row>
  </sheetData>
  <mergeCells count="1">
    <mergeCell ref="E5:E2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6"/>
    <col collapsed="false" customWidth="true" hidden="false" outlineLevel="0" max="5" min="3" style="1" width="18"/>
    <col collapsed="false" customWidth="true" hidden="false" outlineLevel="0" max="6" min="6" style="1" width="3"/>
    <col collapsed="false" customWidth="true" hidden="false" outlineLevel="0" max="7" min="7" style="1" width="52"/>
  </cols>
  <sheetData>
    <row r="1" customFormat="false" ht="17.25" hidden="false" customHeight="true" outlineLevel="0" collapsed="false">
      <c r="A1" s="7" t="s">
        <v>90</v>
      </c>
    </row>
    <row r="2" customFormat="false" ht="15" hidden="false" customHeight="true" outlineLevel="0" collapsed="false">
      <c r="A2" s="4" t="s">
        <v>91</v>
      </c>
    </row>
    <row r="4" customFormat="false" ht="15" hidden="false" customHeight="true" outlineLevel="0" collapsed="false">
      <c r="A4" s="8" t="s">
        <v>92</v>
      </c>
      <c r="B4" s="22" t="n">
        <v>2021</v>
      </c>
      <c r="C4" s="4" t="s">
        <v>93</v>
      </c>
      <c r="G4" s="5" t="s">
        <v>94</v>
      </c>
    </row>
    <row r="5" customFormat="false" ht="15" hidden="false" customHeight="true" outlineLevel="0" collapsed="false">
      <c r="A5" s="8" t="s">
        <v>95</v>
      </c>
      <c r="B5" s="9" t="n">
        <v>6900000</v>
      </c>
      <c r="G5" s="10" t="s">
        <v>96</v>
      </c>
    </row>
    <row r="6" customFormat="false" ht="15" hidden="false" customHeight="true" outlineLevel="0" collapsed="false">
      <c r="A6" s="8" t="s">
        <v>97</v>
      </c>
      <c r="B6" s="9" t="n">
        <v>390000</v>
      </c>
      <c r="G6" s="10"/>
    </row>
    <row r="7" customFormat="false" ht="15" hidden="false" customHeight="true" outlineLevel="0" collapsed="false">
      <c r="A7" s="8" t="s">
        <v>98</v>
      </c>
      <c r="B7" s="16" t="n">
        <v>0.087</v>
      </c>
      <c r="G7" s="10"/>
    </row>
    <row r="8" customFormat="false" ht="15" hidden="false" customHeight="true" outlineLevel="0" collapsed="false">
      <c r="A8" s="8" t="s">
        <v>99</v>
      </c>
      <c r="B8" s="23" t="n">
        <v>1.28</v>
      </c>
      <c r="G8" s="10"/>
    </row>
    <row r="9" customFormat="false" ht="15" hidden="false" customHeight="true" outlineLevel="0" collapsed="false">
      <c r="G9" s="10"/>
    </row>
    <row r="10" customFormat="false" ht="15" hidden="false" customHeight="true" outlineLevel="0" collapsed="false">
      <c r="A10" s="5" t="s">
        <v>100</v>
      </c>
      <c r="G10" s="10"/>
    </row>
    <row r="11" customFormat="false" ht="27.75" hidden="false" customHeight="true" outlineLevel="0" collapsed="false">
      <c r="A11" s="19" t="s">
        <v>101</v>
      </c>
      <c r="B11" s="20" t="s">
        <v>70</v>
      </c>
      <c r="C11" s="20" t="s">
        <v>102</v>
      </c>
      <c r="D11" s="20" t="s">
        <v>103</v>
      </c>
      <c r="G11" s="10"/>
    </row>
    <row r="12" customFormat="false" ht="15" hidden="false" customHeight="true" outlineLevel="0" collapsed="false">
      <c r="A12" s="8" t="s">
        <v>104</v>
      </c>
      <c r="B12" s="11" t="n">
        <v>-2000000</v>
      </c>
      <c r="C12" s="24" t="n">
        <f aca="false">DATE($B$4+1-1,3,15)</f>
        <v>44270</v>
      </c>
      <c r="D12" s="24" t="n">
        <f aca="false">EOMONTH(DATE(YEAR(C12),ROUNDUP(MONTH(C12)/3,0)*3,1),0)</f>
        <v>44286</v>
      </c>
      <c r="G12" s="10"/>
    </row>
    <row r="13" customFormat="false" ht="15" hidden="false" customHeight="true" outlineLevel="0" collapsed="false">
      <c r="A13" s="8" t="s">
        <v>105</v>
      </c>
      <c r="B13" s="11" t="n">
        <v>-1500000</v>
      </c>
      <c r="C13" s="24" t="n">
        <f aca="false">DATE($B$4+1-1,9,20)</f>
        <v>44459</v>
      </c>
      <c r="D13" s="24" t="n">
        <f aca="false">EOMONTH(DATE(YEAR(C13),ROUNDUP(MONTH(C13)/3,0)*3,1),0)</f>
        <v>44469</v>
      </c>
      <c r="G13" s="10"/>
    </row>
    <row r="14" customFormat="false" ht="15" hidden="false" customHeight="true" outlineLevel="0" collapsed="false">
      <c r="A14" s="8" t="s">
        <v>106</v>
      </c>
      <c r="B14" s="11" t="n">
        <v>-2500000</v>
      </c>
      <c r="C14" s="24" t="n">
        <f aca="false">DATE($B$4+2-1,4,12)</f>
        <v>44663</v>
      </c>
      <c r="D14" s="24" t="n">
        <f aca="false">EOMONTH(DATE(YEAR(C14),ROUNDUP(MONTH(C14)/3,0)*3,1),0)</f>
        <v>44742</v>
      </c>
      <c r="G14" s="10"/>
    </row>
    <row r="15" customFormat="false" ht="15" hidden="false" customHeight="true" outlineLevel="0" collapsed="false">
      <c r="A15" s="8" t="s">
        <v>107</v>
      </c>
      <c r="B15" s="11" t="n">
        <v>400000</v>
      </c>
      <c r="C15" s="24" t="n">
        <f aca="false">DATE($B$4+2-1,11,30)</f>
        <v>44895</v>
      </c>
      <c r="D15" s="24" t="n">
        <f aca="false">EOMONTH(DATE(YEAR(C15),ROUNDUP(MONTH(C15)/3,0)*3,1),0)</f>
        <v>44926</v>
      </c>
      <c r="G15" s="10"/>
    </row>
    <row r="16" customFormat="false" ht="15" hidden="false" customHeight="true" outlineLevel="0" collapsed="false">
      <c r="A16" s="8" t="s">
        <v>108</v>
      </c>
      <c r="B16" s="11" t="n">
        <v>-1800000</v>
      </c>
      <c r="C16" s="24" t="n">
        <f aca="false">DATE($B$4+3-1,6,18)</f>
        <v>45095</v>
      </c>
      <c r="D16" s="24" t="n">
        <f aca="false">EOMONTH(DATE(YEAR(C16),ROUNDUP(MONTH(C16)/3,0)*3,1),0)</f>
        <v>45107</v>
      </c>
      <c r="G16" s="10"/>
    </row>
    <row r="17" customFormat="false" ht="15" hidden="false" customHeight="true" outlineLevel="0" collapsed="false">
      <c r="A17" s="8" t="s">
        <v>109</v>
      </c>
      <c r="B17" s="11" t="n">
        <v>1200000</v>
      </c>
      <c r="C17" s="24" t="n">
        <f aca="false">DATE($B$4+3-1,12,15)</f>
        <v>45275</v>
      </c>
      <c r="D17" s="24" t="n">
        <f aca="false">EOMONTH(DATE(YEAR(C17),ROUNDUP(MONTH(C17)/3,0)*3,1),0)</f>
        <v>45291</v>
      </c>
      <c r="G17" s="10"/>
    </row>
    <row r="18" customFormat="false" ht="15" hidden="false" customHeight="true" outlineLevel="0" collapsed="false">
      <c r="A18" s="8" t="s">
        <v>110</v>
      </c>
      <c r="B18" s="11" t="n">
        <v>-1200000</v>
      </c>
      <c r="C18" s="24" t="n">
        <f aca="false">DATE($B$4+4-1,5,10)</f>
        <v>45422</v>
      </c>
      <c r="D18" s="24" t="n">
        <f aca="false">EOMONTH(DATE(YEAR(C18),ROUNDUP(MONTH(C18)/3,0)*3,1),0)</f>
        <v>45473</v>
      </c>
      <c r="G18" s="10"/>
    </row>
    <row r="19" customFormat="false" ht="15" hidden="false" customHeight="true" outlineLevel="0" collapsed="false">
      <c r="A19" s="8" t="s">
        <v>111</v>
      </c>
      <c r="B19" s="11" t="n">
        <v>2600000</v>
      </c>
      <c r="C19" s="24" t="n">
        <f aca="false">DATE($B$4+4-1,10,28)</f>
        <v>45593</v>
      </c>
      <c r="D19" s="24" t="n">
        <f aca="false">EOMONTH(DATE(YEAR(C19),ROUNDUP(MONTH(C19)/3,0)*3,1),0)</f>
        <v>45657</v>
      </c>
      <c r="G19" s="10"/>
    </row>
    <row r="20" customFormat="false" ht="15" hidden="false" customHeight="true" outlineLevel="0" collapsed="false">
      <c r="A20" s="13" t="s">
        <v>112</v>
      </c>
      <c r="B20" s="14" t="n">
        <f aca="false">B5</f>
        <v>6900000</v>
      </c>
      <c r="C20" s="24" t="n">
        <f aca="false">DATE($B$4+5-1,12,31)</f>
        <v>46022</v>
      </c>
      <c r="D20" s="24" t="n">
        <f aca="false">C20</f>
        <v>46022</v>
      </c>
      <c r="G20" s="10"/>
    </row>
    <row r="21" customFormat="false" ht="15" hidden="false" customHeight="true" outlineLevel="0" collapsed="false">
      <c r="A21" s="8" t="s">
        <v>113</v>
      </c>
      <c r="B21" s="12" t="n">
        <f aca="false">B5+B6</f>
        <v>7290000</v>
      </c>
      <c r="G21" s="10"/>
    </row>
    <row r="22" customFormat="false" ht="15" hidden="false" customHeight="true" outlineLevel="0" collapsed="false">
      <c r="G22" s="10"/>
    </row>
    <row r="23" customFormat="false" ht="15" hidden="false" customHeight="true" outlineLevel="0" collapsed="false">
      <c r="A23" s="5" t="s">
        <v>114</v>
      </c>
      <c r="G23" s="10"/>
    </row>
    <row r="24" customFormat="false" ht="15" hidden="false" customHeight="true" outlineLevel="0" collapsed="false">
      <c r="A24" s="8" t="s">
        <v>115</v>
      </c>
      <c r="B24" s="12" t="n">
        <f aca="false">-SUMIF(B12:B19,"&lt;0")</f>
        <v>9000000</v>
      </c>
      <c r="G24" s="10"/>
    </row>
    <row r="25" customFormat="false" ht="15" hidden="false" customHeight="true" outlineLevel="0" collapsed="false">
      <c r="A25" s="8" t="s">
        <v>116</v>
      </c>
      <c r="B25" s="12" t="n">
        <f aca="false">SUMIF(B12:B19,"&gt;0")</f>
        <v>4200000</v>
      </c>
      <c r="G25" s="10"/>
    </row>
    <row r="26" customFormat="false" ht="15" hidden="false" customHeight="true" outlineLevel="0" collapsed="false">
      <c r="A26" s="8" t="s">
        <v>117</v>
      </c>
      <c r="B26" s="25" t="n">
        <f aca="false">B25/B24</f>
        <v>0.466666666666667</v>
      </c>
      <c r="G26" s="10"/>
    </row>
    <row r="27" customFormat="false" ht="15" hidden="false" customHeight="true" outlineLevel="0" collapsed="false">
      <c r="A27" s="8" t="s">
        <v>118</v>
      </c>
      <c r="B27" s="25" t="n">
        <f aca="false">B5/B24</f>
        <v>0.766666666666667</v>
      </c>
      <c r="G27" s="10"/>
    </row>
    <row r="28" customFormat="false" ht="15" hidden="false" customHeight="true" outlineLevel="0" collapsed="false">
      <c r="A28" s="13" t="s">
        <v>119</v>
      </c>
      <c r="B28" s="26" t="n">
        <f aca="false">B26+B27</f>
        <v>1.23333333333333</v>
      </c>
      <c r="G28" s="10"/>
    </row>
    <row r="29" customFormat="false" ht="15" hidden="false" customHeight="true" outlineLevel="0" collapsed="false">
      <c r="A29" s="8" t="s">
        <v>120</v>
      </c>
      <c r="B29" s="25" t="n">
        <f aca="false">(B25+B21)/B24</f>
        <v>1.27666666666667</v>
      </c>
      <c r="C29" s="4" t="s">
        <v>121</v>
      </c>
      <c r="G29" s="10"/>
    </row>
    <row r="30" customFormat="false" ht="15" hidden="false" customHeight="true" outlineLevel="0" collapsed="false">
      <c r="G30" s="10"/>
    </row>
    <row r="31" customFormat="false" ht="15" hidden="false" customHeight="true" outlineLevel="0" collapsed="false">
      <c r="A31" s="5" t="s">
        <v>122</v>
      </c>
    </row>
    <row r="32" customFormat="false" ht="27.75" hidden="false" customHeight="true" outlineLevel="0" collapsed="false">
      <c r="A32" s="19" t="s">
        <v>123</v>
      </c>
      <c r="B32" s="20" t="s">
        <v>61</v>
      </c>
      <c r="C32" s="20" t="s">
        <v>124</v>
      </c>
    </row>
    <row r="33" customFormat="false" ht="15" hidden="false" customHeight="true" outlineLevel="0" collapsed="false">
      <c r="A33" s="8" t="s">
        <v>125</v>
      </c>
      <c r="B33" s="15" t="n">
        <f aca="false">XIRR(B12:B20,C12:C20)</f>
        <v>0.0737740848220843</v>
      </c>
    </row>
    <row r="34" customFormat="false" ht="15" hidden="false" customHeight="true" outlineLevel="0" collapsed="false">
      <c r="A34" s="8" t="s">
        <v>126</v>
      </c>
      <c r="B34" s="15" t="n">
        <f aca="false">XIRR(B12:B20,D12:D20)</f>
        <v>0.0750041382333106</v>
      </c>
      <c r="C34" s="15" t="n">
        <f aca="false">B34-B33</f>
        <v>0.00123005341122624</v>
      </c>
    </row>
    <row r="35" customFormat="false" ht="15" hidden="false" customHeight="true" outlineLevel="0" collapsed="false">
      <c r="A35" s="13" t="s">
        <v>127</v>
      </c>
      <c r="B35" s="27" t="n">
        <f aca="false">XIRR(B44:B52,C44:C52)</f>
        <v>0.0871968929458645</v>
      </c>
      <c r="C35" s="15" t="n">
        <f aca="false">B35-B34</f>
        <v>0.0121927547125539</v>
      </c>
    </row>
    <row r="37" customFormat="false" ht="15" hidden="false" customHeight="true" outlineLevel="0" collapsed="false">
      <c r="A37" s="8" t="s">
        <v>128</v>
      </c>
      <c r="B37" s="15" t="n">
        <f aca="false">B7</f>
        <v>0.087</v>
      </c>
    </row>
    <row r="38" customFormat="false" ht="15" hidden="false" customHeight="true" outlineLevel="0" collapsed="false">
      <c r="A38" s="8" t="s">
        <v>129</v>
      </c>
      <c r="B38" s="15" t="n">
        <f aca="false">B37-B35</f>
        <v>-0.00019689294586453</v>
      </c>
    </row>
    <row r="41" customFormat="false" ht="15" hidden="false" customHeight="true" outlineLevel="0" collapsed="false">
      <c r="A41" s="5" t="s">
        <v>130</v>
      </c>
    </row>
    <row r="42" customFormat="false" ht="15" hidden="false" customHeight="true" outlineLevel="0" collapsed="false">
      <c r="A42" s="28" t="s">
        <v>131</v>
      </c>
      <c r="B42" s="28"/>
      <c r="C42" s="28"/>
      <c r="D42" s="28"/>
      <c r="E42" s="28"/>
    </row>
    <row r="43" customFormat="false" ht="27.75" hidden="false" customHeight="true" outlineLevel="0" collapsed="false">
      <c r="A43" s="19" t="s">
        <v>132</v>
      </c>
      <c r="B43" s="20" t="s">
        <v>70</v>
      </c>
      <c r="C43" s="20" t="s">
        <v>133</v>
      </c>
    </row>
    <row r="44" customFormat="false" ht="15" hidden="false" customHeight="true" outlineLevel="0" collapsed="false">
      <c r="A44" s="8" t="str">
        <f aca="false">A12</f>
        <v>15 March, Year 1</v>
      </c>
      <c r="B44" s="12" t="n">
        <f aca="false">B12</f>
        <v>-2000000</v>
      </c>
      <c r="C44" s="24" t="n">
        <f aca="false">D12</f>
        <v>44286</v>
      </c>
    </row>
    <row r="45" customFormat="false" ht="15" hidden="false" customHeight="true" outlineLevel="0" collapsed="false">
      <c r="A45" s="8" t="str">
        <f aca="false">A13</f>
        <v>20 September, Year 1</v>
      </c>
      <c r="B45" s="12" t="n">
        <f aca="false">B13</f>
        <v>-1500000</v>
      </c>
      <c r="C45" s="24" t="n">
        <f aca="false">D13</f>
        <v>44469</v>
      </c>
    </row>
    <row r="46" customFormat="false" ht="15" hidden="false" customHeight="true" outlineLevel="0" collapsed="false">
      <c r="A46" s="8" t="str">
        <f aca="false">A14</f>
        <v>12 April, Year 2</v>
      </c>
      <c r="B46" s="12" t="n">
        <f aca="false">B14</f>
        <v>-2500000</v>
      </c>
      <c r="C46" s="24" t="n">
        <f aca="false">D14</f>
        <v>44742</v>
      </c>
    </row>
    <row r="47" customFormat="false" ht="15" hidden="false" customHeight="true" outlineLevel="0" collapsed="false">
      <c r="A47" s="8" t="str">
        <f aca="false">A15</f>
        <v>30 November, Year 2</v>
      </c>
      <c r="B47" s="12" t="n">
        <f aca="false">B15</f>
        <v>400000</v>
      </c>
      <c r="C47" s="24" t="n">
        <f aca="false">D15</f>
        <v>44926</v>
      </c>
    </row>
    <row r="48" customFormat="false" ht="15" hidden="false" customHeight="true" outlineLevel="0" collapsed="false">
      <c r="A48" s="8" t="str">
        <f aca="false">A16</f>
        <v>18 June, Year 3</v>
      </c>
      <c r="B48" s="12" t="n">
        <f aca="false">B16</f>
        <v>-1800000</v>
      </c>
      <c r="C48" s="24" t="n">
        <f aca="false">D16</f>
        <v>45107</v>
      </c>
    </row>
    <row r="49" customFormat="false" ht="15" hidden="false" customHeight="true" outlineLevel="0" collapsed="false">
      <c r="A49" s="8" t="str">
        <f aca="false">A17</f>
        <v>15 December, Year 3</v>
      </c>
      <c r="B49" s="12" t="n">
        <f aca="false">B17</f>
        <v>1200000</v>
      </c>
      <c r="C49" s="24" t="n">
        <f aca="false">D17</f>
        <v>45291</v>
      </c>
    </row>
    <row r="50" customFormat="false" ht="15" hidden="false" customHeight="true" outlineLevel="0" collapsed="false">
      <c r="A50" s="8" t="str">
        <f aca="false">A18</f>
        <v>10 May, Year 4</v>
      </c>
      <c r="B50" s="12" t="n">
        <f aca="false">B18</f>
        <v>-1200000</v>
      </c>
      <c r="C50" s="24" t="n">
        <f aca="false">D18</f>
        <v>45473</v>
      </c>
    </row>
    <row r="51" customFormat="false" ht="15" hidden="false" customHeight="true" outlineLevel="0" collapsed="false">
      <c r="A51" s="8" t="str">
        <f aca="false">A19</f>
        <v>28 October, Year 4</v>
      </c>
      <c r="B51" s="12" t="n">
        <f aca="false">B19</f>
        <v>2600000</v>
      </c>
      <c r="C51" s="24" t="n">
        <f aca="false">D19</f>
        <v>45657</v>
      </c>
    </row>
    <row r="52" customFormat="false" ht="15" hidden="false" customHeight="true" outlineLevel="0" collapsed="false">
      <c r="A52" s="8" t="s">
        <v>113</v>
      </c>
      <c r="B52" s="12" t="n">
        <f aca="false">B21</f>
        <v>7290000</v>
      </c>
      <c r="C52" s="24" t="n">
        <f aca="false">D20</f>
        <v>46022</v>
      </c>
    </row>
  </sheetData>
  <mergeCells count="2">
    <mergeCell ref="G5:G30"/>
    <mergeCell ref="A42:E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4" min="2" style="1" width="18"/>
    <col collapsed="false" customWidth="true" hidden="false" outlineLevel="0" max="5" min="5" style="1" width="3"/>
    <col collapsed="false" customWidth="true" hidden="false" outlineLevel="0" max="6" min="6" style="1" width="52"/>
  </cols>
  <sheetData>
    <row r="1" customFormat="false" ht="17.25" hidden="false" customHeight="true" outlineLevel="0" collapsed="false">
      <c r="A1" s="7" t="s">
        <v>134</v>
      </c>
    </row>
    <row r="2" customFormat="false" ht="15" hidden="false" customHeight="true" outlineLevel="0" collapsed="false">
      <c r="A2" s="4" t="s">
        <v>135</v>
      </c>
    </row>
    <row r="4" customFormat="false" ht="15" hidden="false" customHeight="true" outlineLevel="0" collapsed="false">
      <c r="A4" s="5" t="s">
        <v>14</v>
      </c>
      <c r="F4" s="5" t="s">
        <v>136</v>
      </c>
    </row>
    <row r="5" customFormat="false" ht="15" hidden="false" customHeight="true" outlineLevel="0" collapsed="false">
      <c r="A5" s="8" t="s">
        <v>137</v>
      </c>
      <c r="B5" s="9" t="n">
        <v>100000000</v>
      </c>
      <c r="F5" s="10" t="s">
        <v>138</v>
      </c>
    </row>
    <row r="6" customFormat="false" ht="15" hidden="false" customHeight="true" outlineLevel="0" collapsed="false">
      <c r="A6" s="8" t="s">
        <v>139</v>
      </c>
      <c r="B6" s="22" t="n">
        <v>12</v>
      </c>
      <c r="F6" s="10"/>
    </row>
    <row r="7" customFormat="false" ht="15" hidden="false" customHeight="true" outlineLevel="0" collapsed="false">
      <c r="A7" s="8" t="s">
        <v>140</v>
      </c>
      <c r="B7" s="9" t="n">
        <v>3500000</v>
      </c>
      <c r="F7" s="10"/>
    </row>
    <row r="8" customFormat="false" ht="15" hidden="false" customHeight="true" outlineLevel="0" collapsed="false">
      <c r="A8" s="8" t="s">
        <v>141</v>
      </c>
      <c r="B8" s="9" t="n">
        <v>168000000</v>
      </c>
      <c r="F8" s="10"/>
    </row>
    <row r="9" customFormat="false" ht="15" hidden="false" customHeight="true" outlineLevel="0" collapsed="false">
      <c r="A9" s="8" t="s">
        <v>142</v>
      </c>
      <c r="B9" s="29" t="n">
        <v>2.5</v>
      </c>
      <c r="F9" s="10"/>
    </row>
    <row r="10" customFormat="false" ht="15" hidden="false" customHeight="true" outlineLevel="0" collapsed="false">
      <c r="F10" s="10"/>
    </row>
    <row r="11" customFormat="false" ht="15" hidden="false" customHeight="true" outlineLevel="0" collapsed="false">
      <c r="A11" s="8" t="s">
        <v>143</v>
      </c>
      <c r="B11" s="12" t="n">
        <f aca="false">B5+B7</f>
        <v>103500000</v>
      </c>
      <c r="F11" s="10"/>
    </row>
    <row r="12" customFormat="false" ht="15" hidden="false" customHeight="true" outlineLevel="0" collapsed="false">
      <c r="A12" s="8" t="s">
        <v>144</v>
      </c>
      <c r="B12" s="30" t="n">
        <f aca="false">B9+B6/12</f>
        <v>3.5</v>
      </c>
      <c r="F12" s="10"/>
    </row>
    <row r="13" customFormat="false" ht="15" hidden="false" customHeight="true" outlineLevel="0" collapsed="false">
      <c r="F13" s="10"/>
    </row>
    <row r="14" customFormat="false" ht="15" hidden="false" customHeight="true" outlineLevel="0" collapsed="false">
      <c r="A14" s="5" t="s">
        <v>145</v>
      </c>
      <c r="F14" s="10"/>
    </row>
    <row r="15" customFormat="false" ht="27.75" hidden="false" customHeight="true" outlineLevel="0" collapsed="false">
      <c r="A15" s="19" t="s">
        <v>123</v>
      </c>
      <c r="B15" s="20" t="s">
        <v>146</v>
      </c>
      <c r="C15" s="20" t="s">
        <v>61</v>
      </c>
      <c r="D15" s="20" t="s">
        <v>147</v>
      </c>
      <c r="F15" s="10"/>
    </row>
    <row r="16" customFormat="false" ht="15" hidden="false" customHeight="true" outlineLevel="0" collapsed="false">
      <c r="A16" s="8" t="s">
        <v>148</v>
      </c>
      <c r="B16" s="25" t="n">
        <f aca="false">B8/B11</f>
        <v>1.6231884057971</v>
      </c>
      <c r="C16" s="15" t="n">
        <f aca="false">B16^(1/B9)-1</f>
        <v>0.213801228681223</v>
      </c>
      <c r="D16" s="4" t="s">
        <v>149</v>
      </c>
      <c r="F16" s="10"/>
    </row>
    <row r="17" customFormat="false" ht="15" hidden="false" customHeight="true" outlineLevel="0" collapsed="false">
      <c r="A17" s="8" t="s">
        <v>150</v>
      </c>
      <c r="B17" s="25" t="n">
        <f aca="false">B16</f>
        <v>1.6231884057971</v>
      </c>
      <c r="C17" s="15" t="n">
        <f aca="false">B17^(1/B12)-1</f>
        <v>0.148432327675855</v>
      </c>
      <c r="D17" s="4" t="s">
        <v>151</v>
      </c>
      <c r="F17" s="10"/>
    </row>
    <row r="18" customFormat="false" ht="15" hidden="false" customHeight="true" outlineLevel="0" collapsed="false">
      <c r="A18" s="13" t="s">
        <v>152</v>
      </c>
      <c r="B18" s="26" t="n">
        <f aca="false">(B8+B7)/B5</f>
        <v>1.715</v>
      </c>
      <c r="C18" s="27" t="n">
        <f aca="false">B18^(1/B12)-1</f>
        <v>0.166628567696265</v>
      </c>
      <c r="D18" s="4" t="s">
        <v>153</v>
      </c>
      <c r="F18" s="10"/>
    </row>
    <row r="19" customFormat="false" ht="15" hidden="false" customHeight="true" outlineLevel="0" collapsed="false">
      <c r="F19" s="10"/>
    </row>
    <row r="20" customFormat="false" ht="15" hidden="false" customHeight="true" outlineLevel="0" collapsed="false">
      <c r="A20" s="13" t="s">
        <v>154</v>
      </c>
      <c r="B20" s="31" t="n">
        <f aca="false">(C16-C17)*10000</f>
        <v>653.689010053677</v>
      </c>
      <c r="F20" s="10"/>
    </row>
    <row r="21" customFormat="false" ht="15" hidden="false" customHeight="true" outlineLevel="0" collapsed="false">
      <c r="A21" s="13" t="s">
        <v>155</v>
      </c>
      <c r="B21" s="26" t="n">
        <f aca="false">B18-B17</f>
        <v>0.0918115942028985</v>
      </c>
      <c r="F21" s="10"/>
    </row>
    <row r="22" customFormat="false" ht="15" hidden="false" customHeight="true" outlineLevel="0" collapsed="false">
      <c r="F22" s="10"/>
    </row>
    <row r="23" customFormat="false" ht="15" hidden="false" customHeight="true" outlineLevel="0" collapsed="false">
      <c r="F23" s="10"/>
    </row>
    <row r="24" customFormat="false" ht="15" hidden="false" customHeight="true" outlineLevel="0" collapsed="false">
      <c r="F24" s="10"/>
    </row>
  </sheetData>
  <mergeCells count="1">
    <mergeCell ref="F5:F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3" min="2" style="1" width="20"/>
    <col collapsed="false" customWidth="true" hidden="false" outlineLevel="0" max="4" min="4" style="1" width="3"/>
    <col collapsed="false" customWidth="true" hidden="false" outlineLevel="0" max="5" min="5" style="1" width="52"/>
  </cols>
  <sheetData>
    <row r="1" customFormat="false" ht="17.25" hidden="false" customHeight="true" outlineLevel="0" collapsed="false">
      <c r="A1" s="7" t="s">
        <v>156</v>
      </c>
    </row>
    <row r="2" customFormat="false" ht="15" hidden="false" customHeight="true" outlineLevel="0" collapsed="false">
      <c r="A2" s="4" t="s">
        <v>157</v>
      </c>
    </row>
    <row r="4" customFormat="false" ht="15" hidden="false" customHeight="true" outlineLevel="0" collapsed="false">
      <c r="A4" s="5" t="s">
        <v>158</v>
      </c>
      <c r="E4" s="5" t="s">
        <v>159</v>
      </c>
    </row>
    <row r="5" customFormat="false" ht="15" hidden="false" customHeight="true" outlineLevel="0" collapsed="false">
      <c r="A5" s="8" t="s">
        <v>160</v>
      </c>
      <c r="B5" s="9" t="n">
        <v>300000000</v>
      </c>
      <c r="E5" s="10" t="s">
        <v>161</v>
      </c>
    </row>
    <row r="6" customFormat="false" ht="15" hidden="false" customHeight="true" outlineLevel="0" collapsed="false">
      <c r="A6" s="8" t="s">
        <v>162</v>
      </c>
      <c r="B6" s="9" t="n">
        <v>240000000</v>
      </c>
      <c r="E6" s="10"/>
    </row>
    <row r="7" customFormat="false" ht="15" hidden="false" customHeight="true" outlineLevel="0" collapsed="false">
      <c r="A7" s="8" t="s">
        <v>163</v>
      </c>
      <c r="B7" s="9" t="n">
        <v>90000000</v>
      </c>
      <c r="E7" s="10"/>
    </row>
    <row r="8" customFormat="false" ht="15" hidden="false" customHeight="true" outlineLevel="0" collapsed="false">
      <c r="A8" s="8" t="s">
        <v>164</v>
      </c>
      <c r="B8" s="9" t="n">
        <v>330000000</v>
      </c>
      <c r="E8" s="10"/>
    </row>
    <row r="9" customFormat="false" ht="15" hidden="false" customHeight="true" outlineLevel="0" collapsed="false">
      <c r="A9" s="8" t="s">
        <v>165</v>
      </c>
      <c r="B9" s="9" t="n">
        <v>96000000</v>
      </c>
      <c r="E9" s="10"/>
    </row>
    <row r="10" customFormat="false" ht="15" hidden="false" customHeight="true" outlineLevel="0" collapsed="false">
      <c r="A10" s="8" t="s">
        <v>166</v>
      </c>
      <c r="B10" s="16" t="n">
        <v>0.2</v>
      </c>
      <c r="E10" s="10"/>
    </row>
    <row r="11" customFormat="false" ht="15" hidden="false" customHeight="true" outlineLevel="0" collapsed="false">
      <c r="A11" s="8" t="s">
        <v>167</v>
      </c>
      <c r="B11" s="16" t="n">
        <v>-0.1</v>
      </c>
      <c r="E11" s="10"/>
    </row>
    <row r="12" customFormat="false" ht="15" hidden="false" customHeight="true" outlineLevel="0" collapsed="false">
      <c r="E12" s="10"/>
    </row>
    <row r="13" customFormat="false" ht="15" hidden="false" customHeight="true" outlineLevel="0" collapsed="false">
      <c r="A13" s="5" t="s">
        <v>36</v>
      </c>
      <c r="E13" s="10"/>
    </row>
    <row r="14" customFormat="false" ht="15" hidden="false" customHeight="true" outlineLevel="0" collapsed="false">
      <c r="A14" s="8" t="s">
        <v>38</v>
      </c>
      <c r="B14" s="11" t="n">
        <v>15000000</v>
      </c>
      <c r="E14" s="10"/>
    </row>
    <row r="15" customFormat="false" ht="15" hidden="false" customHeight="true" outlineLevel="0" collapsed="false">
      <c r="A15" s="8" t="s">
        <v>168</v>
      </c>
      <c r="B15" s="11" t="n">
        <v>12000000</v>
      </c>
      <c r="E15" s="10"/>
    </row>
    <row r="16" customFormat="false" ht="15" hidden="false" customHeight="true" outlineLevel="0" collapsed="false">
      <c r="A16" s="8" t="s">
        <v>116</v>
      </c>
      <c r="B16" s="11" t="n">
        <v>4500000</v>
      </c>
      <c r="E16" s="10"/>
    </row>
    <row r="17" customFormat="false" ht="15" hidden="false" customHeight="true" outlineLevel="0" collapsed="false">
      <c r="A17" s="8" t="s">
        <v>169</v>
      </c>
      <c r="B17" s="15" t="n">
        <f aca="false">B14/B5</f>
        <v>0.05</v>
      </c>
      <c r="E17" s="10"/>
    </row>
    <row r="18" customFormat="false" ht="15" hidden="false" customHeight="true" outlineLevel="0" collapsed="false">
      <c r="E18" s="10"/>
    </row>
    <row r="19" customFormat="false" ht="15" hidden="false" customHeight="true" outlineLevel="0" collapsed="false">
      <c r="A19" s="5" t="s">
        <v>170</v>
      </c>
      <c r="E19" s="10"/>
    </row>
    <row r="20" customFormat="false" ht="27.75" hidden="false" customHeight="true" outlineLevel="0" collapsed="false">
      <c r="A20" s="19" t="s">
        <v>69</v>
      </c>
      <c r="B20" s="20" t="s">
        <v>171</v>
      </c>
      <c r="C20" s="20" t="s">
        <v>172</v>
      </c>
      <c r="E20" s="10"/>
    </row>
    <row r="21" customFormat="false" ht="15" hidden="false" customHeight="true" outlineLevel="0" collapsed="false">
      <c r="A21" s="8" t="s">
        <v>173</v>
      </c>
      <c r="B21" s="12" t="n">
        <f aca="false">B8</f>
        <v>330000000</v>
      </c>
      <c r="C21" s="12" t="n">
        <f aca="false">B8*(1+$B$11)</f>
        <v>297000000</v>
      </c>
      <c r="E21" s="10"/>
    </row>
    <row r="22" customFormat="false" ht="15" hidden="false" customHeight="true" outlineLevel="0" collapsed="false">
      <c r="A22" s="8" t="s">
        <v>174</v>
      </c>
      <c r="B22" s="12" t="n">
        <f aca="false">B7+B21</f>
        <v>420000000</v>
      </c>
      <c r="C22" s="12" t="n">
        <f aca="false">B7+C21</f>
        <v>387000000</v>
      </c>
      <c r="E22" s="10"/>
    </row>
    <row r="23" customFormat="false" ht="15" hidden="false" customHeight="true" outlineLevel="0" collapsed="false">
      <c r="A23" s="8" t="s">
        <v>175</v>
      </c>
      <c r="B23" s="12" t="n">
        <f aca="false">-B6</f>
        <v>-240000000</v>
      </c>
      <c r="C23" s="12" t="n">
        <f aca="false">-B6</f>
        <v>-240000000</v>
      </c>
      <c r="E23" s="10"/>
    </row>
    <row r="24" customFormat="false" ht="15" hidden="false" customHeight="true" outlineLevel="0" collapsed="false">
      <c r="A24" s="8" t="s">
        <v>176</v>
      </c>
      <c r="B24" s="12" t="n">
        <f aca="false">B22+B23</f>
        <v>180000000</v>
      </c>
      <c r="C24" s="12" t="n">
        <f aca="false">C22+C23</f>
        <v>147000000</v>
      </c>
      <c r="E24" s="10"/>
    </row>
    <row r="25" customFormat="false" ht="15" hidden="false" customHeight="true" outlineLevel="0" collapsed="false">
      <c r="A25" s="8" t="s">
        <v>177</v>
      </c>
      <c r="B25" s="12" t="n">
        <f aca="false">-B9</f>
        <v>-96000000</v>
      </c>
      <c r="C25" s="12" t="n">
        <f aca="false">-B9</f>
        <v>-96000000</v>
      </c>
      <c r="E25" s="10"/>
    </row>
    <row r="26" customFormat="false" ht="15" hidden="false" customHeight="true" outlineLevel="0" collapsed="false">
      <c r="A26" s="8" t="s">
        <v>178</v>
      </c>
      <c r="B26" s="12" t="n">
        <f aca="false">B24+B25</f>
        <v>84000000</v>
      </c>
      <c r="C26" s="12" t="n">
        <f aca="false">C24+C25</f>
        <v>51000000</v>
      </c>
      <c r="E26" s="10"/>
    </row>
    <row r="27" customFormat="false" ht="15" hidden="false" customHeight="true" outlineLevel="0" collapsed="false">
      <c r="A27" s="8" t="s">
        <v>179</v>
      </c>
      <c r="B27" s="12" t="n">
        <f aca="false">B9*$B$10/(1-$B$10)</f>
        <v>24000000</v>
      </c>
      <c r="C27" s="12" t="n">
        <f aca="false">B9*$B$10/(1-$B$10)</f>
        <v>24000000</v>
      </c>
      <c r="E27" s="10"/>
    </row>
    <row r="28" customFormat="false" ht="15" hidden="false" customHeight="true" outlineLevel="0" collapsed="false">
      <c r="A28" s="8" t="s">
        <v>180</v>
      </c>
      <c r="B28" s="12" t="n">
        <f aca="false">B26-B27</f>
        <v>60000000</v>
      </c>
      <c r="C28" s="12" t="n">
        <f aca="false">C26-C27</f>
        <v>27000000</v>
      </c>
      <c r="E28" s="10"/>
    </row>
    <row r="29" customFormat="false" ht="15" hidden="false" customHeight="true" outlineLevel="0" collapsed="false">
      <c r="A29" s="8" t="s">
        <v>181</v>
      </c>
      <c r="B29" s="12" t="n">
        <f aca="false">B28*(1-$B$10)</f>
        <v>48000000</v>
      </c>
      <c r="C29" s="12" t="n">
        <f aca="false">C28*(1-$B$10)</f>
        <v>21600000</v>
      </c>
      <c r="E29" s="10"/>
    </row>
    <row r="30" customFormat="false" ht="15" hidden="false" customHeight="true" outlineLevel="0" collapsed="false">
      <c r="A30" s="8" t="s">
        <v>182</v>
      </c>
      <c r="B30" s="12" t="n">
        <f aca="false">B28*$B$10</f>
        <v>12000000</v>
      </c>
      <c r="C30" s="12" t="n">
        <f aca="false">C28*$B$10</f>
        <v>5400000</v>
      </c>
      <c r="E30" s="10"/>
    </row>
    <row r="31" customFormat="false" ht="15" hidden="false" customHeight="true" outlineLevel="0" collapsed="false">
      <c r="A31" s="13" t="s">
        <v>183</v>
      </c>
      <c r="B31" s="14" t="n">
        <f aca="false">B27+B30</f>
        <v>36000000</v>
      </c>
      <c r="C31" s="14" t="n">
        <f aca="false">C27+C30</f>
        <v>29400000</v>
      </c>
    </row>
    <row r="32" customFormat="false" ht="15" hidden="false" customHeight="true" outlineLevel="0" collapsed="false">
      <c r="A32" s="8" t="s">
        <v>184</v>
      </c>
      <c r="B32" s="12" t="n">
        <f aca="false">B24*$B$10</f>
        <v>36000000</v>
      </c>
      <c r="C32" s="12" t="n">
        <f aca="false">C24*$B$10</f>
        <v>29400000</v>
      </c>
    </row>
    <row r="33" customFormat="false" ht="15" hidden="false" customHeight="true" outlineLevel="0" collapsed="false">
      <c r="A33" s="13" t="s">
        <v>185</v>
      </c>
      <c r="B33" s="14" t="n">
        <f aca="false">B21-B31</f>
        <v>294000000</v>
      </c>
      <c r="C33" s="14" t="n">
        <f aca="false">C21-C31</f>
        <v>267600000</v>
      </c>
    </row>
    <row r="35" customFormat="false" ht="15" hidden="false" customHeight="true" outlineLevel="0" collapsed="false">
      <c r="A35" s="5" t="s">
        <v>186</v>
      </c>
    </row>
    <row r="36" customFormat="false" ht="27.75" hidden="false" customHeight="true" outlineLevel="0" collapsed="false">
      <c r="A36" s="19" t="s">
        <v>187</v>
      </c>
      <c r="B36" s="20" t="s">
        <v>188</v>
      </c>
      <c r="C36" s="20" t="s">
        <v>189</v>
      </c>
    </row>
    <row r="37" customFormat="false" ht="15" hidden="false" customHeight="true" outlineLevel="0" collapsed="false">
      <c r="A37" s="8" t="s">
        <v>190</v>
      </c>
      <c r="B37" s="12" t="n">
        <f aca="false">$B$21*$B$17</f>
        <v>16500000</v>
      </c>
      <c r="C37" s="12" t="n">
        <f aca="false">$B$33*$B$17</f>
        <v>14700000</v>
      </c>
    </row>
    <row r="38" customFormat="false" ht="15" hidden="false" customHeight="true" outlineLevel="0" collapsed="false">
      <c r="A38" s="8" t="s">
        <v>116</v>
      </c>
      <c r="B38" s="12" t="n">
        <f aca="false">$B$16</f>
        <v>4500000</v>
      </c>
      <c r="C38" s="12" t="n">
        <f aca="false">$B$16</f>
        <v>4500000</v>
      </c>
    </row>
    <row r="39" customFormat="false" ht="15" hidden="false" customHeight="true" outlineLevel="0" collapsed="false">
      <c r="A39" s="8" t="s">
        <v>191</v>
      </c>
      <c r="B39" s="12" t="n">
        <f aca="false">B37+B38</f>
        <v>21000000</v>
      </c>
      <c r="C39" s="12" t="n">
        <f aca="false">C37+C38</f>
        <v>19200000</v>
      </c>
    </row>
    <row r="40" customFormat="false" ht="15" hidden="false" customHeight="true" outlineLevel="0" collapsed="false">
      <c r="A40" s="13" t="s">
        <v>119</v>
      </c>
      <c r="B40" s="26" t="n">
        <f aca="false">B39/$B$15</f>
        <v>1.75</v>
      </c>
      <c r="C40" s="26" t="n">
        <f aca="false">C39/$B$15</f>
        <v>1.6</v>
      </c>
    </row>
    <row r="42" customFormat="false" ht="15" hidden="false" customHeight="true" outlineLevel="0" collapsed="false">
      <c r="A42" s="8" t="s">
        <v>192</v>
      </c>
      <c r="B42" s="25" t="n">
        <f aca="false">B40-C40</f>
        <v>0.15</v>
      </c>
    </row>
    <row r="43" customFormat="false" ht="15" hidden="false" customHeight="true" outlineLevel="0" collapsed="false">
      <c r="A43" s="8" t="s">
        <v>193</v>
      </c>
      <c r="B43" s="12" t="n">
        <f aca="false">B39-C39</f>
        <v>1800000</v>
      </c>
    </row>
    <row r="45" customFormat="false" ht="15" hidden="false" customHeight="true" outlineLevel="0" collapsed="false">
      <c r="A45" s="5" t="s">
        <v>194</v>
      </c>
    </row>
    <row r="46" customFormat="false" ht="15" hidden="false" customHeight="true" outlineLevel="0" collapsed="false">
      <c r="A46" s="8" t="s">
        <v>195</v>
      </c>
      <c r="B46" s="12" t="n">
        <f aca="false">B21*B17</f>
        <v>16500000</v>
      </c>
    </row>
    <row r="47" customFormat="false" ht="15" hidden="false" customHeight="true" outlineLevel="0" collapsed="false">
      <c r="A47" s="8" t="s">
        <v>196</v>
      </c>
      <c r="B47" s="12" t="n">
        <f aca="false">C21*B17</f>
        <v>14850000</v>
      </c>
    </row>
    <row r="48" customFormat="false" ht="15" hidden="false" customHeight="true" outlineLevel="0" collapsed="false">
      <c r="A48" s="8" t="s">
        <v>197</v>
      </c>
      <c r="B48" s="15" t="n">
        <f aca="false">B47/B46-1</f>
        <v>-0.1</v>
      </c>
    </row>
    <row r="49" customFormat="false" ht="15" hidden="false" customHeight="true" outlineLevel="0" collapsed="false">
      <c r="A49" s="8" t="s">
        <v>198</v>
      </c>
      <c r="B49" s="12" t="n">
        <f aca="false">B33*B17</f>
        <v>14700000</v>
      </c>
    </row>
    <row r="50" customFormat="false" ht="15" hidden="false" customHeight="true" outlineLevel="0" collapsed="false">
      <c r="A50" s="8" t="s">
        <v>199</v>
      </c>
      <c r="B50" s="12" t="n">
        <f aca="false">C33*B17</f>
        <v>13380000</v>
      </c>
    </row>
    <row r="51" customFormat="false" ht="15" hidden="false" customHeight="true" outlineLevel="0" collapsed="false">
      <c r="A51" s="13" t="s">
        <v>200</v>
      </c>
      <c r="B51" s="27" t="n">
        <f aca="false">B50/B49-1</f>
        <v>-0.0897959183673469</v>
      </c>
    </row>
  </sheetData>
  <mergeCells count="1">
    <mergeCell ref="E5:E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1"/>
    <col collapsed="false" customWidth="true" hidden="false" outlineLevel="0" max="2" min="2" style="1" width="54"/>
    <col collapsed="false" customWidth="true" hidden="false" outlineLevel="0" max="4" min="3" style="1" width="16"/>
    <col collapsed="false" customWidth="true" hidden="false" outlineLevel="0" max="6" min="5" style="1" width="13"/>
    <col collapsed="false" customWidth="true" hidden="false" outlineLevel="0" max="7" min="7" style="1" width="3"/>
    <col collapsed="false" customWidth="true" hidden="false" outlineLevel="0" max="8" min="8" style="1" width="46"/>
  </cols>
  <sheetData>
    <row r="1" customFormat="false" ht="17.25" hidden="false" customHeight="true" outlineLevel="0" collapsed="false">
      <c r="A1" s="7" t="s">
        <v>201</v>
      </c>
    </row>
    <row r="2" customFormat="false" ht="15" hidden="false" customHeight="true" outlineLevel="0" collapsed="false">
      <c r="A2" s="4" t="s">
        <v>202</v>
      </c>
    </row>
    <row r="4" customFormat="false" ht="27.75" hidden="false" customHeight="true" outlineLevel="0" collapsed="false">
      <c r="A4" s="19" t="s">
        <v>203</v>
      </c>
      <c r="B4" s="20" t="s">
        <v>204</v>
      </c>
      <c r="C4" s="20" t="s">
        <v>205</v>
      </c>
      <c r="D4" s="20" t="s">
        <v>206</v>
      </c>
      <c r="E4" s="20" t="s">
        <v>207</v>
      </c>
      <c r="F4" s="20" t="s">
        <v>208</v>
      </c>
      <c r="H4" s="5" t="s">
        <v>209</v>
      </c>
    </row>
    <row r="5" customFormat="false" ht="15" hidden="false" customHeight="true" outlineLevel="0" collapsed="false">
      <c r="A5" s="32" t="s">
        <v>210</v>
      </c>
      <c r="B5" s="33" t="s">
        <v>211</v>
      </c>
      <c r="C5" s="34" t="n">
        <v>26500000</v>
      </c>
      <c r="D5" s="35" t="n">
        <f aca="false">'Case 1 — the exit'!B12</f>
        <v>26500000</v>
      </c>
      <c r="E5" s="36" t="n">
        <f aca="false">D5-C5</f>
        <v>0</v>
      </c>
      <c r="F5" s="37" t="str">
        <f aca="false">IF(ABS(E5)&lt;0.5,"reproduced",IF(ABS(E5)&lt;0.5*3,"rounding","CHECK"))</f>
        <v>reproduced</v>
      </c>
      <c r="H5" s="10" t="s">
        <v>212</v>
      </c>
    </row>
    <row r="6" customFormat="false" ht="15" hidden="false" customHeight="true" outlineLevel="0" collapsed="false">
      <c r="A6" s="38" t="s">
        <v>210</v>
      </c>
      <c r="B6" s="39" t="s">
        <v>24</v>
      </c>
      <c r="C6" s="40" t="n">
        <v>23000000</v>
      </c>
      <c r="D6" s="41" t="n">
        <f aca="false">'Case 1 — the exit'!B13</f>
        <v>23000000</v>
      </c>
      <c r="E6" s="42" t="n">
        <f aca="false">D6-C6</f>
        <v>0</v>
      </c>
      <c r="F6" s="43" t="str">
        <f aca="false">IF(ABS(E6)&lt;0.5,"reproduced",IF(ABS(E6)&lt;0.5*3,"rounding","CHECK"))</f>
        <v>reproduced</v>
      </c>
      <c r="H6" s="10"/>
    </row>
    <row r="7" customFormat="false" ht="15" hidden="false" customHeight="true" outlineLevel="0" collapsed="false">
      <c r="A7" s="32" t="s">
        <v>210</v>
      </c>
      <c r="B7" s="33" t="s">
        <v>213</v>
      </c>
      <c r="C7" s="34" t="n">
        <v>3500000</v>
      </c>
      <c r="D7" s="35" t="n">
        <f aca="false">'Case 1 — the exit'!B15</f>
        <v>3500000</v>
      </c>
      <c r="E7" s="36" t="n">
        <f aca="false">D7-C7</f>
        <v>0</v>
      </c>
      <c r="F7" s="37" t="str">
        <f aca="false">IF(ABS(E7)&lt;0.5,"reproduced",IF(ABS(E7)&lt;0.5*3,"rounding","CHECK"))</f>
        <v>reproduced</v>
      </c>
      <c r="H7" s="10"/>
    </row>
    <row r="8" customFormat="false" ht="15" hidden="false" customHeight="true" outlineLevel="0" collapsed="false">
      <c r="A8" s="38" t="s">
        <v>210</v>
      </c>
      <c r="B8" s="39" t="s">
        <v>214</v>
      </c>
      <c r="C8" s="40" t="n">
        <v>-4200000</v>
      </c>
      <c r="D8" s="41" t="n">
        <f aca="false">'Case 1 — the exit'!B19</f>
        <v>-4200000</v>
      </c>
      <c r="E8" s="42" t="n">
        <f aca="false">D8-C8</f>
        <v>0</v>
      </c>
      <c r="F8" s="43" t="str">
        <f aca="false">IF(ABS(E8)&lt;0.5,"reproduced",IF(ABS(E8)&lt;0.5*3,"rounding","CHECK"))</f>
        <v>reproduced</v>
      </c>
      <c r="H8" s="10"/>
    </row>
    <row r="9" customFormat="false" ht="15" hidden="false" customHeight="true" outlineLevel="0" collapsed="false">
      <c r="A9" s="32" t="s">
        <v>210</v>
      </c>
      <c r="B9" s="33" t="s">
        <v>215</v>
      </c>
      <c r="C9" s="34" t="n">
        <v>-700000</v>
      </c>
      <c r="D9" s="35" t="n">
        <f aca="false">'Case 1 — the exit'!B20</f>
        <v>-700000</v>
      </c>
      <c r="E9" s="36" t="n">
        <f aca="false">D9-C9</f>
        <v>0</v>
      </c>
      <c r="F9" s="37" t="str">
        <f aca="false">IF(ABS(E9)&lt;0.5,"reproduced",IF(ABS(E9)&lt;0.5*3,"rounding","CHECK"))</f>
        <v>reproduced</v>
      </c>
      <c r="H9" s="10"/>
    </row>
    <row r="10" customFormat="false" ht="15" hidden="false" customHeight="true" outlineLevel="0" collapsed="false">
      <c r="A10" s="38" t="s">
        <v>216</v>
      </c>
      <c r="B10" s="39" t="s">
        <v>217</v>
      </c>
      <c r="C10" s="40" t="n">
        <v>7600000</v>
      </c>
      <c r="D10" s="41" t="n">
        <f aca="false">'Case 2 — capital account'!D31</f>
        <v>7600000</v>
      </c>
      <c r="E10" s="42" t="n">
        <f aca="false">D10-C10</f>
        <v>0</v>
      </c>
      <c r="F10" s="43" t="str">
        <f aca="false">IF(ABS(E10)&lt;0.5,"reproduced",IF(ABS(E10)&lt;0.5*3,"rounding","CHECK"))</f>
        <v>reproduced</v>
      </c>
      <c r="H10" s="10"/>
    </row>
    <row r="11" customFormat="false" ht="15" hidden="false" customHeight="true" outlineLevel="0" collapsed="false">
      <c r="A11" s="32" t="s">
        <v>216</v>
      </c>
      <c r="B11" s="33" t="s">
        <v>218</v>
      </c>
      <c r="C11" s="34" t="n">
        <v>2400000</v>
      </c>
      <c r="D11" s="35" t="n">
        <f aca="false">'Case 2 — capital account'!B37</f>
        <v>2400000</v>
      </c>
      <c r="E11" s="36" t="n">
        <f aca="false">D11-C11</f>
        <v>0</v>
      </c>
      <c r="F11" s="37" t="str">
        <f aca="false">IF(ABS(E11)&lt;0.5,"reproduced",IF(ABS(E11)&lt;0.5*3,"rounding","CHECK"))</f>
        <v>reproduced</v>
      </c>
      <c r="H11" s="10"/>
    </row>
    <row r="12" customFormat="false" ht="15" hidden="false" customHeight="true" outlineLevel="0" collapsed="false">
      <c r="A12" s="38" t="s">
        <v>216</v>
      </c>
      <c r="B12" s="39" t="s">
        <v>219</v>
      </c>
      <c r="C12" s="40" t="n">
        <v>-300000</v>
      </c>
      <c r="D12" s="41" t="n">
        <f aca="false">'Case 2 — capital account'!B40</f>
        <v>-300000</v>
      </c>
      <c r="E12" s="42" t="n">
        <f aca="false">D12-C12</f>
        <v>0</v>
      </c>
      <c r="F12" s="43" t="str">
        <f aca="false">IF(ABS(E12)&lt;0.5,"reproduced",IF(ABS(E12)&lt;0.5*3,"rounding","CHECK"))</f>
        <v>reproduced</v>
      </c>
      <c r="H12" s="10"/>
    </row>
    <row r="13" customFormat="false" ht="15" hidden="false" customHeight="true" outlineLevel="0" collapsed="false">
      <c r="A13" s="32" t="s">
        <v>216</v>
      </c>
      <c r="B13" s="33" t="s">
        <v>220</v>
      </c>
      <c r="C13" s="34" t="n">
        <v>1300000</v>
      </c>
      <c r="D13" s="35" t="n">
        <f aca="false">'Case 2 — capital account'!B42</f>
        <v>1300000</v>
      </c>
      <c r="E13" s="36" t="n">
        <f aca="false">D13-C13</f>
        <v>0</v>
      </c>
      <c r="F13" s="37" t="str">
        <f aca="false">IF(ABS(E13)&lt;0.5,"reproduced",IF(ABS(E13)&lt;0.5*3,"rounding","CHECK"))</f>
        <v>reproduced</v>
      </c>
      <c r="H13" s="10"/>
    </row>
    <row r="14" customFormat="false" ht="15" hidden="false" customHeight="true" outlineLevel="0" collapsed="false">
      <c r="A14" s="38" t="s">
        <v>216</v>
      </c>
      <c r="B14" s="39" t="s">
        <v>221</v>
      </c>
      <c r="C14" s="40" t="n">
        <v>-155000</v>
      </c>
      <c r="D14" s="41" t="n">
        <f aca="false">'Case 2 — capital account'!B44</f>
        <v>-155000</v>
      </c>
      <c r="E14" s="42" t="n">
        <f aca="false">D14-C14</f>
        <v>0</v>
      </c>
      <c r="F14" s="43" t="str">
        <f aca="false">IF(ABS(E14)&lt;0.5,"reproduced",IF(ABS(E14)&lt;0.5*3,"rounding","CHECK"))</f>
        <v>reproduced</v>
      </c>
      <c r="H14" s="10"/>
    </row>
    <row r="15" customFormat="false" ht="15" hidden="false" customHeight="true" outlineLevel="0" collapsed="false">
      <c r="A15" s="32" t="s">
        <v>216</v>
      </c>
      <c r="B15" s="33" t="s">
        <v>222</v>
      </c>
      <c r="C15" s="34" t="n">
        <v>11840000</v>
      </c>
      <c r="D15" s="35" t="n">
        <f aca="false">'Case 2 — capital account'!B45</f>
        <v>11840000</v>
      </c>
      <c r="E15" s="36" t="n">
        <f aca="false">D15-C15</f>
        <v>0</v>
      </c>
      <c r="F15" s="37" t="str">
        <f aca="false">IF(ABS(E15)&lt;0.5,"reproduced",IF(ABS(E15)&lt;0.5*3,"rounding","CHECK"))</f>
        <v>reproduced</v>
      </c>
      <c r="H15" s="10"/>
    </row>
    <row r="16" customFormat="false" ht="15" hidden="false" customHeight="true" outlineLevel="0" collapsed="false">
      <c r="A16" s="38" t="s">
        <v>216</v>
      </c>
      <c r="B16" s="39" t="s">
        <v>56</v>
      </c>
      <c r="C16" s="40" t="n">
        <v>237600000</v>
      </c>
      <c r="D16" s="41" t="n">
        <f aca="false">'Case 2 — capital account'!B23</f>
        <v>237600000</v>
      </c>
      <c r="E16" s="42" t="n">
        <f aca="false">D16-C16</f>
        <v>0</v>
      </c>
      <c r="F16" s="43" t="str">
        <f aca="false">IF(ABS(E16)&lt;0.5,"reproduced",IF(ABS(E16)&lt;0.5*3,"rounding","CHECK"))</f>
        <v>reproduced</v>
      </c>
      <c r="H16" s="10"/>
    </row>
    <row r="17" customFormat="false" ht="15" hidden="false" customHeight="true" outlineLevel="0" collapsed="false">
      <c r="A17" s="32" t="s">
        <v>216</v>
      </c>
      <c r="B17" s="33" t="s">
        <v>223</v>
      </c>
      <c r="C17" s="34" t="n">
        <v>11880000</v>
      </c>
      <c r="D17" s="35" t="n">
        <f aca="false">'Case 2 — capital account'!B49</f>
        <v>11880000</v>
      </c>
      <c r="E17" s="36" t="n">
        <f aca="false">D17-C17</f>
        <v>0</v>
      </c>
      <c r="F17" s="37" t="str">
        <f aca="false">IF(ABS(E17)&lt;0.5,"reproduced",IF(ABS(E17)&lt;0.5*3,"rounding","CHECK"))</f>
        <v>reproduced</v>
      </c>
      <c r="H17" s="10"/>
    </row>
    <row r="18" customFormat="false" ht="15" hidden="false" customHeight="true" outlineLevel="0" collapsed="false">
      <c r="A18" s="38" t="s">
        <v>216</v>
      </c>
      <c r="B18" s="39" t="s">
        <v>84</v>
      </c>
      <c r="C18" s="40" t="n">
        <v>80000</v>
      </c>
      <c r="D18" s="41" t="n">
        <f aca="false">'Case 2 — capital account'!B54</f>
        <v>80000</v>
      </c>
      <c r="E18" s="42" t="n">
        <f aca="false">D18-C18</f>
        <v>0</v>
      </c>
      <c r="F18" s="43" t="str">
        <f aca="false">IF(ABS(E18)&lt;0.5,"reproduced",IF(ABS(E18)&lt;0.5*3,"rounding","CHECK"))</f>
        <v>reproduced</v>
      </c>
      <c r="H18" s="10"/>
    </row>
    <row r="19" customFormat="false" ht="15" hidden="false" customHeight="true" outlineLevel="0" collapsed="false">
      <c r="A19" s="32" t="s">
        <v>216</v>
      </c>
      <c r="B19" s="33" t="s">
        <v>87</v>
      </c>
      <c r="C19" s="34" t="n">
        <v>-120000</v>
      </c>
      <c r="D19" s="35" t="n">
        <f aca="false">'Case 2 — capital account'!B57</f>
        <v>-120000</v>
      </c>
      <c r="E19" s="36" t="n">
        <f aca="false">D19-C19</f>
        <v>0</v>
      </c>
      <c r="F19" s="37" t="str">
        <f aca="false">IF(ABS(E19)&lt;0.5,"reproduced",IF(ABS(E19)&lt;0.5*3,"rounding","CHECK"))</f>
        <v>reproduced</v>
      </c>
      <c r="H19" s="10"/>
    </row>
    <row r="20" customFormat="false" ht="15" hidden="false" customHeight="true" outlineLevel="0" collapsed="false">
      <c r="A20" s="38" t="s">
        <v>216</v>
      </c>
      <c r="B20" s="39" t="s">
        <v>224</v>
      </c>
      <c r="C20" s="40" t="n">
        <v>-40000</v>
      </c>
      <c r="D20" s="41" t="n">
        <f aca="false">'Case 2 — capital account'!B58</f>
        <v>-40000</v>
      </c>
      <c r="E20" s="42" t="n">
        <f aca="false">D20-C20</f>
        <v>0</v>
      </c>
      <c r="F20" s="43" t="str">
        <f aca="false">IF(ABS(E20)&lt;0.5,"reproduced",IF(ABS(E20)&lt;0.5*3,"rounding","CHECK"))</f>
        <v>reproduced</v>
      </c>
      <c r="H20" s="10"/>
    </row>
    <row r="21" customFormat="false" ht="15" hidden="false" customHeight="true" outlineLevel="0" collapsed="false">
      <c r="A21" s="32" t="s">
        <v>225</v>
      </c>
      <c r="B21" s="33" t="s">
        <v>226</v>
      </c>
      <c r="C21" s="34" t="n">
        <v>9000000</v>
      </c>
      <c r="D21" s="35" t="n">
        <f aca="false">'Case 3 — your own return'!B24</f>
        <v>9000000</v>
      </c>
      <c r="E21" s="36" t="n">
        <f aca="false">D21-C21</f>
        <v>0</v>
      </c>
      <c r="F21" s="37" t="str">
        <f aca="false">IF(ABS(E21)&lt;0.5,"reproduced",IF(ABS(E21)&lt;0.5*3,"rounding","CHECK"))</f>
        <v>reproduced</v>
      </c>
    </row>
    <row r="22" customFormat="false" ht="15" hidden="false" customHeight="true" outlineLevel="0" collapsed="false">
      <c r="A22" s="38" t="s">
        <v>225</v>
      </c>
      <c r="B22" s="39" t="s">
        <v>116</v>
      </c>
      <c r="C22" s="40" t="n">
        <v>4200000</v>
      </c>
      <c r="D22" s="41" t="n">
        <f aca="false">'Case 3 — your own return'!B25</f>
        <v>4200000</v>
      </c>
      <c r="E22" s="42" t="n">
        <f aca="false">D22-C22</f>
        <v>0</v>
      </c>
      <c r="F22" s="43" t="str">
        <f aca="false">IF(ABS(E22)&lt;0.5,"reproduced",IF(ABS(E22)&lt;0.5*3,"rounding","CHECK"))</f>
        <v>reproduced</v>
      </c>
    </row>
    <row r="23" customFormat="false" ht="15" hidden="false" customHeight="true" outlineLevel="0" collapsed="false">
      <c r="A23" s="32" t="s">
        <v>225</v>
      </c>
      <c r="B23" s="33" t="s">
        <v>117</v>
      </c>
      <c r="C23" s="44" t="n">
        <v>0.47</v>
      </c>
      <c r="D23" s="45" t="n">
        <f aca="false">'Case 3 — your own return'!B26</f>
        <v>0.466666666666667</v>
      </c>
      <c r="E23" s="46" t="n">
        <f aca="false">D23-C23</f>
        <v>-0.0033333333333333</v>
      </c>
      <c r="F23" s="37" t="str">
        <f aca="false">IF(ABS(E23)&lt;0.006,"reproduced",IF(ABS(E23)&lt;0.006*3,"rounding","CHECK"))</f>
        <v>reproduced</v>
      </c>
    </row>
    <row r="24" customFormat="false" ht="15" hidden="false" customHeight="true" outlineLevel="0" collapsed="false">
      <c r="A24" s="38" t="s">
        <v>225</v>
      </c>
      <c r="B24" s="39" t="s">
        <v>118</v>
      </c>
      <c r="C24" s="47" t="n">
        <v>0.77</v>
      </c>
      <c r="D24" s="48" t="n">
        <f aca="false">'Case 3 — your own return'!B27</f>
        <v>0.766666666666667</v>
      </c>
      <c r="E24" s="49" t="n">
        <f aca="false">D24-C24</f>
        <v>-0.0033333333333333</v>
      </c>
      <c r="F24" s="43" t="str">
        <f aca="false">IF(ABS(E24)&lt;0.006,"reproduced",IF(ABS(E24)&lt;0.006*3,"rounding","CHECK"))</f>
        <v>reproduced</v>
      </c>
    </row>
    <row r="25" customFormat="false" ht="15" hidden="false" customHeight="true" outlineLevel="0" collapsed="false">
      <c r="A25" s="32" t="s">
        <v>225</v>
      </c>
      <c r="B25" s="33" t="s">
        <v>119</v>
      </c>
      <c r="C25" s="44" t="n">
        <v>1.23</v>
      </c>
      <c r="D25" s="45" t="n">
        <f aca="false">'Case 3 — your own return'!B28</f>
        <v>1.23333333333333</v>
      </c>
      <c r="E25" s="46" t="n">
        <f aca="false">D25-C25</f>
        <v>0.00333333333333341</v>
      </c>
      <c r="F25" s="37" t="str">
        <f aca="false">IF(ABS(E25)&lt;0.006,"reproduced",IF(ABS(E25)&lt;0.006*3,"rounding","CHECK"))</f>
        <v>reproduced</v>
      </c>
    </row>
    <row r="26" customFormat="false" ht="15" hidden="false" customHeight="true" outlineLevel="0" collapsed="false">
      <c r="A26" s="38" t="s">
        <v>225</v>
      </c>
      <c r="B26" s="39" t="s">
        <v>227</v>
      </c>
      <c r="C26" s="47" t="n">
        <v>1.28</v>
      </c>
      <c r="D26" s="48" t="n">
        <f aca="false">'Case 3 — your own return'!B29</f>
        <v>1.27666666666667</v>
      </c>
      <c r="E26" s="49" t="n">
        <f aca="false">D26-C26</f>
        <v>-0.00333333333333341</v>
      </c>
      <c r="F26" s="43" t="str">
        <f aca="false">IF(ABS(E26)&lt;0.006,"reproduced",IF(ABS(E26)&lt;0.006*3,"rounding","CHECK"))</f>
        <v>reproduced</v>
      </c>
    </row>
    <row r="27" customFormat="false" ht="15" hidden="false" customHeight="true" outlineLevel="0" collapsed="false">
      <c r="A27" s="32" t="s">
        <v>225</v>
      </c>
      <c r="B27" s="33" t="s">
        <v>228</v>
      </c>
      <c r="C27" s="50" t="n">
        <v>0.0738</v>
      </c>
      <c r="D27" s="51" t="n">
        <f aca="false">'Case 3 — your own return'!B33</f>
        <v>0.0737740848220843</v>
      </c>
      <c r="E27" s="52" t="n">
        <f aca="false">D27-C27</f>
        <v>-2.59151779156697E-005</v>
      </c>
      <c r="F27" s="37" t="str">
        <f aca="false">IF(ABS(E27)&lt;0.00006,"reproduced",IF(ABS(E27)&lt;0.00006*3,"rounding","CHECK"))</f>
        <v>reproduced</v>
      </c>
    </row>
    <row r="28" customFormat="false" ht="15" hidden="false" customHeight="true" outlineLevel="0" collapsed="false">
      <c r="A28" s="38" t="s">
        <v>225</v>
      </c>
      <c r="B28" s="39" t="s">
        <v>229</v>
      </c>
      <c r="C28" s="53" t="n">
        <v>0.075</v>
      </c>
      <c r="D28" s="54" t="n">
        <f aca="false">'Case 3 — your own return'!B34</f>
        <v>0.0750041382333106</v>
      </c>
      <c r="E28" s="55" t="n">
        <f aca="false">D28-C28</f>
        <v>4.13823331057994E-006</v>
      </c>
      <c r="F28" s="43" t="str">
        <f aca="false">IF(ABS(E28)&lt;0.00006,"reproduced",IF(ABS(E28)&lt;0.00006*3,"rounding","CHECK"))</f>
        <v>reproduced</v>
      </c>
    </row>
    <row r="29" customFormat="false" ht="15" hidden="false" customHeight="true" outlineLevel="0" collapsed="false">
      <c r="A29" s="32" t="s">
        <v>225</v>
      </c>
      <c r="B29" s="33" t="s">
        <v>230</v>
      </c>
      <c r="C29" s="50" t="n">
        <v>0.0872</v>
      </c>
      <c r="D29" s="51" t="n">
        <f aca="false">'Case 3 — your own return'!B35</f>
        <v>0.0871968929458645</v>
      </c>
      <c r="E29" s="52" t="n">
        <f aca="false">D29-C29</f>
        <v>-3.10705413547607E-006</v>
      </c>
      <c r="F29" s="37" t="str">
        <f aca="false">IF(ABS(E29)&lt;0.00006,"reproduced",IF(ABS(E29)&lt;0.00006*3,"rounding","CHECK"))</f>
        <v>reproduced</v>
      </c>
    </row>
    <row r="30" customFormat="false" ht="15" hidden="false" customHeight="true" outlineLevel="0" collapsed="false">
      <c r="A30" s="38" t="s">
        <v>231</v>
      </c>
      <c r="B30" s="39" t="s">
        <v>232</v>
      </c>
      <c r="C30" s="47" t="n">
        <v>1.62</v>
      </c>
      <c r="D30" s="48" t="n">
        <f aca="false">'Case 4 — the facility'!B16</f>
        <v>1.6231884057971</v>
      </c>
      <c r="E30" s="49" t="n">
        <f aca="false">D30-C30</f>
        <v>0.00318840579710145</v>
      </c>
      <c r="F30" s="43" t="str">
        <f aca="false">IF(ABS(E30)&lt;0.006,"reproduced",IF(ABS(E30)&lt;0.006*3,"rounding","CHECK"))</f>
        <v>reproduced</v>
      </c>
    </row>
    <row r="31" customFormat="false" ht="15" hidden="false" customHeight="true" outlineLevel="0" collapsed="false">
      <c r="A31" s="32" t="s">
        <v>231</v>
      </c>
      <c r="B31" s="33" t="s">
        <v>233</v>
      </c>
      <c r="C31" s="50" t="n">
        <v>0.2138</v>
      </c>
      <c r="D31" s="51" t="n">
        <f aca="false">'Case 4 — the facility'!C16</f>
        <v>0.213801228681223</v>
      </c>
      <c r="E31" s="52" t="n">
        <f aca="false">D31-C31</f>
        <v>1.22868122276465E-006</v>
      </c>
      <c r="F31" s="37" t="str">
        <f aca="false">IF(ABS(E31)&lt;0.00006,"reproduced",IF(ABS(E31)&lt;0.00006*3,"rounding","CHECK"))</f>
        <v>reproduced</v>
      </c>
    </row>
    <row r="32" customFormat="false" ht="15" hidden="false" customHeight="true" outlineLevel="0" collapsed="false">
      <c r="A32" s="38" t="s">
        <v>231</v>
      </c>
      <c r="B32" s="39" t="s">
        <v>234</v>
      </c>
      <c r="C32" s="53" t="n">
        <v>0.1484</v>
      </c>
      <c r="D32" s="54" t="n">
        <f aca="false">'Case 4 — the facility'!C17</f>
        <v>0.148432327675855</v>
      </c>
      <c r="E32" s="55" t="n">
        <f aca="false">D32-C32</f>
        <v>3.23276758550095E-005</v>
      </c>
      <c r="F32" s="43" t="str">
        <f aca="false">IF(ABS(E32)&lt;0.00006,"reproduced",IF(ABS(E32)&lt;0.00006*3,"rounding","CHECK"))</f>
        <v>reproduced</v>
      </c>
    </row>
    <row r="33" customFormat="false" ht="15" hidden="false" customHeight="true" outlineLevel="0" collapsed="false">
      <c r="A33" s="32" t="s">
        <v>231</v>
      </c>
      <c r="B33" s="33" t="s">
        <v>235</v>
      </c>
      <c r="C33" s="44" t="n">
        <v>1.715</v>
      </c>
      <c r="D33" s="45" t="n">
        <f aca="false">'Case 4 — the facility'!B18</f>
        <v>1.715</v>
      </c>
      <c r="E33" s="46" t="n">
        <f aca="false">D33-C33</f>
        <v>0</v>
      </c>
      <c r="F33" s="37" t="str">
        <f aca="false">IF(ABS(E33)&lt;0.006,"reproduced",IF(ABS(E33)&lt;0.006*3,"rounding","CHECK"))</f>
        <v>reproduced</v>
      </c>
    </row>
    <row r="34" customFormat="false" ht="15" hidden="false" customHeight="true" outlineLevel="0" collapsed="false">
      <c r="A34" s="38" t="s">
        <v>231</v>
      </c>
      <c r="B34" s="39" t="s">
        <v>236</v>
      </c>
      <c r="C34" s="53" t="n">
        <v>0.1666</v>
      </c>
      <c r="D34" s="54" t="n">
        <f aca="false">'Case 4 — the facility'!C18</f>
        <v>0.166628567696265</v>
      </c>
      <c r="E34" s="55" t="n">
        <f aca="false">D34-C34</f>
        <v>2.85676962648862E-005</v>
      </c>
      <c r="F34" s="43" t="str">
        <f aca="false">IF(ABS(E34)&lt;0.00006,"reproduced",IF(ABS(E34)&lt;0.00006*3,"rounding","CHECK"))</f>
        <v>reproduced</v>
      </c>
    </row>
    <row r="35" customFormat="false" ht="15" hidden="false" customHeight="true" outlineLevel="0" collapsed="false">
      <c r="A35" s="32" t="s">
        <v>237</v>
      </c>
      <c r="B35" s="33" t="s">
        <v>176</v>
      </c>
      <c r="C35" s="34" t="n">
        <v>180000000</v>
      </c>
      <c r="D35" s="35" t="n">
        <f aca="false">'Case 5 — accrued carry'!B24</f>
        <v>180000000</v>
      </c>
      <c r="E35" s="36" t="n">
        <f aca="false">D35-C35</f>
        <v>0</v>
      </c>
      <c r="F35" s="37" t="str">
        <f aca="false">IF(ABS(E35)&lt;0.5,"reproduced",IF(ABS(E35)&lt;0.5*3,"rounding","CHECK"))</f>
        <v>reproduced</v>
      </c>
    </row>
    <row r="36" customFormat="false" ht="15" hidden="false" customHeight="true" outlineLevel="0" collapsed="false">
      <c r="A36" s="38" t="s">
        <v>237</v>
      </c>
      <c r="B36" s="39" t="s">
        <v>179</v>
      </c>
      <c r="C36" s="40" t="n">
        <v>24000000</v>
      </c>
      <c r="D36" s="41" t="n">
        <f aca="false">'Case 5 — accrued carry'!B27</f>
        <v>24000000</v>
      </c>
      <c r="E36" s="42" t="n">
        <f aca="false">D36-C36</f>
        <v>0</v>
      </c>
      <c r="F36" s="43" t="str">
        <f aca="false">IF(ABS(E36)&lt;0.5,"reproduced",IF(ABS(E36)&lt;0.5*3,"rounding","CHECK"))</f>
        <v>reproduced</v>
      </c>
    </row>
    <row r="37" customFormat="false" ht="15" hidden="false" customHeight="true" outlineLevel="0" collapsed="false">
      <c r="A37" s="32" t="s">
        <v>237</v>
      </c>
      <c r="B37" s="33" t="s">
        <v>181</v>
      </c>
      <c r="C37" s="34" t="n">
        <v>48000000</v>
      </c>
      <c r="D37" s="35" t="n">
        <f aca="false">'Case 5 — accrued carry'!B29</f>
        <v>48000000</v>
      </c>
      <c r="E37" s="36" t="n">
        <f aca="false">D37-C37</f>
        <v>0</v>
      </c>
      <c r="F37" s="37" t="str">
        <f aca="false">IF(ABS(E37)&lt;0.5,"reproduced",IF(ABS(E37)&lt;0.5*3,"rounding","CHECK"))</f>
        <v>reproduced</v>
      </c>
    </row>
    <row r="38" customFormat="false" ht="15" hidden="false" customHeight="true" outlineLevel="0" collapsed="false">
      <c r="A38" s="38" t="s">
        <v>237</v>
      </c>
      <c r="B38" s="39" t="s">
        <v>182</v>
      </c>
      <c r="C38" s="40" t="n">
        <v>12000000</v>
      </c>
      <c r="D38" s="41" t="n">
        <f aca="false">'Case 5 — accrued carry'!B30</f>
        <v>12000000</v>
      </c>
      <c r="E38" s="42" t="n">
        <f aca="false">D38-C38</f>
        <v>0</v>
      </c>
      <c r="F38" s="43" t="str">
        <f aca="false">IF(ABS(E38)&lt;0.5,"reproduced",IF(ABS(E38)&lt;0.5*3,"rounding","CHECK"))</f>
        <v>reproduced</v>
      </c>
    </row>
    <row r="39" customFormat="false" ht="15" hidden="false" customHeight="true" outlineLevel="0" collapsed="false">
      <c r="A39" s="32" t="s">
        <v>237</v>
      </c>
      <c r="B39" s="33" t="s">
        <v>238</v>
      </c>
      <c r="C39" s="34" t="n">
        <v>36000000</v>
      </c>
      <c r="D39" s="35" t="n">
        <f aca="false">'Case 5 — accrued carry'!B31</f>
        <v>36000000</v>
      </c>
      <c r="E39" s="36" t="n">
        <f aca="false">D39-C39</f>
        <v>0</v>
      </c>
      <c r="F39" s="37" t="str">
        <f aca="false">IF(ABS(E39)&lt;0.5,"reproduced",IF(ABS(E39)&lt;0.5*3,"rounding","CHECK"))</f>
        <v>reproduced</v>
      </c>
    </row>
    <row r="40" customFormat="false" ht="15" hidden="false" customHeight="true" outlineLevel="0" collapsed="false">
      <c r="A40" s="38" t="s">
        <v>237</v>
      </c>
      <c r="B40" s="39" t="s">
        <v>185</v>
      </c>
      <c r="C40" s="40" t="n">
        <v>294000000</v>
      </c>
      <c r="D40" s="41" t="n">
        <f aca="false">'Case 5 — accrued carry'!B33</f>
        <v>294000000</v>
      </c>
      <c r="E40" s="42" t="n">
        <f aca="false">D40-C40</f>
        <v>0</v>
      </c>
      <c r="F40" s="43" t="str">
        <f aca="false">IF(ABS(E40)&lt;0.5,"reproduced",IF(ABS(E40)&lt;0.5*3,"rounding","CHECK"))</f>
        <v>reproduced</v>
      </c>
    </row>
    <row r="41" customFormat="false" ht="15" hidden="false" customHeight="true" outlineLevel="0" collapsed="false">
      <c r="A41" s="32" t="s">
        <v>237</v>
      </c>
      <c r="B41" s="33" t="s">
        <v>239</v>
      </c>
      <c r="C41" s="44" t="n">
        <v>1.75</v>
      </c>
      <c r="D41" s="45" t="n">
        <f aca="false">'Case 5 — accrued carry'!B40</f>
        <v>1.75</v>
      </c>
      <c r="E41" s="46" t="n">
        <f aca="false">D41-C41</f>
        <v>0</v>
      </c>
      <c r="F41" s="37" t="str">
        <f aca="false">IF(ABS(E41)&lt;0.006,"reproduced",IF(ABS(E41)&lt;0.006*3,"rounding","CHECK"))</f>
        <v>reproduced</v>
      </c>
    </row>
    <row r="42" customFormat="false" ht="15" hidden="false" customHeight="true" outlineLevel="0" collapsed="false">
      <c r="A42" s="38" t="s">
        <v>237</v>
      </c>
      <c r="B42" s="39" t="s">
        <v>240</v>
      </c>
      <c r="C42" s="47" t="n">
        <v>1.6</v>
      </c>
      <c r="D42" s="48" t="n">
        <f aca="false">'Case 5 — accrued carry'!C40</f>
        <v>1.6</v>
      </c>
      <c r="E42" s="49" t="n">
        <f aca="false">D42-C42</f>
        <v>0</v>
      </c>
      <c r="F42" s="43" t="str">
        <f aca="false">IF(ABS(E42)&lt;0.006,"reproduced",IF(ABS(E42)&lt;0.006*3,"rounding","CHECK"))</f>
        <v>reproduced</v>
      </c>
    </row>
    <row r="43" customFormat="false" ht="15" hidden="false" customHeight="true" outlineLevel="0" collapsed="false">
      <c r="A43" s="32" t="s">
        <v>237</v>
      </c>
      <c r="B43" s="33" t="s">
        <v>241</v>
      </c>
      <c r="C43" s="34" t="n">
        <v>29400000</v>
      </c>
      <c r="D43" s="35" t="n">
        <f aca="false">'Case 5 — accrued carry'!C31</f>
        <v>29400000</v>
      </c>
      <c r="E43" s="36" t="n">
        <f aca="false">D43-C43</f>
        <v>0</v>
      </c>
      <c r="F43" s="37" t="str">
        <f aca="false">IF(ABS(E43)&lt;0.5,"reproduced",IF(ABS(E43)&lt;0.5*3,"rounding","CHECK"))</f>
        <v>reproduced</v>
      </c>
    </row>
    <row r="44" customFormat="false" ht="15" hidden="false" customHeight="true" outlineLevel="0" collapsed="false">
      <c r="A44" s="38" t="s">
        <v>237</v>
      </c>
      <c r="B44" s="39" t="s">
        <v>242</v>
      </c>
      <c r="C44" s="40" t="n">
        <v>267600000</v>
      </c>
      <c r="D44" s="41" t="n">
        <f aca="false">'Case 5 — accrued carry'!C33</f>
        <v>267600000</v>
      </c>
      <c r="E44" s="42" t="n">
        <f aca="false">D44-C44</f>
        <v>0</v>
      </c>
      <c r="F44" s="43" t="str">
        <f aca="false">IF(ABS(E44)&lt;0.5,"reproduced",IF(ABS(E44)&lt;0.5*3,"rounding","CHECK"))</f>
        <v>reproduced</v>
      </c>
    </row>
    <row r="45" customFormat="false" ht="15" hidden="false" customHeight="true" outlineLevel="0" collapsed="false">
      <c r="A45" s="32" t="s">
        <v>237</v>
      </c>
      <c r="B45" s="33" t="s">
        <v>243</v>
      </c>
      <c r="C45" s="50" t="n">
        <v>-0.1</v>
      </c>
      <c r="D45" s="51" t="n">
        <f aca="false">'Case 5 — accrued carry'!B48</f>
        <v>-0.1</v>
      </c>
      <c r="E45" s="52" t="n">
        <f aca="false">D45-C45</f>
        <v>0</v>
      </c>
      <c r="F45" s="37" t="str">
        <f aca="false">IF(ABS(E45)&lt;0.00006,"reproduced",IF(ABS(E45)&lt;0.00006*3,"rounding","CHECK"))</f>
        <v>reproduced</v>
      </c>
    </row>
    <row r="46" customFormat="false" ht="15" hidden="false" customHeight="true" outlineLevel="0" collapsed="false">
      <c r="A46" s="38" t="s">
        <v>237</v>
      </c>
      <c r="B46" s="39" t="s">
        <v>244</v>
      </c>
      <c r="C46" s="53" t="n">
        <v>-0.0898</v>
      </c>
      <c r="D46" s="54" t="n">
        <f aca="false">'Case 5 — accrued carry'!B51</f>
        <v>-0.0897959183673469</v>
      </c>
      <c r="E46" s="55" t="n">
        <f aca="false">D46-C46</f>
        <v>4.08163265309958E-006</v>
      </c>
      <c r="F46" s="43" t="str">
        <f aca="false">IF(ABS(E46)&lt;0.00006,"reproduced",IF(ABS(E46)&lt;0.00006*3,"rounding","CHECK"))</f>
        <v>reproduced</v>
      </c>
    </row>
    <row r="48" customFormat="false" ht="15" hidden="false" customHeight="true" outlineLevel="0" collapsed="false">
      <c r="A48" s="8" t="s">
        <v>245</v>
      </c>
      <c r="C48" s="56" t="n">
        <f aca="false">COUNTIF(F5:F46,"reproduced")</f>
        <v>42</v>
      </c>
    </row>
    <row r="49" customFormat="false" ht="15" hidden="false" customHeight="true" outlineLevel="0" collapsed="false">
      <c r="A49" s="8" t="s">
        <v>246</v>
      </c>
      <c r="C49" s="56" t="n">
        <f aca="false">COUNTIF(F5:F46,"rounding")</f>
        <v>0</v>
      </c>
    </row>
    <row r="50" customFormat="false" ht="15" hidden="false" customHeight="true" outlineLevel="0" collapsed="false">
      <c r="A50" s="8" t="s">
        <v>247</v>
      </c>
      <c r="C50" s="56" t="n">
        <f aca="false">COUNTIF(F5:F46,"CHECK")</f>
        <v>0</v>
      </c>
    </row>
  </sheetData>
  <mergeCells count="1">
    <mergeCell ref="H5:H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2026-08-20T04:11:53Z</dcterms:created>
  <dc:creator>openpyxl</dc:creator>
  <dc:description/>
  <dc:language>en-US</dc:language>
  <cp:lastModifiedBy/>
  <dcterms:modified xsi:type="dcterms:W3CDTF">2026-08-20T04:19:44Z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