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2. The asset" sheetId="2" state="visible" r:id="rId4"/>
    <sheet name="3. Asking price to bid" sheetId="3" state="visible" r:id="rId5"/>
    <sheet name="4. What would have to be true" sheetId="4" state="visible" r:id="rId6"/>
    <sheet name="5. The omissions table" sheetId="5" state="visible" r:id="rId7"/>
    <sheet name="6. 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<sst xmlns="http://schemas.openxmlformats.org/spreadsheetml/2006/main" count="264" uniqueCount="205">
  <si>
    <t xml:space="preserve">The Bid Sheet</t>
  </si>
  <si>
    <t xml:space="preserve">Companion workbook to Self-Storage Real Estate</t>
  </si>
  <si>
    <t xml:space="preserve">What this is</t>
  </si>
  <si>
    <t xml:space="preserve">The committee paper of Chapter 30, one sheet per section: the asset, the bridge from asking price to bid, the six inversions of Chapter 29, and the omissions table for the facing page.</t>
  </si>
  <si>
    <t xml:space="preserve">How to use it</t>
  </si>
  <si>
    <t xml:space="preserve">Overwrite the asset on sheet 2 with your own store. Sheets 3 and 4 recalculate from it; the length-of-stay inversion alone needs the model workbook.</t>
  </si>
  <si>
    <t xml:space="preserve">The omissions table is the page that separates a paper from a pitch. Read the direction column: what pushes the value down is, in every case here, a matter of public record or of a document the vendor holds.</t>
  </si>
  <si>
    <t xml:space="preserve">Revised 24 September 2026</t>
  </si>
  <si>
    <t xml:space="preserve">Revised 24 September 2026. Every figure on sheets 3 and 4 was a typed value. They are now formulas on sheet 2's inputs: the ten years, the sale, the present value, the internal rate of return, the debt, and five of the six inversions (the growth rates by bisection). The bridge now ends where Chapter 29 does, at the bid: £7,279,057, £145.58 a square foot, 13.7 per cent below the asking price.</t>
  </si>
  <si>
    <t xml:space="preserve">The length-of-stay inversion is corrected: a background departure hazard of 5.60 per cent, a length of stay of 16.0 months, not 5.35 and 16.7. The first figure charged marketing as a share of the rent, so that a longer stay cost more marketing; the book charges it per customer (Chapter 7).</t>
  </si>
  <si>
    <t xml:space="preserve">One page</t>
  </si>
  <si>
    <t xml:space="preserve">Gross internal area, sq ft</t>
  </si>
  <si>
    <t xml:space="preserve">Net lettable area, sq ft</t>
  </si>
  <si>
    <t xml:space="preserve">Efficiency</t>
  </si>
  <si>
    <t xml:space="preserve">Units</t>
  </si>
  <si>
    <t xml:space="preserve">Occupancy</t>
  </si>
  <si>
    <t xml:space="preserve">Length of stay, months</t>
  </si>
  <si>
    <t xml:space="preserve">Advertised rate, £/sq ft</t>
  </si>
  <si>
    <t xml:space="preserve">In-place rate, £/sq ft</t>
  </si>
  <si>
    <t xml:space="preserve">In-place over advertised</t>
  </si>
  <si>
    <t xml:space="preserve">Rent roll</t>
  </si>
  <si>
    <t xml:space="preserve">Total revenue</t>
  </si>
  <si>
    <t xml:space="preserve">Net operating income</t>
  </si>
  <si>
    <t xml:space="preserve">Margin</t>
  </si>
  <si>
    <t xml:space="preserve">Asking price</t>
  </si>
  <si>
    <t xml:space="preserve">Yield as quoted</t>
  </si>
  <si>
    <t xml:space="preserve">Yield after the capital cycle</t>
  </si>
  <si>
    <t xml:space="preserve">Assumptions for the ten years, the debt and the inversions</t>
  </si>
  <si>
    <t xml:space="preserve">Fixed costs, £/yr</t>
  </si>
  <si>
    <t xml:space="preserve">Rates, staff, energy, repairs, insurance, other property costs, software: the lines that do not move with occupancy</t>
  </si>
  <si>
    <t xml:space="preserve">Total costs</t>
  </si>
  <si>
    <t xml:space="preserve">Ongoing capital, £/gross sq ft</t>
  </si>
  <si>
    <t xml:space="preserve">Refurbishment cost, £/gross sq ft</t>
  </si>
  <si>
    <t xml:space="preserve">Refurbishment cycle, years</t>
  </si>
  <si>
    <t xml:space="preserve">Years already elapsed in the cycle</t>
  </si>
  <si>
    <t xml:space="preserve">Exit yield</t>
  </si>
  <si>
    <t xml:space="preserve">Required return</t>
  </si>
  <si>
    <t xml:space="preserve">Rent growth</t>
  </si>
  <si>
    <t xml:space="preserve">Cost growth</t>
  </si>
  <si>
    <t xml:space="preserve">Acquisition costs</t>
  </si>
  <si>
    <t xml:space="preserve">Costs of sale</t>
  </si>
  <si>
    <t xml:space="preserve">Hold period, years (up to ten)</t>
  </si>
  <si>
    <t xml:space="preserve">Base rate</t>
  </si>
  <si>
    <t xml:space="preserve">Maximum loan to value</t>
  </si>
  <si>
    <t xml:space="preserve">Minimum interest cover</t>
  </si>
  <si>
    <t xml:space="preserve">Minimum debt service cover</t>
  </si>
  <si>
    <t xml:space="preserve">Amortisation, a year</t>
  </si>
  <si>
    <t xml:space="preserve">Occupancy stress applied by the lender</t>
  </si>
  <si>
    <t xml:space="preserve">Background departure hazard, per month</t>
  </si>
  <si>
    <t xml:space="preserve">The same hazard, solved in the model to justify the asking price</t>
  </si>
  <si>
    <t xml:space="preserve">Needs the whole cohort engine: computed in the model workbook. Type it into sheet 3 row 12 there and sheet 10 meets the asking price.</t>
  </si>
  <si>
    <t xml:space="preserve">Length of stay at that hazard, months</t>
  </si>
  <si>
    <t xml:space="preserve">The bridge, from asking price to bid</t>
  </si>
  <si>
    <t xml:space="preserve">Chapters 24 to 26 and 29, live from sheet 2. The bid is the price that earns the required return once the acquisition costs are paid.</t>
  </si>
  <si>
    <t xml:space="preserve">Year</t>
  </si>
  <si>
    <t xml:space="preserve">Revenue</t>
  </si>
  <si>
    <t xml:space="preserve">Costs</t>
  </si>
  <si>
    <t xml:space="preserve">Capital</t>
  </si>
  <si>
    <t xml:space="preserve">Refurbishment</t>
  </si>
  <si>
    <t xml:space="preserve">Cash flow</t>
  </si>
  <si>
    <t xml:space="preserve">Flow incl. sale</t>
  </si>
  <si>
    <t xml:space="preserve">Discount factor</t>
  </si>
  <si>
    <t xml:space="preserve">Present value</t>
  </si>
  <si>
    <t xml:space="preserve">Flow at zero occupancy</t>
  </si>
  <si>
    <t xml:space="preserve">column M: the asking price with no costs, for the required-return inversion</t>
  </si>
  <si>
    <t xml:space="preserve">The exit</t>
  </si>
  <si>
    <t xml:space="preserve">Net operating income in the year after the hold</t>
  </si>
  <si>
    <t xml:space="preserve">Capitalised at the exit yield</t>
  </si>
  <si>
    <t xml:space="preserve">Less costs of sale</t>
  </si>
  <si>
    <t xml:space="preserve">Years of the next refurbishment cycle already run</t>
  </si>
  <si>
    <t xml:space="preserve">Less the accrued share of the next cycle</t>
  </si>
  <si>
    <t xml:space="preserve">Net proceeds</t>
  </si>
  <si>
    <t xml:space="preserve">The answer</t>
  </si>
  <si>
    <t xml:space="preserve">Present value of the hold and the sale, at the required return</t>
  </si>
  <si>
    <t xml:space="preserve">Difference, as a share of the asking price</t>
  </si>
  <si>
    <t xml:space="preserve">Internal rate of return, after acquisition costs</t>
  </si>
  <si>
    <t xml:space="preserve">Short of the required return by, basis points</t>
  </si>
  <si>
    <t xml:space="preserve">Of which: the years of operating the store</t>
  </si>
  <si>
    <t xml:space="preserve">Of which: the price somebody else pays at the end</t>
  </si>
  <si>
    <t xml:space="preserve">The sale, as a share of the value</t>
  </si>
  <si>
    <t xml:space="preserve">The bid: the price that earns the required return once acquisition costs are paid</t>
  </si>
  <si>
    <t xml:space="preserve">  per square foot of gross internal area</t>
  </si>
  <si>
    <t xml:space="preserve">  discount to the asking price</t>
  </si>
  <si>
    <t xml:space="preserve">Return if you pay the present value itself and then the costs</t>
  </si>
  <si>
    <t xml:space="preserve">  short of the required return by, basis points</t>
  </si>
  <si>
    <t xml:space="preserve">What a lender will lend</t>
  </si>
  <si>
    <t xml:space="preserve">Interest rate</t>
  </si>
  <si>
    <t xml:space="preserve">Stressed occupancy</t>
  </si>
  <si>
    <t xml:space="preserve">Net operating income at the stressed occupancy</t>
  </si>
  <si>
    <t xml:space="preserve">Loan permitted by loan to value</t>
  </si>
  <si>
    <t xml:space="preserve">Loan permitted by interest cover, on the stressed income</t>
  </si>
  <si>
    <t xml:space="preserve">Loan permitted by debt service cover, on the stressed income</t>
  </si>
  <si>
    <t xml:space="preserve">Facility offered: the lowest of the three</t>
  </si>
  <si>
    <t xml:space="preserve">  as a share of the asking price</t>
  </si>
  <si>
    <t xml:space="preserve">  the test that binds</t>
  </si>
  <si>
    <t xml:space="preserve">Equity required, costs included</t>
  </si>
  <si>
    <t xml:space="preserve">Debt service a year, interest and amortisation</t>
  </si>
  <si>
    <t xml:space="preserve">Capital cycle, annualised: ongoing items and accrued refurbishment</t>
  </si>
  <si>
    <t xml:space="preserve">Cash return on equity, geared</t>
  </si>
  <si>
    <t xml:space="preserve">Cash return, ungeared</t>
  </si>
  <si>
    <t xml:space="preserve">Occupancy at which the store stops covering its debt service</t>
  </si>
  <si>
    <t xml:space="preserve">  margin below today's occupancy, points</t>
  </si>
  <si>
    <t xml:space="preserve">Operating break-even occupancy</t>
  </si>
  <si>
    <t xml:space="preserve">What would have to be true: each assumption solved for the value that makes the present value equal the asking price</t>
  </si>
  <si>
    <t xml:space="preserve">  (present value at zero occupancy, for the next line)</t>
  </si>
  <si>
    <t xml:space="preserve">Occupancy, held every month of the hold</t>
  </si>
  <si>
    <t xml:space="preserve">Rent growth, every year</t>
  </si>
  <si>
    <t xml:space="preserve">Cost growth, every year</t>
  </si>
  <si>
    <t xml:space="preserve">The two growth rates are solved by bisection, fifty steps each: the columns below are the working.</t>
  </si>
  <si>
    <t xml:space="preserve">Step</t>
  </si>
  <si>
    <t xml:space="preserve">Rent growth: low</t>
  </si>
  <si>
    <t xml:space="preserve">high</t>
  </si>
  <si>
    <t xml:space="preserve">mid</t>
  </si>
  <si>
    <t xml:space="preserve">value less price</t>
  </si>
  <si>
    <t xml:space="preserve">Cost growth: low</t>
  </si>
  <si>
    <t xml:space="preserve">Six inversions</t>
  </si>
  <si>
    <t xml:space="preserve">Each closes the gap on its own. Decide which one you would defend in front of a committee in three years.</t>
  </si>
  <si>
    <t xml:space="preserve">Assumption</t>
  </si>
  <si>
    <t xml:space="preserve">In the model</t>
  </si>
  <si>
    <t xml:space="preserve">To justify the asking price</t>
  </si>
  <si>
    <t xml:space="preserve">Within the buyer's influence?</t>
  </si>
  <si>
    <t xml:space="preserve">Length of stay</t>
  </si>
  <si>
    <t xml:space="preserve">Rent growth, every year, for ten years</t>
  </si>
  <si>
    <t xml:space="preserve">No</t>
  </si>
  <si>
    <t xml:space="preserve">Partly</t>
  </si>
  <si>
    <t xml:space="preserve">Exit yield in year ten</t>
  </si>
  <si>
    <t xml:space="preserve">It is a choice, not an analysis</t>
  </si>
  <si>
    <t xml:space="preserve">Occupancy, held every month for ten years</t>
  </si>
  <si>
    <t xml:space="preserve">Yes</t>
  </si>
  <si>
    <t xml:space="preserve">Length of stay, through the base departure rate</t>
  </si>
  <si>
    <t xml:space="preserve">Each value closes the gap on its own, before acquisition costs. Pay the asking price with any one of them true, add the costs, and the return is still about 7.58 per cent against 8.45: the inversions are a menu of beliefs, not a menu of prices.</t>
  </si>
  <si>
    <t xml:space="preserve">The facing page</t>
  </si>
  <si>
    <t xml:space="preserve">What the model does not price, the direction it would move the answer, and who benefits from the silence.</t>
  </si>
  <si>
    <t xml:space="preserve">Not priced</t>
  </si>
  <si>
    <t xml:space="preserve">Direction</t>
  </si>
  <si>
    <t xml:space="preserve">Benefits</t>
  </si>
  <si>
    <t xml:space="preserve">Where to find it</t>
  </si>
  <si>
    <t xml:space="preserve">The response of customers to a rate increase — the exponent nobody measures</t>
  </si>
  <si>
    <t xml:space="preserve">Both</t>
  </si>
  <si>
    <t xml:space="preserve">Unknown</t>
  </si>
  <si>
    <t xml:space="preserve">Only in the operator's own move-out data</t>
  </si>
  <si>
    <t xml:space="preserve">Planning consents already granted in the catchment</t>
  </si>
  <si>
    <t xml:space="preserve">Down</t>
  </si>
  <si>
    <t xml:space="preserve">Vendor</t>
  </si>
  <si>
    <t xml:space="preserve">The planning register — public</t>
  </si>
  <si>
    <t xml:space="preserve">Whether the ancillary income survives a change of operator</t>
  </si>
  <si>
    <t xml:space="preserve">The operator agreement and the commission arrangement</t>
  </si>
  <si>
    <t xml:space="preserve">Business rates revaluation</t>
  </si>
  <si>
    <t xml:space="preserve">The rating list and the revaluation date</t>
  </si>
  <si>
    <t xml:space="preserve">The proportion of business customers, and its effect on pricing power</t>
  </si>
  <si>
    <t xml:space="preserve">The customer database</t>
  </si>
  <si>
    <t xml:space="preserve">Auction proceeds on abandoned goods, and the legal cost of getting there</t>
  </si>
  <si>
    <t xml:space="preserve">Three years of the store's own disposal records</t>
  </si>
  <si>
    <t xml:space="preserve">Fire safety and sprinkler compliance on a converted building</t>
  </si>
  <si>
    <t xml:space="preserve">The fire risk assessment — ask for it by name</t>
  </si>
  <si>
    <t xml:space="preserve">The value of the customer database itself</t>
  </si>
  <si>
    <t xml:space="preserve">Up</t>
  </si>
  <si>
    <t xml:space="preserve">Buyer</t>
  </si>
  <si>
    <t xml:space="preserve">Whoever the sale agreement says owns it</t>
  </si>
  <si>
    <t xml:space="preserve">Solar and EV charging on a large flat roof and car park</t>
  </si>
  <si>
    <t xml:space="preserve">A grid connection study and the roof structural capacity</t>
  </si>
  <si>
    <t xml:space="preserve">Trade counter or van hire as an additional revenue line</t>
  </si>
  <si>
    <t xml:space="preserve">The competitors, mostly</t>
  </si>
  <si>
    <t xml:space="preserve">VAT on the transaction, and whether it is a transfer of a going concern</t>
  </si>
  <si>
    <t xml:space="preserve">The option-to-tax history, and the heads of terms — decide in week one</t>
  </si>
  <si>
    <t xml:space="preserve">Capital allowances on the fit-out, and the pooling position in the contract</t>
  </si>
  <si>
    <t xml:space="preserve">A capital allowances survey, before exchange rather than after</t>
  </si>
  <si>
    <t xml:space="preserve">The fairness of a unilateral price-increase clause on a consumer base</t>
  </si>
  <si>
    <t xml:space="preserve">The form of licence, the notice actually given, and the complaints file</t>
  </si>
  <si>
    <t xml:space="preserve">Whether the goods protection is regulated insurance mediation, and transfers</t>
  </si>
  <si>
    <t xml:space="preserve">The scheme documents and the FCA register</t>
  </si>
  <si>
    <t xml:space="preserve">The relocation clause that keeps the licence a licence</t>
  </si>
  <si>
    <t xml:space="preserve">The form of licence in use — not the one on the website</t>
  </si>
  <si>
    <t xml:space="preserve">The capital cost of removing the staff — kiosk, access control, monitoring</t>
  </si>
  <si>
    <t xml:space="preserve">A quotation, if the plan assumes it</t>
  </si>
  <si>
    <t xml:space="preserve">Checks: the bid sheet against the book</t>
  </si>
  <si>
    <t xml:space="preserve">Column D is a live formula pointing into the workbook. A tolerance is the precision at which the book prints the figure; rows without a printed figure hold for any inputs.</t>
  </si>
  <si>
    <t xml:space="preserve">Source</t>
  </si>
  <si>
    <t xml:space="preserve">Figure</t>
  </si>
  <si>
    <t xml:space="preserve">Printed</t>
  </si>
  <si>
    <t xml:space="preserve">Computed</t>
  </si>
  <si>
    <t xml:space="preserve">Variance</t>
  </si>
  <si>
    <t xml:space="preserve">Status</t>
  </si>
  <si>
    <t xml:space="preserve">Ch. 24</t>
  </si>
  <si>
    <t xml:space="preserve">Present value of ten years and a sale (printed as £7.8 million)</t>
  </si>
  <si>
    <t xml:space="preserve">Net sale proceeds</t>
  </si>
  <si>
    <t xml:space="preserve">Ch. 25</t>
  </si>
  <si>
    <t xml:space="preserve">Share of the value that is the sale</t>
  </si>
  <si>
    <t xml:space="preserve">Ch. 29</t>
  </si>
  <si>
    <t xml:space="preserve">The bid, £ per square foot</t>
  </si>
  <si>
    <t xml:space="preserve">The bid, discount to the asking price</t>
  </si>
  <si>
    <t xml:space="preserve">Ch. 26</t>
  </si>
  <si>
    <t xml:space="preserve">Facility, as a share of the price</t>
  </si>
  <si>
    <t xml:space="preserve">Occupancy at which debt service stops being covered</t>
  </si>
  <si>
    <t xml:space="preserve">Ch. 13</t>
  </si>
  <si>
    <t xml:space="preserve">Rent growth that justifies the asking price</t>
  </si>
  <si>
    <t xml:space="preserve">Ch. 29, revised</t>
  </si>
  <si>
    <t xml:space="preserve">Background hazard that justifies the asking price (the first edition printed 5.35 per cent)</t>
  </si>
  <si>
    <t xml:space="preserve">Length of stay it implies, months (the first edition printed 16.7)</t>
  </si>
  <si>
    <t xml:space="preserve">Sheet 3</t>
  </si>
  <si>
    <t xml:space="preserve">The bisections have converged (value less price within £1)</t>
  </si>
  <si>
    <t xml:space="preserve">At the exit yield of the inversion, the sale plus the operating years return the asking price</t>
  </si>
  <si>
    <t xml:space="preserve">Lines reproduced</t>
  </si>
  <si>
    <t xml:space="preserve">Lines to check, or waiting for inputs</t>
  </si>
  <si>
    <t xml:space="preserve">All checks</t>
  </si>
</sst>
</file>

<file path=xl/styles.xml><?xml version="1.0" encoding="utf-8"?>
<styleSheet xmlns="http://schemas.openxmlformats.org/spreadsheetml/2006/main">
  <numFmts count="14">
    <numFmt numFmtId="164" formatCode="General"/>
    <numFmt numFmtId="165" formatCode="#,##0"/>
    <numFmt numFmtId="166" formatCode="0.0%"/>
    <numFmt numFmtId="167" formatCode="0.00"/>
    <numFmt numFmtId="168" formatCode="\£#,##0.00"/>
    <numFmt numFmtId="169" formatCode="\£#,##0"/>
    <numFmt numFmtId="170" formatCode="0.00%"/>
    <numFmt numFmtId="171" formatCode="\£0.00"/>
    <numFmt numFmtId="172" formatCode="0"/>
    <numFmt numFmtId="173" formatCode="0%"/>
    <numFmt numFmtId="174" formatCode="0.00\x"/>
    <numFmt numFmtId="175" formatCode="0.0"/>
    <numFmt numFmtId="176" formatCode="0.0000"/>
    <numFmt numFmtId="177" formatCode="0.0000%"/>
  </numFmts>
  <fonts count="11">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b val="true"/>
      <sz val="13"/>
      <color rgb="FF1F3864"/>
      <name val="Cambria"/>
      <family val="0"/>
      <charset val="1"/>
    </font>
    <font>
      <sz val="11"/>
      <color rgb="FF1F4E79"/>
      <name val="Cambria"/>
      <family val="0"/>
      <charset val="1"/>
    </font>
    <font>
      <sz val="11"/>
      <name val="Cambria"/>
      <family val="0"/>
      <charset val="1"/>
    </font>
    <font>
      <b val="true"/>
      <sz val="11"/>
      <name val="Cambria"/>
      <family val="0"/>
      <charset val="1"/>
    </font>
  </fonts>
  <fills count="4">
    <fill>
      <patternFill patternType="none"/>
    </fill>
    <fill>
      <patternFill patternType="gray125"/>
    </fill>
    <fill>
      <patternFill patternType="solid">
        <fgColor rgb="FFDCE9F7"/>
        <bgColor rgb="FFCCFFFF"/>
      </patternFill>
    </fill>
    <fill>
      <patternFill patternType="solid">
        <fgColor rgb="FFFFF2CC"/>
        <bgColor rgb="FFFFFFFF"/>
      </patternFill>
    </fill>
  </fills>
  <borders count="3">
    <border diagonalUp="false" diagonalDown="false">
      <left/>
      <right/>
      <top/>
      <bottom/>
      <diagonal/>
    </border>
    <border diagonalUp="false" diagonalDown="false">
      <left/>
      <right/>
      <top/>
      <bottom style="thin"/>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7" fontId="8" fillId="2" borderId="0" xfId="0" applyFont="true" applyBorder="fals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9" fontId="8" fillId="2"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71" fontId="8" fillId="2" borderId="0" xfId="0" applyFont="true" applyBorder="false" applyAlignment="false" applyProtection="false">
      <alignment horizontal="general" vertical="bottom" textRotation="0" wrapText="false" indent="0" shrinkToFit="false"/>
      <protection locked="true" hidden="false"/>
    </xf>
    <xf numFmtId="172" fontId="8" fillId="2" borderId="0" xfId="0" applyFont="true" applyBorder="false" applyAlignment="false" applyProtection="false">
      <alignment horizontal="general" vertical="bottom" textRotation="0" wrapText="false" indent="0" shrinkToFit="false"/>
      <protection locked="true" hidden="false"/>
    </xf>
    <xf numFmtId="170" fontId="8" fillId="3" borderId="0" xfId="0" applyFont="true" applyBorder="false" applyAlignment="false" applyProtection="false">
      <alignment horizontal="general" vertical="bottom" textRotation="0" wrapText="false" indent="0" shrinkToFit="false"/>
      <protection locked="true" hidden="false"/>
    </xf>
    <xf numFmtId="170" fontId="8" fillId="2" borderId="0" xfId="0" applyFont="true" applyBorder="false" applyAlignment="false" applyProtection="false">
      <alignment horizontal="general" vertical="bottom" textRotation="0" wrapText="false" indent="0" shrinkToFit="false"/>
      <protection locked="true" hidden="false"/>
    </xf>
    <xf numFmtId="173" fontId="8" fillId="2" borderId="0" xfId="0" applyFont="true" applyBorder="false" applyAlignment="false" applyProtection="false">
      <alignment horizontal="general" vertical="bottom" textRotation="0" wrapText="false" indent="0" shrinkToFit="false"/>
      <protection locked="true" hidden="false"/>
    </xf>
    <xf numFmtId="174" fontId="8" fillId="2" borderId="0" xfId="0" applyFont="true" applyBorder="false" applyAlignment="false" applyProtection="false">
      <alignment horizontal="general" vertical="bottom" textRotation="0" wrapText="false" indent="0" shrinkToFit="false"/>
      <protection locked="true" hidden="false"/>
    </xf>
    <xf numFmtId="175" fontId="8"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true" indent="0" shrinkToFit="false"/>
      <protection locked="true" hidden="false"/>
    </xf>
    <xf numFmtId="176" fontId="9" fillId="0" borderId="0" xfId="0" applyFont="tru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75" fontId="9" fillId="0" borderId="0" xfId="0" applyFont="true" applyBorder="false" applyAlignment="false" applyProtection="false">
      <alignment horizontal="general" vertical="bottom" textRotation="0" wrapText="false" indent="0" shrinkToFit="false"/>
      <protection locked="true" hidden="false"/>
    </xf>
    <xf numFmtId="177" fontId="9"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10" fillId="0" borderId="2" xfId="0" applyFont="true" applyBorder="true" applyAlignment="true" applyProtection="false">
      <alignment horizontal="general" vertical="bottom" textRotation="0" wrapText="true" indent="0" shrinkToFit="false"/>
      <protection locked="true" hidden="false"/>
    </xf>
    <xf numFmtId="164" fontId="10" fillId="0" borderId="2"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25.5" hidden="false" customHeight="true" outlineLevel="0" collapsed="false">
      <c r="A5" s="4" t="s">
        <v>3</v>
      </c>
    </row>
    <row r="7" customFormat="false" ht="15" hidden="false" customHeight="false" outlineLevel="0" collapsed="false">
      <c r="A7" s="3" t="s">
        <v>4</v>
      </c>
    </row>
    <row r="8" customFormat="false" ht="25.5" hidden="false" customHeight="true" outlineLevel="0" collapsed="false">
      <c r="A8" s="4" t="s">
        <v>5</v>
      </c>
    </row>
    <row r="9" customFormat="false" ht="39" hidden="false" customHeight="true" outlineLevel="0" collapsed="false">
      <c r="A9" s="4" t="s">
        <v>6</v>
      </c>
    </row>
    <row r="11" customFormat="false" ht="15" hidden="false" customHeight="false" outlineLevel="0" collapsed="false">
      <c r="A11" s="3" t="s">
        <v>7</v>
      </c>
    </row>
    <row r="12" customFormat="false" ht="55.2" hidden="false" customHeight="false" outlineLevel="0" collapsed="false">
      <c r="A12" s="4" t="s">
        <v>8</v>
      </c>
    </row>
    <row r="13" customFormat="false" ht="41.75" hidden="false" customHeight="false" outlineLevel="0" collapsed="false">
      <c r="A13" s="4" t="s">
        <v>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20"/>
    <col collapsed="false" customWidth="true" hidden="false" outlineLevel="0" max="3" min="3" style="0" width="70"/>
  </cols>
  <sheetData>
    <row r="1" customFormat="false" ht="16.15" hidden="false" customHeight="false" outlineLevel="0" collapsed="false">
      <c r="A1" s="5" t="s">
        <v>10</v>
      </c>
    </row>
    <row r="4" customFormat="false" ht="15" hidden="false" customHeight="false" outlineLevel="0" collapsed="false">
      <c r="A4" s="0" t="s">
        <v>11</v>
      </c>
      <c r="B4" s="6" t="n">
        <v>50000</v>
      </c>
    </row>
    <row r="5" customFormat="false" ht="15" hidden="false" customHeight="false" outlineLevel="0" collapsed="false">
      <c r="A5" s="0" t="s">
        <v>12</v>
      </c>
      <c r="B5" s="6" t="n">
        <v>34660</v>
      </c>
    </row>
    <row r="6" customFormat="false" ht="15" hidden="false" customHeight="false" outlineLevel="0" collapsed="false">
      <c r="A6" s="0" t="s">
        <v>13</v>
      </c>
      <c r="B6" s="7" t="n">
        <f aca="false">B5/B4</f>
        <v>0.6932</v>
      </c>
    </row>
    <row r="7" customFormat="false" ht="15" hidden="false" customHeight="false" outlineLevel="0" collapsed="false">
      <c r="A7" s="0" t="s">
        <v>14</v>
      </c>
      <c r="B7" s="8" t="n">
        <v>590</v>
      </c>
    </row>
    <row r="8" customFormat="false" ht="15" hidden="false" customHeight="false" outlineLevel="0" collapsed="false">
      <c r="A8" s="0" t="s">
        <v>15</v>
      </c>
      <c r="B8" s="9" t="n">
        <v>0.796</v>
      </c>
    </row>
    <row r="9" customFormat="false" ht="15" hidden="false" customHeight="false" outlineLevel="0" collapsed="false">
      <c r="A9" s="0" t="s">
        <v>16</v>
      </c>
      <c r="B9" s="10" t="n">
        <v>13.8030343468202</v>
      </c>
    </row>
    <row r="10" customFormat="false" ht="15" hidden="false" customHeight="false" outlineLevel="0" collapsed="false">
      <c r="A10" s="0" t="s">
        <v>17</v>
      </c>
      <c r="B10" s="11" t="n">
        <v>32.6495672244663</v>
      </c>
    </row>
    <row r="11" customFormat="false" ht="15" hidden="false" customHeight="false" outlineLevel="0" collapsed="false">
      <c r="A11" s="0" t="s">
        <v>18</v>
      </c>
      <c r="B11" s="11" t="n">
        <v>35.9261048013389</v>
      </c>
    </row>
    <row r="12" customFormat="false" ht="15" hidden="false" customHeight="false" outlineLevel="0" collapsed="false">
      <c r="A12" s="0" t="s">
        <v>19</v>
      </c>
      <c r="B12" s="7" t="n">
        <f aca="false">B11/B10-1</f>
        <v>0.1003547016212</v>
      </c>
    </row>
    <row r="13" customFormat="false" ht="15" hidden="false" customHeight="false" outlineLevel="0" collapsed="false">
      <c r="A13" s="0" t="s">
        <v>20</v>
      </c>
      <c r="B13" s="12" t="n">
        <v>991178.238733661</v>
      </c>
    </row>
    <row r="14" customFormat="false" ht="15" hidden="false" customHeight="false" outlineLevel="0" collapsed="false">
      <c r="A14" s="0" t="s">
        <v>21</v>
      </c>
      <c r="B14" s="12" t="n">
        <v>1096243.13203943</v>
      </c>
    </row>
    <row r="15" customFormat="false" ht="15" hidden="false" customHeight="false" outlineLevel="0" collapsed="false">
      <c r="A15" s="0" t="s">
        <v>22</v>
      </c>
      <c r="B15" s="12" t="n">
        <v>510124.323325091</v>
      </c>
    </row>
    <row r="16" customFormat="false" ht="15" hidden="false" customHeight="false" outlineLevel="0" collapsed="false">
      <c r="A16" s="0" t="s">
        <v>23</v>
      </c>
      <c r="B16" s="7" t="n">
        <f aca="false">B15/B14</f>
        <v>0.465338672066356</v>
      </c>
    </row>
    <row r="17" customFormat="false" ht="15" hidden="false" customHeight="false" outlineLevel="0" collapsed="false">
      <c r="A17" s="0" t="s">
        <v>24</v>
      </c>
      <c r="B17" s="12" t="n">
        <v>8431806.99710894</v>
      </c>
    </row>
    <row r="18" customFormat="false" ht="15" hidden="false" customHeight="false" outlineLevel="0" collapsed="false">
      <c r="A18" s="0" t="s">
        <v>25</v>
      </c>
      <c r="B18" s="13" t="n">
        <f aca="false">B15/B17</f>
        <v>0.0605</v>
      </c>
    </row>
    <row r="19" customFormat="false" ht="15" hidden="false" customHeight="false" outlineLevel="0" collapsed="false">
      <c r="A19" s="0" t="s">
        <v>26</v>
      </c>
      <c r="B19" s="13" t="n">
        <f aca="false">(B15-B24*B4-B25*B4/B26)/B17</f>
        <v>0.0546491386899334</v>
      </c>
    </row>
    <row r="21" customFormat="false" ht="15" hidden="false" customHeight="false" outlineLevel="0" collapsed="false">
      <c r="A21" s="14" t="s">
        <v>27</v>
      </c>
    </row>
    <row r="22" customFormat="false" ht="15" hidden="false" customHeight="false" outlineLevel="0" collapsed="false">
      <c r="A22" s="15" t="s">
        <v>28</v>
      </c>
      <c r="B22" s="12" t="n">
        <v>427900</v>
      </c>
      <c r="C22" s="2" t="s">
        <v>29</v>
      </c>
    </row>
    <row r="23" customFormat="false" ht="15" hidden="false" customHeight="false" outlineLevel="0" collapsed="false">
      <c r="A23" s="15" t="s">
        <v>30</v>
      </c>
      <c r="B23" s="16" t="n">
        <f aca="false">B14-B15</f>
        <v>586118.808714338</v>
      </c>
    </row>
    <row r="24" customFormat="false" ht="15" hidden="false" customHeight="false" outlineLevel="0" collapsed="false">
      <c r="A24" s="15" t="s">
        <v>31</v>
      </c>
      <c r="B24" s="17" t="n">
        <v>0.42</v>
      </c>
    </row>
    <row r="25" customFormat="false" ht="15" hidden="false" customHeight="false" outlineLevel="0" collapsed="false">
      <c r="A25" s="15" t="s">
        <v>32</v>
      </c>
      <c r="B25" s="17" t="n">
        <v>6.8</v>
      </c>
    </row>
    <row r="26" customFormat="false" ht="15" hidden="false" customHeight="false" outlineLevel="0" collapsed="false">
      <c r="A26" s="15" t="s">
        <v>33</v>
      </c>
      <c r="B26" s="18" t="n">
        <v>12</v>
      </c>
    </row>
    <row r="27" customFormat="false" ht="15" hidden="false" customHeight="false" outlineLevel="0" collapsed="false">
      <c r="A27" s="15" t="s">
        <v>34</v>
      </c>
      <c r="B27" s="18" t="n">
        <v>4</v>
      </c>
    </row>
    <row r="28" customFormat="false" ht="15" hidden="false" customHeight="false" outlineLevel="0" collapsed="false">
      <c r="A28" s="15" t="s">
        <v>35</v>
      </c>
      <c r="B28" s="19" t="n">
        <v>0.0655</v>
      </c>
    </row>
    <row r="29" customFormat="false" ht="15" hidden="false" customHeight="false" outlineLevel="0" collapsed="false">
      <c r="A29" s="15" t="s">
        <v>36</v>
      </c>
      <c r="B29" s="20" t="n">
        <v>0.0845</v>
      </c>
    </row>
    <row r="30" customFormat="false" ht="15" hidden="false" customHeight="false" outlineLevel="0" collapsed="false">
      <c r="A30" s="15" t="s">
        <v>37</v>
      </c>
      <c r="B30" s="20" t="n">
        <v>0.029</v>
      </c>
    </row>
    <row r="31" customFormat="false" ht="15" hidden="false" customHeight="false" outlineLevel="0" collapsed="false">
      <c r="A31" s="15" t="s">
        <v>38</v>
      </c>
      <c r="B31" s="20" t="n">
        <v>0.031</v>
      </c>
    </row>
    <row r="32" customFormat="false" ht="15" hidden="false" customHeight="false" outlineLevel="0" collapsed="false">
      <c r="A32" s="15" t="s">
        <v>39</v>
      </c>
      <c r="B32" s="9" t="n">
        <v>0.066</v>
      </c>
    </row>
    <row r="33" customFormat="false" ht="15" hidden="false" customHeight="false" outlineLevel="0" collapsed="false">
      <c r="A33" s="15" t="s">
        <v>40</v>
      </c>
      <c r="B33" s="9" t="n">
        <v>0.012</v>
      </c>
    </row>
    <row r="34" customFormat="false" ht="15" hidden="false" customHeight="false" outlineLevel="0" collapsed="false">
      <c r="A34" s="15" t="s">
        <v>41</v>
      </c>
      <c r="B34" s="18" t="n">
        <v>10</v>
      </c>
    </row>
    <row r="35" customFormat="false" ht="15" hidden="false" customHeight="false" outlineLevel="0" collapsed="false">
      <c r="A35" s="15" t="s">
        <v>42</v>
      </c>
      <c r="B35" s="20" t="n">
        <v>0.0415</v>
      </c>
    </row>
    <row r="36" customFormat="false" ht="15" hidden="false" customHeight="false" outlineLevel="0" collapsed="false">
      <c r="A36" s="15" t="s">
        <v>23</v>
      </c>
      <c r="B36" s="20" t="n">
        <v>0.0275</v>
      </c>
    </row>
    <row r="37" customFormat="false" ht="15" hidden="false" customHeight="false" outlineLevel="0" collapsed="false">
      <c r="A37" s="15" t="s">
        <v>43</v>
      </c>
      <c r="B37" s="21" t="n">
        <v>0.6</v>
      </c>
    </row>
    <row r="38" customFormat="false" ht="15" hidden="false" customHeight="false" outlineLevel="0" collapsed="false">
      <c r="A38" s="15" t="s">
        <v>44</v>
      </c>
      <c r="B38" s="22" t="n">
        <v>1.9</v>
      </c>
    </row>
    <row r="39" customFormat="false" ht="15" hidden="false" customHeight="false" outlineLevel="0" collapsed="false">
      <c r="A39" s="15" t="s">
        <v>45</v>
      </c>
      <c r="B39" s="22" t="n">
        <v>1.35</v>
      </c>
    </row>
    <row r="40" customFormat="false" ht="15" hidden="false" customHeight="false" outlineLevel="0" collapsed="false">
      <c r="A40" s="15" t="s">
        <v>46</v>
      </c>
      <c r="B40" s="9" t="n">
        <v>0.015</v>
      </c>
    </row>
    <row r="41" customFormat="false" ht="15" hidden="false" customHeight="false" outlineLevel="0" collapsed="false">
      <c r="A41" s="15" t="s">
        <v>47</v>
      </c>
      <c r="B41" s="9" t="n">
        <v>0.08</v>
      </c>
    </row>
    <row r="42" customFormat="false" ht="15" hidden="false" customHeight="false" outlineLevel="0" collapsed="false">
      <c r="A42" s="15" t="s">
        <v>48</v>
      </c>
      <c r="B42" s="20" t="n">
        <v>0.0665</v>
      </c>
    </row>
    <row r="43" customFormat="false" ht="15" hidden="false" customHeight="false" outlineLevel="0" collapsed="false">
      <c r="A43" s="15" t="s">
        <v>49</v>
      </c>
      <c r="B43" s="20" t="n">
        <v>0.0560489316876547</v>
      </c>
      <c r="C43" s="2" t="s">
        <v>50</v>
      </c>
    </row>
    <row r="44" customFormat="false" ht="15" hidden="false" customHeight="false" outlineLevel="0" collapsed="false">
      <c r="A44" s="15" t="s">
        <v>51</v>
      </c>
      <c r="B44" s="23" t="n">
        <v>15.9917721812555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3" min="2" style="0" width="14"/>
    <col collapsed="false" customWidth="true" hidden="false" outlineLevel="0" max="4" min="4" style="0" width="16"/>
    <col collapsed="false" customWidth="true" hidden="false" outlineLevel="0" max="5" min="5" style="0" width="12"/>
    <col collapsed="false" customWidth="true" hidden="false" outlineLevel="0" max="8" min="6" style="0" width="14"/>
    <col collapsed="false" customWidth="true" hidden="false" outlineLevel="0" max="9" min="9" style="0" width="11"/>
    <col collapsed="false" customWidth="true" hidden="false" outlineLevel="0" max="10" min="10" style="0" width="14"/>
    <col collapsed="false" customWidth="true" hidden="false" outlineLevel="0" max="11" min="11" style="0" width="16"/>
    <col collapsed="false" customWidth="true" hidden="false" outlineLevel="0" max="14" min="12" style="0" width="14"/>
  </cols>
  <sheetData>
    <row r="1" customFormat="false" ht="16.15" hidden="false" customHeight="false" outlineLevel="0" collapsed="false">
      <c r="A1" s="5" t="s">
        <v>52</v>
      </c>
    </row>
    <row r="2" customFormat="false" ht="15" hidden="false" customHeight="false" outlineLevel="0" collapsed="false">
      <c r="A2" s="2" t="s">
        <v>53</v>
      </c>
    </row>
    <row r="4" customFormat="false" ht="28.35" hidden="false" customHeight="false" outlineLevel="0" collapsed="false">
      <c r="A4" s="24" t="s">
        <v>54</v>
      </c>
      <c r="B4" s="24" t="s">
        <v>55</v>
      </c>
      <c r="C4" s="24" t="s">
        <v>56</v>
      </c>
      <c r="D4" s="24" t="s">
        <v>22</v>
      </c>
      <c r="E4" s="24" t="s">
        <v>57</v>
      </c>
      <c r="F4" s="24" t="s">
        <v>58</v>
      </c>
      <c r="G4" s="24" t="s">
        <v>59</v>
      </c>
      <c r="H4" s="24" t="s">
        <v>60</v>
      </c>
      <c r="I4" s="24" t="s">
        <v>61</v>
      </c>
      <c r="J4" s="24" t="s">
        <v>62</v>
      </c>
      <c r="K4" s="24" t="s">
        <v>63</v>
      </c>
    </row>
    <row r="5" customFormat="false" ht="15" hidden="false" customHeight="false" outlineLevel="0" collapsed="false">
      <c r="A5" s="15" t="n">
        <v>0</v>
      </c>
      <c r="H5" s="16" t="n">
        <f aca="false">-'2. The asset'!$B$17*(1+'2. The asset'!$B$32)</f>
        <v>-8988306.25891813</v>
      </c>
      <c r="L5" s="16" t="n">
        <f aca="false">-C26*(1+'2. The asset'!$B$32)</f>
        <v>-8271599.53704555</v>
      </c>
      <c r="M5" s="16" t="n">
        <f aca="false">-'2. The asset'!$B$17</f>
        <v>-8431806.99710894</v>
      </c>
      <c r="N5" s="2" t="s">
        <v>64</v>
      </c>
    </row>
    <row r="6" customFormat="false" ht="15" hidden="false" customHeight="false" outlineLevel="0" collapsed="false">
      <c r="A6" s="15" t="n">
        <v>1</v>
      </c>
      <c r="B6" s="16" t="n">
        <f aca="false">($A6&lt;='2. The asset'!$B$34)*'2. The asset'!$B$14*(1+'2. The asset'!$B$30)^($A6-1)</f>
        <v>1096243.13203943</v>
      </c>
      <c r="C6" s="16" t="n">
        <f aca="false">($A6&lt;='2. The asset'!$B$34)*'2. The asset'!$B$23*(1+'2. The asset'!$B$31)^($A6-1)</f>
        <v>586118.808714338</v>
      </c>
      <c r="D6" s="16" t="n">
        <f aca="false">B6-C6</f>
        <v>510124.323325091</v>
      </c>
      <c r="E6" s="16" t="n">
        <f aca="false">($A6&lt;='2. The asset'!$B$34)*'2. The asset'!$B$24*'2. The asset'!$B$4*(1+'2. The asset'!$B$31)^($A6-1)</f>
        <v>21000</v>
      </c>
      <c r="F6" s="16" t="n">
        <f aca="false">($A6&lt;='2. The asset'!$B$34)*IF(MOD($A6+'2. The asset'!$B$27,'2. The asset'!$B$26)=0,'2. The asset'!$B$25*'2. The asset'!$B$4*(1+'2. The asset'!$B$31)^($A6-1),0)</f>
        <v>0</v>
      </c>
      <c r="G6" s="16" t="n">
        <f aca="false">D6-E6-F6</f>
        <v>489124.323325091</v>
      </c>
      <c r="H6" s="16" t="n">
        <f aca="false">G6+IF($A6='2. The asset'!$B$34,$C$23,0)</f>
        <v>489124.323325091</v>
      </c>
      <c r="I6" s="25" t="n">
        <f aca="false">1/(1+'2. The asset'!$B$29)^$A6</f>
        <v>0.922083909635777</v>
      </c>
      <c r="J6" s="16" t="n">
        <f aca="false">G6*I6</f>
        <v>451013.668349554</v>
      </c>
      <c r="K6" s="16" t="n">
        <f aca="false">($A6&lt;='2. The asset'!$B$34)*(-'2. The asset'!$B$22*(1+'2. The asset'!$B$31)^($A6-1))-E6-F6</f>
        <v>-448900</v>
      </c>
      <c r="L6" s="16" t="n">
        <f aca="false">H6</f>
        <v>489124.323325091</v>
      </c>
      <c r="M6" s="16" t="n">
        <f aca="false">H6</f>
        <v>489124.323325091</v>
      </c>
    </row>
    <row r="7" customFormat="false" ht="15" hidden="false" customHeight="false" outlineLevel="0" collapsed="false">
      <c r="A7" s="15" t="n">
        <v>2</v>
      </c>
      <c r="B7" s="16" t="n">
        <f aca="false">($A7&lt;='2. The asset'!$B$34)*'2. The asset'!$B$14*(1+'2. The asset'!$B$30)^($A7-1)</f>
        <v>1128034.18286857</v>
      </c>
      <c r="C7" s="16" t="n">
        <f aca="false">($A7&lt;='2. The asset'!$B$34)*'2. The asset'!$B$23*(1+'2. The asset'!$B$31)^($A7-1)</f>
        <v>604288.491784482</v>
      </c>
      <c r="D7" s="16" t="n">
        <f aca="false">B7-C7</f>
        <v>523745.69108409</v>
      </c>
      <c r="E7" s="16" t="n">
        <f aca="false">($A7&lt;='2. The asset'!$B$34)*'2. The asset'!$B$24*'2. The asset'!$B$4*(1+'2. The asset'!$B$31)^($A7-1)</f>
        <v>21651</v>
      </c>
      <c r="F7" s="16" t="n">
        <f aca="false">($A7&lt;='2. The asset'!$B$34)*IF(MOD($A7+'2. The asset'!$B$27,'2. The asset'!$B$26)=0,'2. The asset'!$B$25*'2. The asset'!$B$4*(1+'2. The asset'!$B$31)^($A7-1),0)</f>
        <v>0</v>
      </c>
      <c r="G7" s="16" t="n">
        <f aca="false">D7-E7-F7</f>
        <v>502094.69108409</v>
      </c>
      <c r="H7" s="16" t="n">
        <f aca="false">G7+IF($A7='2. The asset'!$B$34,$C$23,0)</f>
        <v>502094.69108409</v>
      </c>
      <c r="I7" s="25" t="n">
        <f aca="false">1/(1+'2. The asset'!$B$29)^$A7</f>
        <v>0.850238736409199</v>
      </c>
      <c r="J7" s="16" t="n">
        <f aca="false">G7*I7</f>
        <v>426900.355705104</v>
      </c>
      <c r="K7" s="16" t="n">
        <f aca="false">($A7&lt;='2. The asset'!$B$34)*(-'2. The asset'!$B$22*(1+'2. The asset'!$B$31)^($A7-1))-E7-F7</f>
        <v>-462815.9</v>
      </c>
      <c r="L7" s="16" t="n">
        <f aca="false">H7</f>
        <v>502094.69108409</v>
      </c>
      <c r="M7" s="16" t="n">
        <f aca="false">H7</f>
        <v>502094.69108409</v>
      </c>
    </row>
    <row r="8" customFormat="false" ht="15" hidden="false" customHeight="false" outlineLevel="0" collapsed="false">
      <c r="A8" s="15" t="n">
        <v>3</v>
      </c>
      <c r="B8" s="16" t="n">
        <f aca="false">($A8&lt;='2. The asset'!$B$34)*'2. The asset'!$B$14*(1+'2. The asset'!$B$30)^($A8-1)</f>
        <v>1160747.17417176</v>
      </c>
      <c r="C8" s="16" t="n">
        <f aca="false">($A8&lt;='2. The asset'!$B$34)*'2. The asset'!$B$23*(1+'2. The asset'!$B$31)^($A8-1)</f>
        <v>623021.435029801</v>
      </c>
      <c r="D8" s="16" t="n">
        <f aca="false">B8-C8</f>
        <v>537725.73914196</v>
      </c>
      <c r="E8" s="16" t="n">
        <f aca="false">($A8&lt;='2. The asset'!$B$34)*'2. The asset'!$B$24*'2. The asset'!$B$4*(1+'2. The asset'!$B$31)^($A8-1)</f>
        <v>22322.181</v>
      </c>
      <c r="F8" s="16" t="n">
        <f aca="false">($A8&lt;='2. The asset'!$B$34)*IF(MOD($A8+'2. The asset'!$B$27,'2. The asset'!$B$26)=0,'2. The asset'!$B$25*'2. The asset'!$B$4*(1+'2. The asset'!$B$31)^($A8-1),0)</f>
        <v>0</v>
      </c>
      <c r="G8" s="16" t="n">
        <f aca="false">D8-E8-F8</f>
        <v>515403.55814196</v>
      </c>
      <c r="H8" s="16" t="n">
        <f aca="false">G8+IF($A8='2. The asset'!$B$34,$C$23,0)</f>
        <v>515403.55814196</v>
      </c>
      <c r="I8" s="25" t="n">
        <f aca="false">1/(1+'2. The asset'!$B$29)^$A8</f>
        <v>0.783991458191977</v>
      </c>
      <c r="J8" s="16" t="n">
        <f aca="false">G8*I8</f>
        <v>404071.987105049</v>
      </c>
      <c r="K8" s="16" t="n">
        <f aca="false">($A8&lt;='2. The asset'!$B$34)*(-'2. The asset'!$B$22*(1+'2. The asset'!$B$31)^($A8-1))-E8-F8</f>
        <v>-477163.1929</v>
      </c>
      <c r="L8" s="16" t="n">
        <f aca="false">H8</f>
        <v>515403.55814196</v>
      </c>
      <c r="M8" s="16" t="n">
        <f aca="false">H8</f>
        <v>515403.55814196</v>
      </c>
    </row>
    <row r="9" customFormat="false" ht="15" hidden="false" customHeight="false" outlineLevel="0" collapsed="false">
      <c r="A9" s="15" t="n">
        <v>4</v>
      </c>
      <c r="B9" s="16" t="n">
        <f aca="false">($A9&lt;='2. The asset'!$B$34)*'2. The asset'!$B$14*(1+'2. The asset'!$B$30)^($A9-1)</f>
        <v>1194408.84222274</v>
      </c>
      <c r="C9" s="16" t="n">
        <f aca="false">($A9&lt;='2. The asset'!$B$34)*'2. The asset'!$B$23*(1+'2. The asset'!$B$31)^($A9-1)</f>
        <v>642335.099515725</v>
      </c>
      <c r="D9" s="16" t="n">
        <f aca="false">B9-C9</f>
        <v>552073.742707017</v>
      </c>
      <c r="E9" s="16" t="n">
        <f aca="false">($A9&lt;='2. The asset'!$B$34)*'2. The asset'!$B$24*'2. The asset'!$B$4*(1+'2. The asset'!$B$31)^($A9-1)</f>
        <v>23014.168611</v>
      </c>
      <c r="F9" s="16" t="n">
        <f aca="false">($A9&lt;='2. The asset'!$B$34)*IF(MOD($A9+'2. The asset'!$B$27,'2. The asset'!$B$26)=0,'2. The asset'!$B$25*'2. The asset'!$B$4*(1+'2. The asset'!$B$31)^($A9-1),0)</f>
        <v>0</v>
      </c>
      <c r="G9" s="16" t="n">
        <f aca="false">D9-E9-F9</f>
        <v>529059.574096017</v>
      </c>
      <c r="H9" s="16" t="n">
        <f aca="false">G9+IF($A9='2. The asset'!$B$34,$C$23,0)</f>
        <v>529059.574096017</v>
      </c>
      <c r="I9" s="25" t="n">
        <f aca="false">1/(1+'2. The asset'!$B$29)^$A9</f>
        <v>0.722905908890712</v>
      </c>
      <c r="J9" s="16" t="n">
        <f aca="false">G9*I9</f>
        <v>382460.292269214</v>
      </c>
      <c r="K9" s="16" t="n">
        <f aca="false">($A9&lt;='2. The asset'!$B$34)*(-'2. The asset'!$B$22*(1+'2. The asset'!$B$31)^($A9-1))-E9-F9</f>
        <v>-491955.2518799</v>
      </c>
      <c r="L9" s="16" t="n">
        <f aca="false">H9</f>
        <v>529059.574096017</v>
      </c>
      <c r="M9" s="16" t="n">
        <f aca="false">H9</f>
        <v>529059.574096017</v>
      </c>
    </row>
    <row r="10" customFormat="false" ht="15" hidden="false" customHeight="false" outlineLevel="0" collapsed="false">
      <c r="A10" s="15" t="n">
        <v>5</v>
      </c>
      <c r="B10" s="16" t="n">
        <f aca="false">($A10&lt;='2. The asset'!$B$34)*'2. The asset'!$B$14*(1+'2. The asset'!$B$30)^($A10-1)</f>
        <v>1229046.6986472</v>
      </c>
      <c r="C10" s="16" t="n">
        <f aca="false">($A10&lt;='2. The asset'!$B$34)*'2. The asset'!$B$23*(1+'2. The asset'!$B$31)^($A10-1)</f>
        <v>662247.487600713</v>
      </c>
      <c r="D10" s="16" t="n">
        <f aca="false">B10-C10</f>
        <v>566799.211046489</v>
      </c>
      <c r="E10" s="16" t="n">
        <f aca="false">($A10&lt;='2. The asset'!$B$34)*'2. The asset'!$B$24*'2. The asset'!$B$4*(1+'2. The asset'!$B$31)^($A10-1)</f>
        <v>23727.607837941</v>
      </c>
      <c r="F10" s="16" t="n">
        <f aca="false">($A10&lt;='2. The asset'!$B$34)*IF(MOD($A10+'2. The asset'!$B$27,'2. The asset'!$B$26)=0,'2. The asset'!$B$25*'2. The asset'!$B$4*(1+'2. The asset'!$B$31)^($A10-1),0)</f>
        <v>0</v>
      </c>
      <c r="G10" s="16" t="n">
        <f aca="false">D10-E10-F10</f>
        <v>543071.603208548</v>
      </c>
      <c r="H10" s="16" t="n">
        <f aca="false">G10+IF($A10='2. The asset'!$B$34,$C$23,0)</f>
        <v>543071.603208548</v>
      </c>
      <c r="I10" s="25" t="n">
        <f aca="false">1/(1+'2. The asset'!$B$29)^$A10</f>
        <v>0.666579906768753</v>
      </c>
      <c r="J10" s="16" t="n">
        <f aca="false">G10*I10</f>
        <v>362000.618635511</v>
      </c>
      <c r="K10" s="16" t="n">
        <f aca="false">($A10&lt;='2. The asset'!$B$34)*(-'2. The asset'!$B$22*(1+'2. The asset'!$B$31)^($A10-1))-E10-F10</f>
        <v>-507205.864688177</v>
      </c>
      <c r="L10" s="16" t="n">
        <f aca="false">H10</f>
        <v>543071.603208548</v>
      </c>
      <c r="M10" s="16" t="n">
        <f aca="false">H10</f>
        <v>543071.603208548</v>
      </c>
    </row>
    <row r="11" customFormat="false" ht="15" hidden="false" customHeight="false" outlineLevel="0" collapsed="false">
      <c r="A11" s="15" t="n">
        <v>6</v>
      </c>
      <c r="B11" s="16" t="n">
        <f aca="false">($A11&lt;='2. The asset'!$B$34)*'2. The asset'!$B$14*(1+'2. The asset'!$B$30)^($A11-1)</f>
        <v>1264689.05290797</v>
      </c>
      <c r="C11" s="16" t="n">
        <f aca="false">($A11&lt;='2. The asset'!$B$34)*'2. The asset'!$B$23*(1+'2. The asset'!$B$31)^($A11-1)</f>
        <v>682777.159716335</v>
      </c>
      <c r="D11" s="16" t="n">
        <f aca="false">B11-C11</f>
        <v>581911.893191635</v>
      </c>
      <c r="E11" s="16" t="n">
        <f aca="false">($A11&lt;='2. The asset'!$B$34)*'2. The asset'!$B$24*'2. The asset'!$B$4*(1+'2. The asset'!$B$31)^($A11-1)</f>
        <v>24463.1636809172</v>
      </c>
      <c r="F11" s="16" t="n">
        <f aca="false">($A11&lt;='2. The asset'!$B$34)*IF(MOD($A11+'2. The asset'!$B$27,'2. The asset'!$B$26)=0,'2. The asset'!$B$25*'2. The asset'!$B$4*(1+'2. The asset'!$B$31)^($A11-1),0)</f>
        <v>0</v>
      </c>
      <c r="G11" s="16" t="n">
        <f aca="false">D11-E11-F11</f>
        <v>557448.729510718</v>
      </c>
      <c r="H11" s="16" t="n">
        <f aca="false">G11+IF($A11='2. The asset'!$B$34,$C$23,0)</f>
        <v>557448.729510718</v>
      </c>
      <c r="I11" s="25" t="n">
        <f aca="false">1/(1+'2. The asset'!$B$29)^$A11</f>
        <v>0.614642606517983</v>
      </c>
      <c r="J11" s="16" t="n">
        <f aca="false">G11*I11</f>
        <v>342631.740106606</v>
      </c>
      <c r="K11" s="16" t="n">
        <f aca="false">($A11&lt;='2. The asset'!$B$34)*(-'2. The asset'!$B$22*(1+'2. The asset'!$B$31)^($A11-1))-E11-F11</f>
        <v>-522929.24649351</v>
      </c>
      <c r="L11" s="16" t="n">
        <f aca="false">H11</f>
        <v>557448.729510718</v>
      </c>
      <c r="M11" s="16" t="n">
        <f aca="false">H11</f>
        <v>557448.729510718</v>
      </c>
    </row>
    <row r="12" customFormat="false" ht="15" hidden="false" customHeight="false" outlineLevel="0" collapsed="false">
      <c r="A12" s="15" t="n">
        <v>7</v>
      </c>
      <c r="B12" s="16" t="n">
        <f aca="false">($A12&lt;='2. The asset'!$B$34)*'2. The asset'!$B$14*(1+'2. The asset'!$B$30)^($A12-1)</f>
        <v>1301365.0354423</v>
      </c>
      <c r="C12" s="16" t="n">
        <f aca="false">($A12&lt;='2. The asset'!$B$34)*'2. The asset'!$B$23*(1+'2. The asset'!$B$31)^($A12-1)</f>
        <v>703943.251667541</v>
      </c>
      <c r="D12" s="16" t="n">
        <f aca="false">B12-C12</f>
        <v>597421.78377476</v>
      </c>
      <c r="E12" s="16" t="n">
        <f aca="false">($A12&lt;='2. The asset'!$B$34)*'2. The asset'!$B$24*'2. The asset'!$B$4*(1+'2. The asset'!$B$31)^($A12-1)</f>
        <v>25221.5217550256</v>
      </c>
      <c r="F12" s="16" t="n">
        <f aca="false">($A12&lt;='2. The asset'!$B$34)*IF(MOD($A12+'2. The asset'!$B$27,'2. The asset'!$B$26)=0,'2. The asset'!$B$25*'2. The asset'!$B$4*(1+'2. The asset'!$B$31)^($A12-1),0)</f>
        <v>0</v>
      </c>
      <c r="G12" s="16" t="n">
        <f aca="false">D12-E12-F12</f>
        <v>572200.262019734</v>
      </c>
      <c r="H12" s="16" t="n">
        <f aca="false">G12+IF($A12='2. The asset'!$B$34,$C$23,0)</f>
        <v>572200.262019734</v>
      </c>
      <c r="I12" s="25" t="n">
        <f aca="false">1/(1+'2. The asset'!$B$29)^$A12</f>
        <v>0.566752057646826</v>
      </c>
      <c r="J12" s="16" t="n">
        <f aca="false">G12*I12</f>
        <v>324295.675885738</v>
      </c>
      <c r="K12" s="16" t="n">
        <f aca="false">($A12&lt;='2. The asset'!$B$34)*(-'2. The asset'!$B$22*(1+'2. The asset'!$B$31)^($A12-1))-E12-F12</f>
        <v>-539140.053134809</v>
      </c>
      <c r="L12" s="16" t="n">
        <f aca="false">H12</f>
        <v>572200.262019734</v>
      </c>
      <c r="M12" s="16" t="n">
        <f aca="false">H12</f>
        <v>572200.262019734</v>
      </c>
    </row>
    <row r="13" customFormat="false" ht="15" hidden="false" customHeight="false" outlineLevel="0" collapsed="false">
      <c r="A13" s="15" t="n">
        <v>8</v>
      </c>
      <c r="B13" s="16" t="n">
        <f aca="false">($A13&lt;='2. The asset'!$B$34)*'2. The asset'!$B$14*(1+'2. The asset'!$B$30)^($A13-1)</f>
        <v>1339104.62147013</v>
      </c>
      <c r="C13" s="16" t="n">
        <f aca="false">($A13&lt;='2. The asset'!$B$34)*'2. The asset'!$B$23*(1+'2. The asset'!$B$31)^($A13-1)</f>
        <v>725765.492469235</v>
      </c>
      <c r="D13" s="16" t="n">
        <f aca="false">B13-C13</f>
        <v>613339.129000893</v>
      </c>
      <c r="E13" s="16" t="n">
        <f aca="false">($A13&lt;='2. The asset'!$B$34)*'2. The asset'!$B$24*'2. The asset'!$B$4*(1+'2. The asset'!$B$31)^($A13-1)</f>
        <v>26003.3889294314</v>
      </c>
      <c r="F13" s="16" t="n">
        <f aca="false">($A13&lt;='2. The asset'!$B$34)*IF(MOD($A13+'2. The asset'!$B$27,'2. The asset'!$B$26)=0,'2. The asset'!$B$25*'2. The asset'!$B$4*(1+'2. The asset'!$B$31)^($A13-1),0)</f>
        <v>421007.249333651</v>
      </c>
      <c r="G13" s="16" t="n">
        <f aca="false">D13-E13-F13</f>
        <v>166328.490737811</v>
      </c>
      <c r="H13" s="16" t="n">
        <f aca="false">G13+IF($A13='2. The asset'!$B$34,$C$23,0)</f>
        <v>166328.490737811</v>
      </c>
      <c r="I13" s="25" t="n">
        <f aca="false">1/(1+'2. The asset'!$B$29)^$A13</f>
        <v>0.522592953109107</v>
      </c>
      <c r="J13" s="16" t="n">
        <f aca="false">G13*I13</f>
        <v>86922.0971608532</v>
      </c>
      <c r="K13" s="16" t="n">
        <f aca="false">($A13&lt;='2. The asset'!$B$34)*(-'2. The asset'!$B$22*(1+'2. The asset'!$B$31)^($A13-1))-E13-F13</f>
        <v>-976860.644115639</v>
      </c>
      <c r="L13" s="16" t="n">
        <f aca="false">H13</f>
        <v>166328.490737811</v>
      </c>
      <c r="M13" s="16" t="n">
        <f aca="false">H13</f>
        <v>166328.490737811</v>
      </c>
    </row>
    <row r="14" customFormat="false" ht="15" hidden="false" customHeight="false" outlineLevel="0" collapsed="false">
      <c r="A14" s="15" t="n">
        <v>9</v>
      </c>
      <c r="B14" s="16" t="n">
        <f aca="false">($A14&lt;='2. The asset'!$B$34)*'2. The asset'!$B$14*(1+'2. The asset'!$B$30)^($A14-1)</f>
        <v>1377938.65549276</v>
      </c>
      <c r="C14" s="16" t="n">
        <f aca="false">($A14&lt;='2. The asset'!$B$34)*'2. The asset'!$B$23*(1+'2. The asset'!$B$31)^($A14-1)</f>
        <v>748264.222735781</v>
      </c>
      <c r="D14" s="16" t="n">
        <f aca="false">B14-C14</f>
        <v>629674.43275698</v>
      </c>
      <c r="E14" s="16" t="n">
        <f aca="false">($A14&lt;='2. The asset'!$B$34)*'2. The asset'!$B$24*'2. The asset'!$B$4*(1+'2. The asset'!$B$31)^($A14-1)</f>
        <v>26809.4939862438</v>
      </c>
      <c r="F14" s="16" t="n">
        <f aca="false">($A14&lt;='2. The asset'!$B$34)*IF(MOD($A14+'2. The asset'!$B$27,'2. The asset'!$B$26)=0,'2. The asset'!$B$25*'2. The asset'!$B$4*(1+'2. The asset'!$B$31)^($A14-1),0)</f>
        <v>0</v>
      </c>
      <c r="G14" s="16" t="n">
        <f aca="false">D14-E14-F14</f>
        <v>602864.938770737</v>
      </c>
      <c r="H14" s="16" t="n">
        <f aca="false">G14+IF($A14='2. The asset'!$B$34,$C$23,0)</f>
        <v>602864.938770737</v>
      </c>
      <c r="I14" s="25" t="n">
        <f aca="false">1/(1+'2. The asset'!$B$29)^$A14</f>
        <v>0.481874553350951</v>
      </c>
      <c r="J14" s="16" t="n">
        <f aca="false">G14*I14</f>
        <v>290505.273101097</v>
      </c>
      <c r="K14" s="16" t="n">
        <f aca="false">($A14&lt;='2. The asset'!$B$34)*(-'2. The asset'!$B$22*(1+'2. The asset'!$B$31)^($A14-1))-E14-F14</f>
        <v>-573084.850020229</v>
      </c>
      <c r="L14" s="16" t="n">
        <f aca="false">H14</f>
        <v>602864.938770737</v>
      </c>
      <c r="M14" s="16" t="n">
        <f aca="false">H14</f>
        <v>602864.938770737</v>
      </c>
    </row>
    <row r="15" customFormat="false" ht="15" hidden="false" customHeight="false" outlineLevel="0" collapsed="false">
      <c r="A15" s="15" t="n">
        <v>10</v>
      </c>
      <c r="B15" s="16" t="n">
        <f aca="false">($A15&lt;='2. The asset'!$B$34)*'2. The asset'!$B$14*(1+'2. The asset'!$B$30)^($A15-1)</f>
        <v>1417898.87650205</v>
      </c>
      <c r="C15" s="16" t="n">
        <f aca="false">($A15&lt;='2. The asset'!$B$34)*'2. The asset'!$B$23*(1+'2. The asset'!$B$31)^($A15-1)</f>
        <v>771460.41364059</v>
      </c>
      <c r="D15" s="16" t="n">
        <f aca="false">B15-C15</f>
        <v>646438.462861461</v>
      </c>
      <c r="E15" s="16" t="n">
        <f aca="false">($A15&lt;='2. The asset'!$B$34)*'2. The asset'!$B$24*'2. The asset'!$B$4*(1+'2. The asset'!$B$31)^($A15-1)</f>
        <v>27640.5882998173</v>
      </c>
      <c r="F15" s="16" t="n">
        <f aca="false">($A15&lt;='2. The asset'!$B$34)*IF(MOD($A15+'2. The asset'!$B$27,'2. The asset'!$B$26)=0,'2. The asset'!$B$25*'2. The asset'!$B$4*(1+'2. The asset'!$B$31)^($A15-1),0)</f>
        <v>0</v>
      </c>
      <c r="G15" s="16" t="n">
        <f aca="false">D15-E15-F15</f>
        <v>618797.874561644</v>
      </c>
      <c r="H15" s="16" t="n">
        <f aca="false">G15+IF($A15='2. The asset'!$B$34,$C$23,0)</f>
        <v>10552259.5505517</v>
      </c>
      <c r="I15" s="25" t="n">
        <f aca="false">1/(1+'2. The asset'!$B$29)^$A15</f>
        <v>0.444328772107839</v>
      </c>
      <c r="J15" s="16" t="n">
        <f aca="false">G15*I15</f>
        <v>274949.699786916</v>
      </c>
      <c r="K15" s="16" t="n">
        <f aca="false">($A15&lt;='2. The asset'!$B$34)*(-'2. The asset'!$B$22*(1+'2. The asset'!$B$31)^($A15-1))-E15-F15</f>
        <v>-590850.480370857</v>
      </c>
      <c r="L15" s="16" t="n">
        <f aca="false">H15</f>
        <v>10552259.5505517</v>
      </c>
      <c r="M15" s="16" t="n">
        <f aca="false">H15</f>
        <v>10552259.5505517</v>
      </c>
    </row>
    <row r="17" customFormat="false" ht="15" hidden="false" customHeight="false" outlineLevel="0" collapsed="false">
      <c r="A17" s="14" t="s">
        <v>65</v>
      </c>
    </row>
    <row r="18" customFormat="false" ht="15" hidden="false" customHeight="false" outlineLevel="0" collapsed="false">
      <c r="A18" s="15" t="s">
        <v>66</v>
      </c>
      <c r="C18" s="16" t="n">
        <f aca="false">'2. The asset'!$B$14*(1+'2. The asset'!$B$30)^'2. The asset'!$B$34-'2. The asset'!$B$23*(1+'2. The asset'!$B$31)^'2. The asset'!$B$34</f>
        <v>663642.257457162</v>
      </c>
    </row>
    <row r="19" customFormat="false" ht="15" hidden="false" customHeight="false" outlineLevel="0" collapsed="false">
      <c r="A19" s="15" t="s">
        <v>67</v>
      </c>
      <c r="C19" s="16" t="n">
        <f aca="false">C18/'2. The asset'!$B$28</f>
        <v>10131942.8619414</v>
      </c>
    </row>
    <row r="20" customFormat="false" ht="15" hidden="false" customHeight="false" outlineLevel="0" collapsed="false">
      <c r="A20" s="15" t="s">
        <v>68</v>
      </c>
      <c r="C20" s="16" t="n">
        <f aca="false">-C19*'2. The asset'!$B$33</f>
        <v>-121583.314343297</v>
      </c>
    </row>
    <row r="21" customFormat="false" ht="15" hidden="false" customHeight="false" outlineLevel="0" collapsed="false">
      <c r="A21" s="15" t="s">
        <v>69</v>
      </c>
      <c r="C21" s="26" t="n">
        <f aca="false">MOD('2. The asset'!$B$34+'2. The asset'!$B$27,'2. The asset'!$B$26)</f>
        <v>2</v>
      </c>
    </row>
    <row r="22" customFormat="false" ht="15" hidden="false" customHeight="false" outlineLevel="0" collapsed="false">
      <c r="A22" s="15" t="s">
        <v>70</v>
      </c>
      <c r="C22" s="16" t="n">
        <f aca="false">-'2. The asset'!$B$25*'2. The asset'!$B$4*(1+'2. The asset'!$B$31)^'2. The asset'!$B$34*C21/'2. The asset'!$B$26</f>
        <v>-76897.871608079</v>
      </c>
    </row>
    <row r="23" customFormat="false" ht="15" hidden="false" customHeight="false" outlineLevel="0" collapsed="false">
      <c r="A23" s="15" t="s">
        <v>71</v>
      </c>
      <c r="C23" s="27" t="n">
        <f aca="false">C19+C20+C22</f>
        <v>9933461.67599003</v>
      </c>
    </row>
    <row r="25" customFormat="false" ht="15" hidden="false" customHeight="false" outlineLevel="0" collapsed="false">
      <c r="A25" s="14" t="s">
        <v>72</v>
      </c>
    </row>
    <row r="26" customFormat="false" ht="15" hidden="false" customHeight="false" outlineLevel="0" collapsed="false">
      <c r="A26" s="15" t="s">
        <v>73</v>
      </c>
      <c r="C26" s="27" t="n">
        <f aca="false">SUM(J6:J15)+C23/(1+'2. The asset'!$B$29)^'2. The asset'!$B$34</f>
        <v>7759474.23737857</v>
      </c>
    </row>
    <row r="27" customFormat="false" ht="15" hidden="false" customHeight="false" outlineLevel="0" collapsed="false">
      <c r="A27" s="15" t="s">
        <v>24</v>
      </c>
      <c r="C27" s="16" t="n">
        <f aca="false">'2. The asset'!$B$17</f>
        <v>8431806.99710894</v>
      </c>
    </row>
    <row r="28" customFormat="false" ht="15" hidden="false" customHeight="false" outlineLevel="0" collapsed="false">
      <c r="A28" s="15" t="s">
        <v>74</v>
      </c>
      <c r="C28" s="7" t="n">
        <f aca="false">C26/C27-1</f>
        <v>-0.0797376837445285</v>
      </c>
    </row>
    <row r="29" customFormat="false" ht="15" hidden="false" customHeight="false" outlineLevel="0" collapsed="false">
      <c r="A29" s="15" t="s">
        <v>75</v>
      </c>
      <c r="C29" s="28" t="n">
        <f aca="false">IRR(H5:H15)</f>
        <v>0.0644362631868804</v>
      </c>
    </row>
    <row r="30" customFormat="false" ht="15" hidden="false" customHeight="false" outlineLevel="0" collapsed="false">
      <c r="A30" s="15" t="s">
        <v>76</v>
      </c>
      <c r="C30" s="26" t="n">
        <f aca="false">('2. The asset'!$B$29-C29)*10000</f>
        <v>200.637368131196</v>
      </c>
    </row>
    <row r="31" customFormat="false" ht="15" hidden="false" customHeight="false" outlineLevel="0" collapsed="false">
      <c r="A31" s="15" t="s">
        <v>77</v>
      </c>
      <c r="C31" s="16" t="n">
        <f aca="false">SUM(J6:J15)</f>
        <v>3345751.40810564</v>
      </c>
    </row>
    <row r="32" customFormat="false" ht="15" hidden="false" customHeight="false" outlineLevel="0" collapsed="false">
      <c r="A32" s="15" t="s">
        <v>78</v>
      </c>
      <c r="C32" s="16" t="n">
        <f aca="false">C23/(1+'2. The asset'!$B$29)^'2. The asset'!$B$34</f>
        <v>4413722.82927293</v>
      </c>
    </row>
    <row r="33" customFormat="false" ht="15" hidden="false" customHeight="false" outlineLevel="0" collapsed="false">
      <c r="A33" s="15" t="s">
        <v>79</v>
      </c>
      <c r="C33" s="7" t="n">
        <f aca="false">C32/C26</f>
        <v>0.568817254139637</v>
      </c>
    </row>
    <row r="34" customFormat="false" ht="15" hidden="false" customHeight="false" outlineLevel="0" collapsed="false">
      <c r="A34" s="15" t="s">
        <v>80</v>
      </c>
      <c r="C34" s="27" t="n">
        <f aca="false">C26/(1+'2. The asset'!$B$32)</f>
        <v>7279056.50785982</v>
      </c>
    </row>
    <row r="35" customFormat="false" ht="15" hidden="false" customHeight="false" outlineLevel="0" collapsed="false">
      <c r="A35" s="15" t="s">
        <v>81</v>
      </c>
      <c r="C35" s="29" t="n">
        <f aca="false">C34/'2. The asset'!$B$4</f>
        <v>145.581130157196</v>
      </c>
    </row>
    <row r="36" customFormat="false" ht="15" hidden="false" customHeight="false" outlineLevel="0" collapsed="false">
      <c r="A36" s="15" t="s">
        <v>82</v>
      </c>
      <c r="C36" s="7" t="n">
        <f aca="false">1-C34/C27</f>
        <v>0.136714525088676</v>
      </c>
    </row>
    <row r="37" customFormat="false" ht="15" hidden="false" customHeight="false" outlineLevel="0" collapsed="false">
      <c r="A37" s="15" t="s">
        <v>83</v>
      </c>
      <c r="C37" s="13" t="n">
        <f aca="false">IRR(L5:L15)</f>
        <v>0.0756743859131547</v>
      </c>
    </row>
    <row r="38" customFormat="false" ht="15" hidden="false" customHeight="false" outlineLevel="0" collapsed="false">
      <c r="A38" s="15" t="s">
        <v>84</v>
      </c>
      <c r="C38" s="26" t="n">
        <f aca="false">('2. The asset'!$B$29-C37)*10000</f>
        <v>88.2561408684535</v>
      </c>
    </row>
    <row r="40" customFormat="false" ht="15" hidden="false" customHeight="false" outlineLevel="0" collapsed="false">
      <c r="A40" s="14" t="s">
        <v>85</v>
      </c>
    </row>
    <row r="41" customFormat="false" ht="15" hidden="false" customHeight="false" outlineLevel="0" collapsed="false">
      <c r="A41" s="15" t="s">
        <v>86</v>
      </c>
      <c r="C41" s="13" t="n">
        <f aca="false">'2. The asset'!$B$35+'2. The asset'!$B$36</f>
        <v>0.069</v>
      </c>
    </row>
    <row r="42" customFormat="false" ht="15" hidden="false" customHeight="false" outlineLevel="0" collapsed="false">
      <c r="A42" s="15" t="s">
        <v>87</v>
      </c>
      <c r="C42" s="7" t="n">
        <f aca="false">'2. The asset'!$B$8-'2. The asset'!$B$41</f>
        <v>0.716</v>
      </c>
    </row>
    <row r="43" customFormat="false" ht="15" hidden="false" customHeight="false" outlineLevel="0" collapsed="false">
      <c r="A43" s="15" t="s">
        <v>88</v>
      </c>
      <c r="C43" s="16" t="n">
        <f aca="false">('2. The asset'!$B$15+'2. The asset'!$B$22)*C42/'2. The asset'!$B$8-'2. The asset'!$B$22</f>
        <v>415850.521985886</v>
      </c>
    </row>
    <row r="44" customFormat="false" ht="15" hidden="false" customHeight="false" outlineLevel="0" collapsed="false">
      <c r="A44" s="15" t="s">
        <v>89</v>
      </c>
      <c r="C44" s="16" t="n">
        <f aca="false">'2. The asset'!$B$17*'2. The asset'!$B$37</f>
        <v>5059084.19826537</v>
      </c>
    </row>
    <row r="45" customFormat="false" ht="15" hidden="false" customHeight="false" outlineLevel="0" collapsed="false">
      <c r="A45" s="15" t="s">
        <v>90</v>
      </c>
      <c r="C45" s="16" t="n">
        <f aca="false">C43/('2. The asset'!$B$38*C41)</f>
        <v>3172010.08379776</v>
      </c>
    </row>
    <row r="46" customFormat="false" ht="15" hidden="false" customHeight="false" outlineLevel="0" collapsed="false">
      <c r="A46" s="15" t="s">
        <v>91</v>
      </c>
      <c r="C46" s="16" t="n">
        <f aca="false">C43/('2. The asset'!$B$39*(C41+'2. The asset'!$B$40))</f>
        <v>3667112.18682439</v>
      </c>
    </row>
    <row r="47" customFormat="false" ht="15" hidden="false" customHeight="false" outlineLevel="0" collapsed="false">
      <c r="A47" s="15" t="s">
        <v>92</v>
      </c>
      <c r="C47" s="27" t="n">
        <f aca="false">MIN(C44:C46)</f>
        <v>3172010.08379776</v>
      </c>
    </row>
    <row r="48" customFormat="false" ht="15" hidden="false" customHeight="false" outlineLevel="0" collapsed="false">
      <c r="A48" s="15" t="s">
        <v>93</v>
      </c>
      <c r="C48" s="7" t="n">
        <f aca="false">C47/'2. The asset'!$B$17</f>
        <v>0.376195765022297</v>
      </c>
    </row>
    <row r="49" customFormat="false" ht="15" hidden="false" customHeight="false" outlineLevel="0" collapsed="false">
      <c r="A49" s="15" t="s">
        <v>94</v>
      </c>
      <c r="C49" s="15" t="str">
        <f aca="false">IF(C47=C44,"loan to value",IF(C47=C45,"interest cover","debt service cover"))</f>
        <v>interest cover</v>
      </c>
    </row>
    <row r="50" customFormat="false" ht="15" hidden="false" customHeight="false" outlineLevel="0" collapsed="false">
      <c r="A50" s="15" t="s">
        <v>95</v>
      </c>
      <c r="C50" s="16" t="n">
        <f aca="false">'2. The asset'!$B$17*(1+'2. The asset'!$B$32)-C47</f>
        <v>5816296.17512038</v>
      </c>
    </row>
    <row r="51" customFormat="false" ht="15" hidden="false" customHeight="false" outlineLevel="0" collapsed="false">
      <c r="A51" s="15" t="s">
        <v>96</v>
      </c>
      <c r="C51" s="16" t="n">
        <f aca="false">C47*(C41+'2. The asset'!$B$40)</f>
        <v>266448.847039012</v>
      </c>
    </row>
    <row r="52" customFormat="false" ht="15" hidden="false" customHeight="false" outlineLevel="0" collapsed="false">
      <c r="A52" s="15" t="s">
        <v>97</v>
      </c>
      <c r="C52" s="16" t="n">
        <f aca="false">'2. The asset'!$B$24*'2. The asset'!$B$4+'2. The asset'!$B$25*'2. The asset'!$B$4/'2. The asset'!$B$26</f>
        <v>49333.3333333333</v>
      </c>
    </row>
    <row r="53" customFormat="false" ht="15" hidden="false" customHeight="false" outlineLevel="0" collapsed="false">
      <c r="A53" s="15" t="s">
        <v>98</v>
      </c>
      <c r="C53" s="13" t="n">
        <f aca="false">('2. The asset'!$B$15-C52-C51)/C50</f>
        <v>0.0334133849276896</v>
      </c>
    </row>
    <row r="54" customFormat="false" ht="15" hidden="false" customHeight="false" outlineLevel="0" collapsed="false">
      <c r="A54" s="15" t="s">
        <v>99</v>
      </c>
      <c r="C54" s="13" t="n">
        <f aca="false">('2. The asset'!$B$15-C52)/('2. The asset'!$B$17*(1+'2. The asset'!$B$32))</f>
        <v>0.051265608527142</v>
      </c>
    </row>
    <row r="55" customFormat="false" ht="15" hidden="false" customHeight="false" outlineLevel="0" collapsed="false">
      <c r="A55" s="15" t="s">
        <v>100</v>
      </c>
      <c r="C55" s="30" t="n">
        <f aca="false">'2. The asset'!$B$8*(C51+C52+'2. The asset'!$B$22)/('2. The asset'!$B$15+'2. The asset'!$B$22)</f>
        <v>0.631082799087745</v>
      </c>
    </row>
    <row r="56" customFormat="false" ht="15" hidden="false" customHeight="false" outlineLevel="0" collapsed="false">
      <c r="A56" s="15" t="s">
        <v>101</v>
      </c>
      <c r="C56" s="31" t="n">
        <f aca="false">('2. The asset'!$B$8-C55)*100</f>
        <v>16.4917200912255</v>
      </c>
    </row>
    <row r="57" customFormat="false" ht="15" hidden="false" customHeight="false" outlineLevel="0" collapsed="false">
      <c r="A57" s="15" t="s">
        <v>102</v>
      </c>
      <c r="C57" s="7" t="n">
        <f aca="false">'2. The asset'!$B$8*'2. The asset'!$B$22/('2. The asset'!$B$15+'2. The asset'!$B$22)</f>
        <v>0.363112545730816</v>
      </c>
    </row>
    <row r="59" customFormat="false" ht="15" hidden="false" customHeight="false" outlineLevel="0" collapsed="false">
      <c r="A59" s="14" t="s">
        <v>103</v>
      </c>
    </row>
    <row r="60" customFormat="false" ht="15" hidden="false" customHeight="false" outlineLevel="0" collapsed="false">
      <c r="A60" s="15" t="s">
        <v>35</v>
      </c>
      <c r="C60" s="28" t="n">
        <f aca="false">C18/((('2. The asset'!$B$17-C31)*(1+'2. The asset'!$B$29)^'2. The asset'!$B$34-C22)/(1-'2. The asset'!$B$33))</f>
        <v>0.056899243501809</v>
      </c>
    </row>
    <row r="61" customFormat="false" ht="15" hidden="false" customHeight="false" outlineLevel="0" collapsed="false">
      <c r="A61" s="15" t="s">
        <v>36</v>
      </c>
      <c r="C61" s="28" t="n">
        <f aca="false">IRR(M5:M15)</f>
        <v>0.0730567818966336</v>
      </c>
    </row>
    <row r="62" customFormat="false" ht="15" hidden="false" customHeight="false" outlineLevel="0" collapsed="false">
      <c r="A62" s="15" t="s">
        <v>104</v>
      </c>
      <c r="C62" s="16" t="n">
        <f aca="false">SUMPRODUCT(K6:K15,I6:I15)+(-'2. The asset'!$B$22*(1+'2. The asset'!$B$31)^'2. The asset'!$B$34/'2. The asset'!$B$28*(1-'2. The asset'!$B$33)+C22)/(1+'2. The asset'!$B$29)^'2. The asset'!$B$34</f>
        <v>-7477365.18481505</v>
      </c>
    </row>
    <row r="63" customFormat="false" ht="15" hidden="false" customHeight="false" outlineLevel="0" collapsed="false">
      <c r="A63" s="15" t="s">
        <v>105</v>
      </c>
      <c r="C63" s="28" t="n">
        <f aca="false">'2. The asset'!$B$8*('2. The asset'!$B$17-C62)/(C26-C62)</f>
        <v>0.831123877197646</v>
      </c>
    </row>
    <row r="64" customFormat="false" ht="15" hidden="false" customHeight="false" outlineLevel="0" collapsed="false">
      <c r="A64" s="15" t="s">
        <v>106</v>
      </c>
      <c r="C64" s="28" t="n">
        <f aca="false">D119</f>
        <v>0.034190062844336</v>
      </c>
    </row>
    <row r="65" customFormat="false" ht="15" hidden="false" customHeight="false" outlineLevel="0" collapsed="false">
      <c r="A65" s="15" t="s">
        <v>107</v>
      </c>
      <c r="C65" s="28" t="n">
        <f aca="false">I119</f>
        <v>0.0212204542796103</v>
      </c>
    </row>
    <row r="68" customFormat="false" ht="15" hidden="false" customHeight="false" outlineLevel="0" collapsed="false">
      <c r="A68" s="2" t="s">
        <v>108</v>
      </c>
    </row>
    <row r="69" customFormat="false" ht="28.35" hidden="false" customHeight="false" outlineLevel="0" collapsed="false">
      <c r="A69" s="24" t="s">
        <v>109</v>
      </c>
      <c r="B69" s="24" t="s">
        <v>110</v>
      </c>
      <c r="C69" s="24" t="s">
        <v>111</v>
      </c>
      <c r="D69" s="24" t="s">
        <v>112</v>
      </c>
      <c r="E69" s="24" t="s">
        <v>113</v>
      </c>
      <c r="F69" s="24"/>
      <c r="G69" s="24" t="s">
        <v>114</v>
      </c>
      <c r="H69" s="24" t="s">
        <v>111</v>
      </c>
      <c r="I69" s="24" t="s">
        <v>112</v>
      </c>
      <c r="J69" s="24" t="s">
        <v>113</v>
      </c>
    </row>
    <row r="70" customFormat="false" ht="15" hidden="false" customHeight="false" outlineLevel="0" collapsed="false">
      <c r="A70" s="15" t="n">
        <v>1</v>
      </c>
      <c r="B70" s="15" t="n">
        <v>-0.02</v>
      </c>
      <c r="C70" s="15" t="n">
        <v>0.2</v>
      </c>
      <c r="D70" s="32" t="n">
        <f aca="false">(B70+C70)/2</f>
        <v>0.09</v>
      </c>
      <c r="E70" s="16" t="n">
        <f aca="false">SUMPRODUCT(($A$6:$A$15&lt;='2. The asset'!$B$34)*('2. The asset'!$B$14*(1+D70)^($A$6:$A$15-1)-'2. The asset'!$B$23*(1+'2. The asset'!$B$31)^($A$6:$A$15-1)-('2. The asset'!$B$24*'2. The asset'!$B$4*(1+'2. The asset'!$B$31)^($A$6:$A$15-1)+(MOD($A$6:$A$15+'2. The asset'!$B$27,'2. The asset'!$B$26)=0)*'2. The asset'!$B$25*'2. The asset'!$B$4*(1+'2. The asset'!$B$31)^($A$6:$A$15-1)))/(1+'2. The asset'!$B$29)^$A$6:$A$15)+((('2. The asset'!$B$14*(1+D70)^'2. The asset'!$B$34-'2. The asset'!$B$23*(1+'2. The asset'!$B$31)^'2. The asset'!$B$34)/'2. The asset'!$B$28)*(1-'2. The asset'!$B$33)-'2. The asset'!$B$25*'2. The asset'!$B$4*(1+'2. The asset'!$B$31)^'2. The asset'!$B$34*MOD('2. The asset'!$B$34+'2. The asset'!$B$27,'2. The asset'!$B$26)/'2. The asset'!$B$26)/(1+'2. The asset'!$B$29)^'2. The asset'!$B$34-'2. The asset'!$B$17</f>
        <v>9213449.37143675</v>
      </c>
      <c r="G70" s="15" t="n">
        <v>-0.1</v>
      </c>
      <c r="H70" s="15" t="n">
        <v>0.15</v>
      </c>
      <c r="I70" s="32" t="n">
        <f aca="false">(G70+H70)/2</f>
        <v>0.025</v>
      </c>
      <c r="J70" s="16" t="n">
        <f aca="false">SUMPRODUCT(($A$6:$A$15&lt;='2. The asset'!$B$34)*('2. The asset'!$B$14*(1+'2. The asset'!$B$30)^($A$6:$A$15-1)-'2. The asset'!$B$23*(1+I70)^($A$6:$A$15-1)-('2. The asset'!$B$24*'2. The asset'!$B$4*(1+I70)^($A$6:$A$15-1)+(MOD($A$6:$A$15+'2. The asset'!$B$27,'2. The asset'!$B$26)=0)*'2. The asset'!$B$25*'2. The asset'!$B$4*(1+I70)^($A$6:$A$15-1)))/(1+'2. The asset'!$B$29)^$A$6:$A$15)+((('2. The asset'!$B$14*(1+'2. The asset'!$B$30)^'2. The asset'!$B$34-'2. The asset'!$B$23*(1+I70)^'2. The asset'!$B$34)/'2. The asset'!$B$28)*(1-'2. The asset'!$B$33)-'2. The asset'!$B$25*'2. The asset'!$B$4*(1+I70)^'2. The asset'!$B$34*MOD('2. The asset'!$B$34+'2. The asset'!$B$27,'2. The asset'!$B$26)/'2. The asset'!$B$26)/(1+'2. The asset'!$B$29)^'2. The asset'!$B$34-'2. The asset'!$B$17</f>
        <v>-253827.514311686</v>
      </c>
    </row>
    <row r="71" customFormat="false" ht="15" hidden="false" customHeight="false" outlineLevel="0" collapsed="false">
      <c r="A71" s="15" t="n">
        <v>2</v>
      </c>
      <c r="B71" s="15" t="n">
        <f aca="false">IF(E70&lt;0,D70,B70)</f>
        <v>-0.02</v>
      </c>
      <c r="C71" s="32" t="n">
        <f aca="false">IF(E70&lt;0,C70,D70)</f>
        <v>0.09</v>
      </c>
      <c r="D71" s="32" t="n">
        <f aca="false">(B71+C71)/2</f>
        <v>0.035</v>
      </c>
      <c r="E71" s="16" t="n">
        <f aca="false">SUMPRODUCT(($A$6:$A$15&lt;='2. The asset'!$B$34)*('2. The asset'!$B$14*(1+D71)^($A$6:$A$15-1)-'2. The asset'!$B$23*(1+'2. The asset'!$B$31)^($A$6:$A$15-1)-('2. The asset'!$B$24*'2. The asset'!$B$4*(1+'2. The asset'!$B$31)^($A$6:$A$15-1)+(MOD($A$6:$A$15+'2. The asset'!$B$27,'2. The asset'!$B$26)=0)*'2. The asset'!$B$25*'2. The asset'!$B$4*(1+'2. The asset'!$B$31)^($A$6:$A$15-1)))/(1+'2. The asset'!$B$29)^$A$6:$A$15)+((('2. The asset'!$B$14*(1+D71)^'2. The asset'!$B$34-'2. The asset'!$B$23*(1+'2. The asset'!$B$31)^'2. The asset'!$B$34)/'2. The asset'!$B$28)*(1-'2. The asset'!$B$33)-'2. The asset'!$B$25*'2. The asset'!$B$4*(1+'2. The asset'!$B$31)^'2. The asset'!$B$34*MOD('2. The asset'!$B$34+'2. The asset'!$B$27,'2. The asset'!$B$26)/'2. The asset'!$B$26)/(1+'2. The asset'!$B$29)^'2. The asset'!$B$34-'2. The asset'!$B$17</f>
        <v>107389.210549762</v>
      </c>
      <c r="G71" s="15" t="n">
        <f aca="false">IF(J70&gt;0,I70,G70)</f>
        <v>-0.1</v>
      </c>
      <c r="H71" s="32" t="n">
        <f aca="false">IF(J70&gt;0,H70,I70)</f>
        <v>0.025</v>
      </c>
      <c r="I71" s="32" t="n">
        <f aca="false">(G71+H71)/2</f>
        <v>-0.0375</v>
      </c>
      <c r="J71" s="16" t="n">
        <f aca="false">SUMPRODUCT(($A$6:$A$15&lt;='2. The asset'!$B$34)*('2. The asset'!$B$14*(1+'2. The asset'!$B$30)^($A$6:$A$15-1)-'2. The asset'!$B$23*(1+I71)^($A$6:$A$15-1)-('2. The asset'!$B$24*'2. The asset'!$B$4*(1+I71)^($A$6:$A$15-1)+(MOD($A$6:$A$15+'2. The asset'!$B$27,'2. The asset'!$B$26)=0)*'2. The asset'!$B$25*'2. The asset'!$B$4*(1+I71)^($A$6:$A$15-1)))/(1+'2. The asset'!$B$29)^$A$6:$A$15)+((('2. The asset'!$B$14*(1+'2. The asset'!$B$30)^'2. The asset'!$B$34-'2. The asset'!$B$23*(1+I71)^'2. The asset'!$B$34)/'2. The asset'!$B$28)*(1-'2. The asset'!$B$33)-'2. The asset'!$B$25*'2. The asset'!$B$4*(1+I71)^'2. The asset'!$B$34*MOD('2. The asset'!$B$34+'2. The asset'!$B$27,'2. The asset'!$B$26)/'2. The asset'!$B$26)/(1+'2. The asset'!$B$29)^'2. The asset'!$B$34-'2. The asset'!$B$17</f>
        <v>3116985.81531482</v>
      </c>
    </row>
    <row r="72" customFormat="false" ht="15" hidden="false" customHeight="false" outlineLevel="0" collapsed="false">
      <c r="A72" s="15" t="n">
        <v>3</v>
      </c>
      <c r="B72" s="15" t="n">
        <f aca="false">IF(E71&lt;0,D71,B71)</f>
        <v>-0.02</v>
      </c>
      <c r="C72" s="32" t="n">
        <f aca="false">IF(E71&lt;0,C71,D71)</f>
        <v>0.035</v>
      </c>
      <c r="D72" s="32" t="n">
        <f aca="false">(B72+C72)/2</f>
        <v>0.0075</v>
      </c>
      <c r="E72" s="16" t="n">
        <f aca="false">SUMPRODUCT(($A$6:$A$15&lt;='2. The asset'!$B$34)*('2. The asset'!$B$14*(1+D72)^($A$6:$A$15-1)-'2. The asset'!$B$23*(1+'2. The asset'!$B$31)^($A$6:$A$15-1)-('2. The asset'!$B$24*'2. The asset'!$B$4*(1+'2. The asset'!$B$31)^($A$6:$A$15-1)+(MOD($A$6:$A$15+'2. The asset'!$B$27,'2. The asset'!$B$26)=0)*'2. The asset'!$B$25*'2. The asset'!$B$4*(1+'2. The asset'!$B$31)^($A$6:$A$15-1)))/(1+'2. The asset'!$B$29)^$A$6:$A$15)+((('2. The asset'!$B$14*(1+D72)^'2. The asset'!$B$34-'2. The asset'!$B$23*(1+'2. The asset'!$B$31)^'2. The asset'!$B$34)/'2. The asset'!$B$28)*(1-'2. The asset'!$B$33)-'2. The asset'!$B$25*'2. The asset'!$B$4*(1+'2. The asset'!$B$31)^'2. The asset'!$B$34*MOD('2. The asset'!$B$34+'2. The asset'!$B$27,'2. The asset'!$B$26)/'2. The asset'!$B$26)/(1+'2. The asset'!$B$29)^'2. The asset'!$B$34-'2. The asset'!$B$17</f>
        <v>-3184786.56958848</v>
      </c>
      <c r="G72" s="32" t="n">
        <f aca="false">IF(J71&gt;0,I71,G71)</f>
        <v>-0.0375</v>
      </c>
      <c r="H72" s="32" t="n">
        <f aca="false">IF(J71&gt;0,H71,I71)</f>
        <v>0.025</v>
      </c>
      <c r="I72" s="32" t="n">
        <f aca="false">(G72+H72)/2</f>
        <v>-0.00625000000000001</v>
      </c>
      <c r="J72" s="16" t="n">
        <f aca="false">SUMPRODUCT(($A$6:$A$15&lt;='2. The asset'!$B$34)*('2. The asset'!$B$14*(1+'2. The asset'!$B$30)^($A$6:$A$15-1)-'2. The asset'!$B$23*(1+I72)^($A$6:$A$15-1)-('2. The asset'!$B$24*'2. The asset'!$B$4*(1+I72)^($A$6:$A$15-1)+(MOD($A$6:$A$15+'2. The asset'!$B$27,'2. The asset'!$B$26)=0)*'2. The asset'!$B$25*'2. The asset'!$B$4*(1+I72)^($A$6:$A$15-1)))/(1+'2. The asset'!$B$29)^$A$6:$A$15)+((('2. The asset'!$B$14*(1+'2. The asset'!$B$30)^'2. The asset'!$B$34-'2. The asset'!$B$23*(1+I72)^'2. The asset'!$B$34)/'2. The asset'!$B$28)*(1-'2. The asset'!$B$33)-'2. The asset'!$B$25*'2. The asset'!$B$4*(1+I72)^'2. The asset'!$B$34*MOD('2. The asset'!$B$34+'2. The asset'!$B$27,'2. The asset'!$B$26)/'2. The asset'!$B$26)/(1+'2. The asset'!$B$29)^'2. The asset'!$B$34-'2. The asset'!$B$17</f>
        <v>1636848.29196251</v>
      </c>
    </row>
    <row r="73" customFormat="false" ht="15" hidden="false" customHeight="false" outlineLevel="0" collapsed="false">
      <c r="A73" s="15" t="n">
        <v>4</v>
      </c>
      <c r="B73" s="32" t="n">
        <f aca="false">IF(E72&lt;0,D72,B72)</f>
        <v>0.0075</v>
      </c>
      <c r="C73" s="32" t="n">
        <f aca="false">IF(E72&lt;0,C72,D72)</f>
        <v>0.035</v>
      </c>
      <c r="D73" s="32" t="n">
        <f aca="false">(B73+C73)/2</f>
        <v>0.02125</v>
      </c>
      <c r="E73" s="16" t="n">
        <f aca="false">SUMPRODUCT(($A$6:$A$15&lt;='2. The asset'!$B$34)*('2. The asset'!$B$14*(1+D73)^($A$6:$A$15-1)-'2. The asset'!$B$23*(1+'2. The asset'!$B$31)^($A$6:$A$15-1)-('2. The asset'!$B$24*'2. The asset'!$B$4*(1+'2. The asset'!$B$31)^($A$6:$A$15-1)+(MOD($A$6:$A$15+'2. The asset'!$B$27,'2. The asset'!$B$26)=0)*'2. The asset'!$B$25*'2. The asset'!$B$4*(1+'2. The asset'!$B$31)^($A$6:$A$15-1)))/(1+'2. The asset'!$B$29)^$A$6:$A$15)+((('2. The asset'!$B$14*(1+D73)^'2. The asset'!$B$34-'2. The asset'!$B$23*(1+'2. The asset'!$B$31)^'2. The asset'!$B$34)/'2. The asset'!$B$28)*(1-'2. The asset'!$B$33)-'2. The asset'!$B$25*'2. The asset'!$B$4*(1+'2. The asset'!$B$31)^'2. The asset'!$B$34*MOD('2. The asset'!$B$34+'2. The asset'!$B$27,'2. The asset'!$B$26)/'2. The asset'!$B$26)/(1+'2. The asset'!$B$29)^'2. The asset'!$B$34-'2. The asset'!$B$17</f>
        <v>-1627026.80843932</v>
      </c>
      <c r="G73" s="32" t="n">
        <f aca="false">IF(J72&gt;0,I72,G72)</f>
        <v>-0.00625000000000001</v>
      </c>
      <c r="H73" s="32" t="n">
        <f aca="false">IF(J72&gt;0,H72,I72)</f>
        <v>0.025</v>
      </c>
      <c r="I73" s="32" t="n">
        <f aca="false">(G73+H73)/2</f>
        <v>0.00937499999999999</v>
      </c>
      <c r="J73" s="16" t="n">
        <f aca="false">SUMPRODUCT(($A$6:$A$15&lt;='2. The asset'!$B$34)*('2. The asset'!$B$14*(1+'2. The asset'!$B$30)^($A$6:$A$15-1)-'2. The asset'!$B$23*(1+I73)^($A$6:$A$15-1)-('2. The asset'!$B$24*'2. The asset'!$B$4*(1+I73)^($A$6:$A$15-1)+(MOD($A$6:$A$15+'2. The asset'!$B$27,'2. The asset'!$B$26)=0)*'2. The asset'!$B$25*'2. The asset'!$B$4*(1+I73)^($A$6:$A$15-1)))/(1+'2. The asset'!$B$29)^$A$6:$A$15)+((('2. The asset'!$B$14*(1+'2. The asset'!$B$30)^'2. The asset'!$B$34-'2. The asset'!$B$23*(1+I73)^'2. The asset'!$B$34)/'2. The asset'!$B$28)*(1-'2. The asset'!$B$33)-'2. The asset'!$B$25*'2. The asset'!$B$4*(1+I73)^'2. The asset'!$B$34*MOD('2. The asset'!$B$34+'2. The asset'!$B$27,'2. The asset'!$B$26)/'2. The asset'!$B$26)/(1+'2. The asset'!$B$29)^'2. The asset'!$B$34-'2. The asset'!$B$17</f>
        <v>748962.863516679</v>
      </c>
    </row>
    <row r="74" customFormat="false" ht="15" hidden="false" customHeight="false" outlineLevel="0" collapsed="false">
      <c r="A74" s="15" t="n">
        <v>5</v>
      </c>
      <c r="B74" s="32" t="n">
        <f aca="false">IF(E73&lt;0,D73,B73)</f>
        <v>0.02125</v>
      </c>
      <c r="C74" s="32" t="n">
        <f aca="false">IF(E73&lt;0,C73,D73)</f>
        <v>0.035</v>
      </c>
      <c r="D74" s="32" t="n">
        <f aca="false">(B74+C74)/2</f>
        <v>0.028125</v>
      </c>
      <c r="E74" s="16" t="n">
        <f aca="false">SUMPRODUCT(($A$6:$A$15&lt;='2. The asset'!$B$34)*('2. The asset'!$B$14*(1+D74)^($A$6:$A$15-1)-'2. The asset'!$B$23*(1+'2. The asset'!$B$31)^($A$6:$A$15-1)-('2. The asset'!$B$24*'2. The asset'!$B$4*(1+'2. The asset'!$B$31)^($A$6:$A$15-1)+(MOD($A$6:$A$15+'2. The asset'!$B$27,'2. The asset'!$B$26)=0)*'2. The asset'!$B$25*'2. The asset'!$B$4*(1+'2. The asset'!$B$31)^($A$6:$A$15-1)))/(1+'2. The asset'!$B$29)^$A$6:$A$15)+((('2. The asset'!$B$14*(1+D74)^'2. The asset'!$B$34-'2. The asset'!$B$23*(1+'2. The asset'!$B$31)^'2. The asset'!$B$34)/'2. The asset'!$B$28)*(1-'2. The asset'!$B$33)-'2. The asset'!$B$25*'2. The asset'!$B$4*(1+'2. The asset'!$B$31)^'2. The asset'!$B$34*MOD('2. The asset'!$B$34+'2. The asset'!$B$27,'2. The asset'!$B$26)/'2. The asset'!$B$26)/(1+'2. The asset'!$B$29)^'2. The asset'!$B$34-'2. The asset'!$B$17</f>
        <v>-783031.811663508</v>
      </c>
      <c r="G74" s="32" t="n">
        <f aca="false">IF(J73&gt;0,I73,G73)</f>
        <v>0.00937499999999999</v>
      </c>
      <c r="H74" s="32" t="n">
        <f aca="false">IF(J73&gt;0,H73,I73)</f>
        <v>0.025</v>
      </c>
      <c r="I74" s="32" t="n">
        <f aca="false">(G74+H74)/2</f>
        <v>0.0171875</v>
      </c>
      <c r="J74" s="16" t="n">
        <f aca="false">SUMPRODUCT(($A$6:$A$15&lt;='2. The asset'!$B$34)*('2. The asset'!$B$14*(1+'2. The asset'!$B$30)^($A$6:$A$15-1)-'2. The asset'!$B$23*(1+I74)^($A$6:$A$15-1)-('2. The asset'!$B$24*'2. The asset'!$B$4*(1+I74)^($A$6:$A$15-1)+(MOD($A$6:$A$15+'2. The asset'!$B$27,'2. The asset'!$B$26)=0)*'2. The asset'!$B$25*'2. The asset'!$B$4*(1+I74)^($A$6:$A$15-1)))/(1+'2. The asset'!$B$29)^$A$6:$A$15)+((('2. The asset'!$B$14*(1+'2. The asset'!$B$30)^'2. The asset'!$B$34-'2. The asset'!$B$23*(1+I74)^'2. The asset'!$B$34)/'2. The asset'!$B$28)*(1-'2. The asset'!$B$33)-'2. The asset'!$B$25*'2. The asset'!$B$4*(1+I74)^'2. The asset'!$B$34*MOD('2. The asset'!$B$34+'2. The asset'!$B$27,'2. The asset'!$B$26)/'2. The asset'!$B$26)/(1+'2. The asset'!$B$29)^'2. The asset'!$B$34-'2. The asset'!$B$17</f>
        <v>262769.572319781</v>
      </c>
    </row>
    <row r="75" customFormat="false" ht="15" hidden="false" customHeight="false" outlineLevel="0" collapsed="false">
      <c r="A75" s="15" t="n">
        <v>6</v>
      </c>
      <c r="B75" s="32" t="n">
        <f aca="false">IF(E74&lt;0,D74,B74)</f>
        <v>0.028125</v>
      </c>
      <c r="C75" s="32" t="n">
        <f aca="false">IF(E74&lt;0,C74,D74)</f>
        <v>0.035</v>
      </c>
      <c r="D75" s="32" t="n">
        <f aca="false">(B75+C75)/2</f>
        <v>0.0315625</v>
      </c>
      <c r="E75" s="16" t="n">
        <f aca="false">SUMPRODUCT(($A$6:$A$15&lt;='2. The asset'!$B$34)*('2. The asset'!$B$14*(1+D75)^($A$6:$A$15-1)-'2. The asset'!$B$23*(1+'2. The asset'!$B$31)^($A$6:$A$15-1)-('2. The asset'!$B$24*'2. The asset'!$B$4*(1+'2. The asset'!$B$31)^($A$6:$A$15-1)+(MOD($A$6:$A$15+'2. The asset'!$B$27,'2. The asset'!$B$26)=0)*'2. The asset'!$B$25*'2. The asset'!$B$4*(1+'2. The asset'!$B$31)^($A$6:$A$15-1)))/(1+'2. The asset'!$B$29)^$A$6:$A$15)+((('2. The asset'!$B$14*(1+D75)^'2. The asset'!$B$34-'2. The asset'!$B$23*(1+'2. The asset'!$B$31)^'2. The asset'!$B$34)/'2. The asset'!$B$28)*(1-'2. The asset'!$B$33)-'2. The asset'!$B$25*'2. The asset'!$B$4*(1+'2. The asset'!$B$31)^'2. The asset'!$B$34*MOD('2. The asset'!$B$34+'2. The asset'!$B$27,'2. The asset'!$B$26)/'2. The asset'!$B$26)/(1+'2. The asset'!$B$29)^'2. The asset'!$B$34-'2. The asset'!$B$17</f>
        <v>-343771.591591397</v>
      </c>
      <c r="G75" s="32" t="n">
        <f aca="false">IF(J74&gt;0,I74,G74)</f>
        <v>0.0171875</v>
      </c>
      <c r="H75" s="32" t="n">
        <f aca="false">IF(J74&gt;0,H74,I74)</f>
        <v>0.025</v>
      </c>
      <c r="I75" s="32" t="n">
        <f aca="false">(G75+H75)/2</f>
        <v>0.02109375</v>
      </c>
      <c r="J75" s="16" t="n">
        <f aca="false">SUMPRODUCT(($A$6:$A$15&lt;='2. The asset'!$B$34)*('2. The asset'!$B$14*(1+'2. The asset'!$B$30)^($A$6:$A$15-1)-'2. The asset'!$B$23*(1+I75)^($A$6:$A$15-1)-('2. The asset'!$B$24*'2. The asset'!$B$4*(1+I75)^($A$6:$A$15-1)+(MOD($A$6:$A$15+'2. The asset'!$B$27,'2. The asset'!$B$26)=0)*'2. The asset'!$B$25*'2. The asset'!$B$4*(1+I75)^($A$6:$A$15-1)))/(1+'2. The asset'!$B$29)^$A$6:$A$15)+((('2. The asset'!$B$14*(1+'2. The asset'!$B$30)^'2. The asset'!$B$34-'2. The asset'!$B$23*(1+I75)^'2. The asset'!$B$34)/'2. The asset'!$B$28)*(1-'2. The asset'!$B$33)-'2. The asset'!$B$25*'2. The asset'!$B$4*(1+I75)^'2. The asset'!$B$34*MOD('2. The asset'!$B$34+'2. The asset'!$B$27,'2. The asset'!$B$26)/'2. The asset'!$B$26)/(1+'2. The asset'!$B$29)^'2. The asset'!$B$34-'2. The asset'!$B$17</f>
        <v>8381.15429498442</v>
      </c>
    </row>
    <row r="76" customFormat="false" ht="15" hidden="false" customHeight="false" outlineLevel="0" collapsed="false">
      <c r="A76" s="15" t="n">
        <v>7</v>
      </c>
      <c r="B76" s="32" t="n">
        <f aca="false">IF(E75&lt;0,D75,B75)</f>
        <v>0.0315625</v>
      </c>
      <c r="C76" s="32" t="n">
        <f aca="false">IF(E75&lt;0,C75,D75)</f>
        <v>0.035</v>
      </c>
      <c r="D76" s="32" t="n">
        <f aca="false">(B76+C76)/2</f>
        <v>0.03328125</v>
      </c>
      <c r="E76" s="16" t="n">
        <f aca="false">SUMPRODUCT(($A$6:$A$15&lt;='2. The asset'!$B$34)*('2. The asset'!$B$14*(1+D76)^($A$6:$A$15-1)-'2. The asset'!$B$23*(1+'2. The asset'!$B$31)^($A$6:$A$15-1)-('2. The asset'!$B$24*'2. The asset'!$B$4*(1+'2. The asset'!$B$31)^($A$6:$A$15-1)+(MOD($A$6:$A$15+'2. The asset'!$B$27,'2. The asset'!$B$26)=0)*'2. The asset'!$B$25*'2. The asset'!$B$4*(1+'2. The asset'!$B$31)^($A$6:$A$15-1)))/(1+'2. The asset'!$B$29)^$A$6:$A$15)+((('2. The asset'!$B$14*(1+D76)^'2. The asset'!$B$34-'2. The asset'!$B$23*(1+'2. The asset'!$B$31)^'2. The asset'!$B$34)/'2. The asset'!$B$28)*(1-'2. The asset'!$B$33)-'2. The asset'!$B$25*'2. The asset'!$B$4*(1+'2. The asset'!$B$31)^'2. The asset'!$B$34*MOD('2. The asset'!$B$34+'2. The asset'!$B$27,'2. The asset'!$B$26)/'2. The asset'!$B$26)/(1+'2. The asset'!$B$29)^'2. The asset'!$B$34-'2. The asset'!$B$17</f>
        <v>-119697.507598558</v>
      </c>
      <c r="G76" s="32" t="n">
        <f aca="false">IF(J75&gt;0,I75,G75)</f>
        <v>0.02109375</v>
      </c>
      <c r="H76" s="32" t="n">
        <f aca="false">IF(J75&gt;0,H75,I75)</f>
        <v>0.025</v>
      </c>
      <c r="I76" s="32" t="n">
        <f aca="false">(G76+H76)/2</f>
        <v>0.023046875</v>
      </c>
      <c r="J76" s="16" t="n">
        <f aca="false">SUMPRODUCT(($A$6:$A$15&lt;='2. The asset'!$B$34)*('2. The asset'!$B$14*(1+'2. The asset'!$B$30)^($A$6:$A$15-1)-'2. The asset'!$B$23*(1+I76)^($A$6:$A$15-1)-('2. The asset'!$B$24*'2. The asset'!$B$4*(1+I76)^($A$6:$A$15-1)+(MOD($A$6:$A$15+'2. The asset'!$B$27,'2. The asset'!$B$26)=0)*'2. The asset'!$B$25*'2. The asset'!$B$4*(1+I76)^($A$6:$A$15-1)))/(1+'2. The asset'!$B$29)^$A$6:$A$15)+((('2. The asset'!$B$14*(1+'2. The asset'!$B$30)^'2. The asset'!$B$34-'2. The asset'!$B$23*(1+I76)^'2. The asset'!$B$34)/'2. The asset'!$B$28)*(1-'2. The asset'!$B$33)-'2. The asset'!$B$25*'2. The asset'!$B$4*(1+I76)^'2. The asset'!$B$34*MOD('2. The asset'!$B$34+'2. The asset'!$B$27,'2. The asset'!$B$26)/'2. The asset'!$B$26)/(1+'2. The asset'!$B$29)^'2. The asset'!$B$34-'2. The asset'!$B$17</f>
        <v>-121731.631910086</v>
      </c>
    </row>
    <row r="77" customFormat="false" ht="15" hidden="false" customHeight="false" outlineLevel="0" collapsed="false">
      <c r="A77" s="15" t="n">
        <v>8</v>
      </c>
      <c r="B77" s="32" t="n">
        <f aca="false">IF(E76&lt;0,D76,B76)</f>
        <v>0.03328125</v>
      </c>
      <c r="C77" s="32" t="n">
        <f aca="false">IF(E76&lt;0,C76,D76)</f>
        <v>0.035</v>
      </c>
      <c r="D77" s="32" t="n">
        <f aca="false">(B77+C77)/2</f>
        <v>0.034140625</v>
      </c>
      <c r="E77" s="16" t="n">
        <f aca="false">SUMPRODUCT(($A$6:$A$15&lt;='2. The asset'!$B$34)*('2. The asset'!$B$14*(1+D77)^($A$6:$A$15-1)-'2. The asset'!$B$23*(1+'2. The asset'!$B$31)^($A$6:$A$15-1)-('2. The asset'!$B$24*'2. The asset'!$B$4*(1+'2. The asset'!$B$31)^($A$6:$A$15-1)+(MOD($A$6:$A$15+'2. The asset'!$B$27,'2. The asset'!$B$26)=0)*'2. The asset'!$B$25*'2. The asset'!$B$4*(1+'2. The asset'!$B$31)^($A$6:$A$15-1)))/(1+'2. The asset'!$B$29)^$A$6:$A$15)+((('2. The asset'!$B$14*(1+D77)^'2. The asset'!$B$34-'2. The asset'!$B$23*(1+'2. The asset'!$B$31)^'2. The asset'!$B$34)/'2. The asset'!$B$28)*(1-'2. The asset'!$B$33)-'2. The asset'!$B$25*'2. The asset'!$B$4*(1+'2. The asset'!$B$31)^'2. The asset'!$B$34*MOD('2. The asset'!$B$34+'2. The asset'!$B$27,'2. The asset'!$B$26)/'2. The asset'!$B$26)/(1+'2. The asset'!$B$29)^'2. The asset'!$B$34-'2. The asset'!$B$17</f>
        <v>-6533.09395574778</v>
      </c>
      <c r="G77" s="32" t="n">
        <f aca="false">IF(J76&gt;0,I76,G76)</f>
        <v>0.02109375</v>
      </c>
      <c r="H77" s="32" t="n">
        <f aca="false">IF(J76&gt;0,H76,I76)</f>
        <v>0.023046875</v>
      </c>
      <c r="I77" s="32" t="n">
        <f aca="false">(G77+H77)/2</f>
        <v>0.0220703125</v>
      </c>
      <c r="J77" s="16" t="n">
        <f aca="false">SUMPRODUCT(($A$6:$A$15&lt;='2. The asset'!$B$34)*('2. The asset'!$B$14*(1+'2. The asset'!$B$30)^($A$6:$A$15-1)-'2. The asset'!$B$23*(1+I77)^($A$6:$A$15-1)-('2. The asset'!$B$24*'2. The asset'!$B$4*(1+I77)^($A$6:$A$15-1)+(MOD($A$6:$A$15+'2. The asset'!$B$27,'2. The asset'!$B$26)=0)*'2. The asset'!$B$25*'2. The asset'!$B$4*(1+I77)^($A$6:$A$15-1)))/(1+'2. The asset'!$B$29)^$A$6:$A$15)+((('2. The asset'!$B$14*(1+'2. The asset'!$B$30)^'2. The asset'!$B$34-'2. The asset'!$B$23*(1+I77)^'2. The asset'!$B$34)/'2. The asset'!$B$28)*(1-'2. The asset'!$B$33)-'2. The asset'!$B$25*'2. The asset'!$B$4*(1+I77)^'2. The asset'!$B$34*MOD('2. The asset'!$B$34+'2. The asset'!$B$27,'2. The asset'!$B$26)/'2. The asset'!$B$26)/(1+'2. The asset'!$B$29)^'2. The asset'!$B$34-'2. The asset'!$B$17</f>
        <v>-56429.117939705</v>
      </c>
    </row>
    <row r="78" customFormat="false" ht="15" hidden="false" customHeight="false" outlineLevel="0" collapsed="false">
      <c r="A78" s="15" t="n">
        <v>9</v>
      </c>
      <c r="B78" s="32" t="n">
        <f aca="false">IF(E77&lt;0,D77,B77)</f>
        <v>0.034140625</v>
      </c>
      <c r="C78" s="32" t="n">
        <f aca="false">IF(E77&lt;0,C77,D77)</f>
        <v>0.035</v>
      </c>
      <c r="D78" s="32" t="n">
        <f aca="false">(B78+C78)/2</f>
        <v>0.0345703125</v>
      </c>
      <c r="E78" s="16" t="n">
        <f aca="false">SUMPRODUCT(($A$6:$A$15&lt;='2. The asset'!$B$34)*('2. The asset'!$B$14*(1+D78)^($A$6:$A$15-1)-'2. The asset'!$B$23*(1+'2. The asset'!$B$31)^($A$6:$A$15-1)-('2. The asset'!$B$24*'2. The asset'!$B$4*(1+'2. The asset'!$B$31)^($A$6:$A$15-1)+(MOD($A$6:$A$15+'2. The asset'!$B$27,'2. The asset'!$B$26)=0)*'2. The asset'!$B$25*'2. The asset'!$B$4*(1+'2. The asset'!$B$31)^($A$6:$A$15-1)))/(1+'2. The asset'!$B$29)^$A$6:$A$15)+((('2. The asset'!$B$14*(1+D78)^'2. The asset'!$B$34-'2. The asset'!$B$23*(1+'2. The asset'!$B$31)^'2. The asset'!$B$34)/'2. The asset'!$B$28)*(1-'2. The asset'!$B$33)-'2. The asset'!$B$25*'2. The asset'!$B$4*(1+'2. The asset'!$B$31)^'2. The asset'!$B$34*MOD('2. The asset'!$B$34+'2. The asset'!$B$27,'2. The asset'!$B$26)/'2. The asset'!$B$26)/(1+'2. The asset'!$B$29)^'2. The asset'!$B$34-'2. The asset'!$B$17</f>
        <v>50333.0247132219</v>
      </c>
      <c r="G78" s="32" t="n">
        <f aca="false">IF(J77&gt;0,I77,G77)</f>
        <v>0.02109375</v>
      </c>
      <c r="H78" s="32" t="n">
        <f aca="false">IF(J77&gt;0,H77,I77)</f>
        <v>0.0220703125</v>
      </c>
      <c r="I78" s="32" t="n">
        <f aca="false">(G78+H78)/2</f>
        <v>0.02158203125</v>
      </c>
      <c r="J78" s="16" t="n">
        <f aca="false">SUMPRODUCT(($A$6:$A$15&lt;='2. The asset'!$B$34)*('2. The asset'!$B$14*(1+'2. The asset'!$B$30)^($A$6:$A$15-1)-'2. The asset'!$B$23*(1+I78)^($A$6:$A$15-1)-('2. The asset'!$B$24*'2. The asset'!$B$4*(1+I78)^($A$6:$A$15-1)+(MOD($A$6:$A$15+'2. The asset'!$B$27,'2. The asset'!$B$26)=0)*'2. The asset'!$B$25*'2. The asset'!$B$4*(1+I78)^($A$6:$A$15-1)))/(1+'2. The asset'!$B$29)^$A$6:$A$15)+((('2. The asset'!$B$14*(1+'2. The asset'!$B$30)^'2. The asset'!$B$34-'2. The asset'!$B$23*(1+I78)^'2. The asset'!$B$34)/'2. The asset'!$B$28)*(1-'2. The asset'!$B$33)-'2. The asset'!$B$25*'2. The asset'!$B$4*(1+I78)^'2. The asset'!$B$34*MOD('2. The asset'!$B$34+'2. The asset'!$B$27,'2. The asset'!$B$26)/'2. The asset'!$B$26)/(1+'2. The asset'!$B$29)^'2. The asset'!$B$34-'2. The asset'!$B$17</f>
        <v>-23962.6711385846</v>
      </c>
    </row>
    <row r="79" customFormat="false" ht="15" hidden="false" customHeight="false" outlineLevel="0" collapsed="false">
      <c r="A79" s="15" t="n">
        <v>10</v>
      </c>
      <c r="B79" s="32" t="n">
        <f aca="false">IF(E78&lt;0,D78,B78)</f>
        <v>0.034140625</v>
      </c>
      <c r="C79" s="32" t="n">
        <f aca="false">IF(E78&lt;0,C78,D78)</f>
        <v>0.0345703125</v>
      </c>
      <c r="D79" s="32" t="n">
        <f aca="false">(B79+C79)/2</f>
        <v>0.03435546875</v>
      </c>
      <c r="E79" s="16" t="n">
        <f aca="false">SUMPRODUCT(($A$6:$A$15&lt;='2. The asset'!$B$34)*('2. The asset'!$B$14*(1+D79)^($A$6:$A$15-1)-'2. The asset'!$B$23*(1+'2. The asset'!$B$31)^($A$6:$A$15-1)-('2. The asset'!$B$24*'2. The asset'!$B$4*(1+'2. The asset'!$B$31)^($A$6:$A$15-1)+(MOD($A$6:$A$15+'2. The asset'!$B$27,'2. The asset'!$B$26)=0)*'2. The asset'!$B$25*'2. The asset'!$B$4*(1+'2. The asset'!$B$31)^($A$6:$A$15-1)))/(1+'2. The asset'!$B$29)^$A$6:$A$15)+((('2. The asset'!$B$14*(1+D79)^'2. The asset'!$B$34-'2. The asset'!$B$23*(1+'2. The asset'!$B$31)^'2. The asset'!$B$34)/'2. The asset'!$B$28)*(1-'2. The asset'!$B$33)-'2. The asset'!$B$25*'2. The asset'!$B$4*(1+'2. The asset'!$B$31)^'2. The asset'!$B$34*MOD('2. The asset'!$B$34+'2. The asset'!$B$27,'2. The asset'!$B$26)/'2. The asset'!$B$26)/(1+'2. The asset'!$B$29)^'2. The asset'!$B$34-'2. The asset'!$B$17</f>
        <v>21876.2442012243</v>
      </c>
      <c r="G79" s="32" t="n">
        <f aca="false">IF(J78&gt;0,I78,G78)</f>
        <v>0.02109375</v>
      </c>
      <c r="H79" s="32" t="n">
        <f aca="false">IF(J78&gt;0,H78,I78)</f>
        <v>0.02158203125</v>
      </c>
      <c r="I79" s="32" t="n">
        <f aca="false">(G79+H79)/2</f>
        <v>0.021337890625</v>
      </c>
      <c r="J79" s="16" t="n">
        <f aca="false">SUMPRODUCT(($A$6:$A$15&lt;='2. The asset'!$B$34)*('2. The asset'!$B$14*(1+'2. The asset'!$B$30)^($A$6:$A$15-1)-'2. The asset'!$B$23*(1+I79)^($A$6:$A$15-1)-('2. The asset'!$B$24*'2. The asset'!$B$4*(1+I79)^($A$6:$A$15-1)+(MOD($A$6:$A$15+'2. The asset'!$B$27,'2. The asset'!$B$26)=0)*'2. The asset'!$B$25*'2. The asset'!$B$4*(1+I79)^($A$6:$A$15-1)))/(1+'2. The asset'!$B$29)^$A$6:$A$15)+((('2. The asset'!$B$14*(1+'2. The asset'!$B$30)^'2. The asset'!$B$34-'2. The asset'!$B$23*(1+I79)^'2. The asset'!$B$34)/'2. The asset'!$B$28)*(1-'2. The asset'!$B$33)-'2. The asset'!$B$25*'2. The asset'!$B$4*(1+I79)^'2. The asset'!$B$34*MOD('2. The asset'!$B$34+'2. The asset'!$B$27,'2. The asset'!$B$26)/'2. The asset'!$B$26)/(1+'2. The asset'!$B$29)^'2. The asset'!$B$34-'2. The asset'!$B$17</f>
        <v>-7775.45811555162</v>
      </c>
    </row>
    <row r="80" customFormat="false" ht="15" hidden="false" customHeight="false" outlineLevel="0" collapsed="false">
      <c r="A80" s="15" t="n">
        <v>11</v>
      </c>
      <c r="B80" s="32" t="n">
        <f aca="false">IF(E79&lt;0,D79,B79)</f>
        <v>0.034140625</v>
      </c>
      <c r="C80" s="32" t="n">
        <f aca="false">IF(E79&lt;0,C79,D79)</f>
        <v>0.03435546875</v>
      </c>
      <c r="D80" s="32" t="n">
        <f aca="false">(B80+C80)/2</f>
        <v>0.034248046875</v>
      </c>
      <c r="E80" s="16" t="n">
        <f aca="false">SUMPRODUCT(($A$6:$A$15&lt;='2. The asset'!$B$34)*('2. The asset'!$B$14*(1+D80)^($A$6:$A$15-1)-'2. The asset'!$B$23*(1+'2. The asset'!$B$31)^($A$6:$A$15-1)-('2. The asset'!$B$24*'2. The asset'!$B$4*(1+'2. The asset'!$B$31)^($A$6:$A$15-1)+(MOD($A$6:$A$15+'2. The asset'!$B$27,'2. The asset'!$B$26)=0)*'2. The asset'!$B$25*'2. The asset'!$B$4*(1+'2. The asset'!$B$31)^($A$6:$A$15-1)))/(1+'2. The asset'!$B$29)^$A$6:$A$15)+((('2. The asset'!$B$14*(1+D80)^'2. The asset'!$B$34-'2. The asset'!$B$23*(1+'2. The asset'!$B$31)^'2. The asset'!$B$34)/'2. The asset'!$B$28)*(1-'2. The asset'!$B$33)-'2. The asset'!$B$25*'2. The asset'!$B$4*(1+'2. The asset'!$B$31)^'2. The asset'!$B$34*MOD('2. The asset'!$B$34+'2. The asset'!$B$27,'2. The asset'!$B$26)/'2. The asset'!$B$26)/(1+'2. The asset'!$B$29)^'2. The asset'!$B$34-'2. The asset'!$B$17</f>
        <v>7665.64947493933</v>
      </c>
      <c r="G80" s="32" t="n">
        <f aca="false">IF(J79&gt;0,I79,G79)</f>
        <v>0.02109375</v>
      </c>
      <c r="H80" s="32" t="n">
        <f aca="false">IF(J79&gt;0,H79,I79)</f>
        <v>0.021337890625</v>
      </c>
      <c r="I80" s="32" t="n">
        <f aca="false">(G80+H80)/2</f>
        <v>0.0212158203125</v>
      </c>
      <c r="J80" s="16" t="n">
        <f aca="false">SUMPRODUCT(($A$6:$A$15&lt;='2. The asset'!$B$34)*('2. The asset'!$B$14*(1+'2. The asset'!$B$30)^($A$6:$A$15-1)-'2. The asset'!$B$23*(1+I80)^($A$6:$A$15-1)-('2. The asset'!$B$24*'2. The asset'!$B$4*(1+I80)^($A$6:$A$15-1)+(MOD($A$6:$A$15+'2. The asset'!$B$27,'2. The asset'!$B$26)=0)*'2. The asset'!$B$25*'2. The asset'!$B$4*(1+I80)^($A$6:$A$15-1)))/(1+'2. The asset'!$B$29)^$A$6:$A$15)+((('2. The asset'!$B$14*(1+'2. The asset'!$B$30)^'2. The asset'!$B$34-'2. The asset'!$B$23*(1+I80)^'2. The asset'!$B$34)/'2. The asset'!$B$28)*(1-'2. The asset'!$B$33)-'2. The asset'!$B$25*'2. The asset'!$B$4*(1+I80)^'2. The asset'!$B$34*MOD('2. The asset'!$B$34+'2. The asset'!$B$27,'2. The asset'!$B$26)/'2. The asset'!$B$26)/(1+'2. The asset'!$B$29)^'2. The asset'!$B$34-'2. The asset'!$B$17</f>
        <v>306.669750491157</v>
      </c>
    </row>
    <row r="81" customFormat="false" ht="15" hidden="false" customHeight="false" outlineLevel="0" collapsed="false">
      <c r="A81" s="15" t="n">
        <v>12</v>
      </c>
      <c r="B81" s="32" t="n">
        <f aca="false">IF(E80&lt;0,D80,B80)</f>
        <v>0.034140625</v>
      </c>
      <c r="C81" s="32" t="n">
        <f aca="false">IF(E80&lt;0,C80,D80)</f>
        <v>0.034248046875</v>
      </c>
      <c r="D81" s="32" t="n">
        <f aca="false">(B81+C81)/2</f>
        <v>0.0341943359375</v>
      </c>
      <c r="E81" s="16" t="n">
        <f aca="false">SUMPRODUCT(($A$6:$A$15&lt;='2. The asset'!$B$34)*('2. The asset'!$B$14*(1+D81)^($A$6:$A$15-1)-'2. The asset'!$B$23*(1+'2. The asset'!$B$31)^($A$6:$A$15-1)-('2. The asset'!$B$24*'2. The asset'!$B$4*(1+'2. The asset'!$B$31)^($A$6:$A$15-1)+(MOD($A$6:$A$15+'2. The asset'!$B$27,'2. The asset'!$B$26)=0)*'2. The asset'!$B$25*'2. The asset'!$B$4*(1+'2. The asset'!$B$31)^($A$6:$A$15-1)))/(1+'2. The asset'!$B$29)^$A$6:$A$15)+((('2. The asset'!$B$14*(1+D81)^'2. The asset'!$B$34-'2. The asset'!$B$23*(1+'2. The asset'!$B$31)^'2. The asset'!$B$34)/'2. The asset'!$B$28)*(1-'2. The asset'!$B$33)-'2. The asset'!$B$25*'2. The asset'!$B$4*(1+'2. The asset'!$B$31)^'2. The asset'!$B$34*MOD('2. The asset'!$B$34+'2. The asset'!$B$27,'2. The asset'!$B$26)/'2. The asset'!$B$26)/(1+'2. The asset'!$B$29)^'2. The asset'!$B$34-'2. The asset'!$B$17</f>
        <v>564.796928131953</v>
      </c>
      <c r="G81" s="32" t="n">
        <f aca="false">IF(J80&gt;0,I80,G80)</f>
        <v>0.0212158203125</v>
      </c>
      <c r="H81" s="32" t="n">
        <f aca="false">IF(J80&gt;0,H80,I80)</f>
        <v>0.021337890625</v>
      </c>
      <c r="I81" s="32" t="n">
        <f aca="false">(G81+H81)/2</f>
        <v>0.02127685546875</v>
      </c>
      <c r="J81" s="16" t="n">
        <f aca="false">SUMPRODUCT(($A$6:$A$15&lt;='2. The asset'!$B$34)*('2. The asset'!$B$14*(1+'2. The asset'!$B$30)^($A$6:$A$15-1)-'2. The asset'!$B$23*(1+I81)^($A$6:$A$15-1)-('2. The asset'!$B$24*'2. The asset'!$B$4*(1+I81)^($A$6:$A$15-1)+(MOD($A$6:$A$15+'2. The asset'!$B$27,'2. The asset'!$B$26)=0)*'2. The asset'!$B$25*'2. The asset'!$B$4*(1+I81)^($A$6:$A$15-1)))/(1+'2. The asset'!$B$29)^$A$6:$A$15)+((('2. The asset'!$B$14*(1+'2. The asset'!$B$30)^'2. The asset'!$B$34-'2. The asset'!$B$23*(1+I81)^'2. The asset'!$B$34)/'2. The asset'!$B$28)*(1-'2. The asset'!$B$33)-'2. The asset'!$B$25*'2. The asset'!$B$4*(1+I81)^'2. The asset'!$B$34*MOD('2. The asset'!$B$34+'2. The asset'!$B$27,'2. The asset'!$B$26)/'2. The asset'!$B$26)/(1+'2. The asset'!$B$29)^'2. The asset'!$B$34-'2. The asset'!$B$17</f>
        <v>-3733.43834057823</v>
      </c>
    </row>
    <row r="82" customFormat="false" ht="15" hidden="false" customHeight="false" outlineLevel="0" collapsed="false">
      <c r="A82" s="15" t="n">
        <v>13</v>
      </c>
      <c r="B82" s="32" t="n">
        <f aca="false">IF(E81&lt;0,D81,B81)</f>
        <v>0.034140625</v>
      </c>
      <c r="C82" s="32" t="n">
        <f aca="false">IF(E81&lt;0,C81,D81)</f>
        <v>0.0341943359375</v>
      </c>
      <c r="D82" s="32" t="n">
        <f aca="false">(B82+C82)/2</f>
        <v>0.03416748046875</v>
      </c>
      <c r="E82" s="16" t="n">
        <f aca="false">SUMPRODUCT(($A$6:$A$15&lt;='2. The asset'!$B$34)*('2. The asset'!$B$14*(1+D82)^($A$6:$A$15-1)-'2. The asset'!$B$23*(1+'2. The asset'!$B$31)^($A$6:$A$15-1)-('2. The asset'!$B$24*'2. The asset'!$B$4*(1+'2. The asset'!$B$31)^($A$6:$A$15-1)+(MOD($A$6:$A$15+'2. The asset'!$B$27,'2. The asset'!$B$26)=0)*'2. The asset'!$B$25*'2. The asset'!$B$4*(1+'2. The asset'!$B$31)^($A$6:$A$15-1)))/(1+'2. The asset'!$B$29)^$A$6:$A$15)+((('2. The asset'!$B$14*(1+D82)^'2. The asset'!$B$34-'2. The asset'!$B$23*(1+'2. The asset'!$B$31)^'2. The asset'!$B$34)/'2. The asset'!$B$28)*(1-'2. The asset'!$B$33)-'2. The asset'!$B$25*'2. The asset'!$B$4*(1+'2. The asset'!$B$31)^'2. The asset'!$B$34*MOD('2. The asset'!$B$34+'2. The asset'!$B$27,'2. The asset'!$B$26)/'2. The asset'!$B$26)/(1+'2. The asset'!$B$29)^'2. The asset'!$B$34-'2. The asset'!$B$17</f>
        <v>-2984.51864915527</v>
      </c>
      <c r="G82" s="32" t="n">
        <f aca="false">IF(J81&gt;0,I81,G81)</f>
        <v>0.0212158203125</v>
      </c>
      <c r="H82" s="32" t="n">
        <f aca="false">IF(J81&gt;0,H81,I81)</f>
        <v>0.02127685546875</v>
      </c>
      <c r="I82" s="32" t="n">
        <f aca="false">(G82+H82)/2</f>
        <v>0.021246337890625</v>
      </c>
      <c r="J82" s="16" t="n">
        <f aca="false">SUMPRODUCT(($A$6:$A$15&lt;='2. The asset'!$B$34)*('2. The asset'!$B$14*(1+'2. The asset'!$B$30)^($A$6:$A$15-1)-'2. The asset'!$B$23*(1+I82)^($A$6:$A$15-1)-('2. The asset'!$B$24*'2. The asset'!$B$4*(1+I82)^($A$6:$A$15-1)+(MOD($A$6:$A$15+'2. The asset'!$B$27,'2. The asset'!$B$26)=0)*'2. The asset'!$B$25*'2. The asset'!$B$4*(1+I82)^($A$6:$A$15-1)))/(1+'2. The asset'!$B$29)^$A$6:$A$15)+((('2. The asset'!$B$14*(1+'2. The asset'!$B$30)^'2. The asset'!$B$34-'2. The asset'!$B$23*(1+I82)^'2. The asset'!$B$34)/'2. The asset'!$B$28)*(1-'2. The asset'!$B$33)-'2. The asset'!$B$25*'2. The asset'!$B$4*(1+I82)^'2. The asset'!$B$34*MOD('2. The asset'!$B$34+'2. The asset'!$B$27,'2. The asset'!$B$26)/'2. The asset'!$B$26)/(1+'2. The asset'!$B$29)^'2. The asset'!$B$34-'2. The asset'!$B$17</f>
        <v>-1713.14538791403</v>
      </c>
    </row>
    <row r="83" customFormat="false" ht="15" hidden="false" customHeight="false" outlineLevel="0" collapsed="false">
      <c r="A83" s="15" t="n">
        <v>14</v>
      </c>
      <c r="B83" s="32" t="n">
        <f aca="false">IF(E82&lt;0,D82,B82)</f>
        <v>0.03416748046875</v>
      </c>
      <c r="C83" s="32" t="n">
        <f aca="false">IF(E82&lt;0,C82,D82)</f>
        <v>0.0341943359375</v>
      </c>
      <c r="D83" s="32" t="n">
        <f aca="false">(B83+C83)/2</f>
        <v>0.034180908203125</v>
      </c>
      <c r="E83" s="16" t="n">
        <f aca="false">SUMPRODUCT(($A$6:$A$15&lt;='2. The asset'!$B$34)*('2. The asset'!$B$14*(1+D83)^($A$6:$A$15-1)-'2. The asset'!$B$23*(1+'2. The asset'!$B$31)^($A$6:$A$15-1)-('2. The asset'!$B$24*'2. The asset'!$B$4*(1+'2. The asset'!$B$31)^($A$6:$A$15-1)+(MOD($A$6:$A$15+'2. The asset'!$B$27,'2. The asset'!$B$26)=0)*'2. The asset'!$B$25*'2. The asset'!$B$4*(1+'2. The asset'!$B$31)^($A$6:$A$15-1)))/(1+'2. The asset'!$B$29)^$A$6:$A$15)+((('2. The asset'!$B$14*(1+D83)^'2. The asset'!$B$34-'2. The asset'!$B$23*(1+'2. The asset'!$B$31)^'2. The asset'!$B$34)/'2. The asset'!$B$28)*(1-'2. The asset'!$B$33)-'2. The asset'!$B$25*'2. The asset'!$B$4*(1+'2. The asset'!$B$31)^'2. The asset'!$B$34*MOD('2. The asset'!$B$34+'2. The asset'!$B$27,'2. The asset'!$B$26)/'2. The asset'!$B$26)/(1+'2. The asset'!$B$29)^'2. The asset'!$B$34-'2. The asset'!$B$17</f>
        <v>-1209.95340341143</v>
      </c>
      <c r="G83" s="32" t="n">
        <f aca="false">IF(J82&gt;0,I82,G82)</f>
        <v>0.0212158203125</v>
      </c>
      <c r="H83" s="32" t="n">
        <f aca="false">IF(J82&gt;0,H82,I82)</f>
        <v>0.021246337890625</v>
      </c>
      <c r="I83" s="32" t="n">
        <f aca="false">(G83+H83)/2</f>
        <v>0.0212310791015625</v>
      </c>
      <c r="J83" s="16" t="n">
        <f aca="false">SUMPRODUCT(($A$6:$A$15&lt;='2. The asset'!$B$34)*('2. The asset'!$B$14*(1+'2. The asset'!$B$30)^($A$6:$A$15-1)-'2. The asset'!$B$23*(1+I83)^($A$6:$A$15-1)-('2. The asset'!$B$24*'2. The asset'!$B$4*(1+I83)^($A$6:$A$15-1)+(MOD($A$6:$A$15+'2. The asset'!$B$27,'2. The asset'!$B$26)=0)*'2. The asset'!$B$25*'2. The asset'!$B$4*(1+I83)^($A$6:$A$15-1)))/(1+'2. The asset'!$B$29)^$A$6:$A$15)+((('2. The asset'!$B$14*(1+'2. The asset'!$B$30)^'2. The asset'!$B$34-'2. The asset'!$B$23*(1+I83)^'2. The asset'!$B$34)/'2. The asset'!$B$28)*(1-'2. The asset'!$B$33)-'2. The asset'!$B$25*'2. The asset'!$B$4*(1+I83)^'2. The asset'!$B$34*MOD('2. The asset'!$B$34+'2. The asset'!$B$27,'2. The asset'!$B$26)/'2. The asset'!$B$26)/(1+'2. The asset'!$B$29)^'2. The asset'!$B$34-'2. The asset'!$B$17</f>
        <v>-703.178098596633</v>
      </c>
    </row>
    <row r="84" customFormat="false" ht="15" hidden="false" customHeight="false" outlineLevel="0" collapsed="false">
      <c r="A84" s="15" t="n">
        <v>15</v>
      </c>
      <c r="B84" s="32" t="n">
        <f aca="false">IF(E83&lt;0,D83,B83)</f>
        <v>0.034180908203125</v>
      </c>
      <c r="C84" s="32" t="n">
        <f aca="false">IF(E83&lt;0,C83,D83)</f>
        <v>0.0341943359375</v>
      </c>
      <c r="D84" s="32" t="n">
        <f aca="false">(B84+C84)/2</f>
        <v>0.0341876220703125</v>
      </c>
      <c r="E84" s="16" t="n">
        <f aca="false">SUMPRODUCT(($A$6:$A$15&lt;='2. The asset'!$B$34)*('2. The asset'!$B$14*(1+D84)^($A$6:$A$15-1)-'2. The asset'!$B$23*(1+'2. The asset'!$B$31)^($A$6:$A$15-1)-('2. The asset'!$B$24*'2. The asset'!$B$4*(1+'2. The asset'!$B$31)^($A$6:$A$15-1)+(MOD($A$6:$A$15+'2. The asset'!$B$27,'2. The asset'!$B$26)=0)*'2. The asset'!$B$25*'2. The asset'!$B$4*(1+'2. The asset'!$B$31)^($A$6:$A$15-1)))/(1+'2. The asset'!$B$29)^$A$6:$A$15)+((('2. The asset'!$B$14*(1+D84)^'2. The asset'!$B$34-'2. The asset'!$B$23*(1+'2. The asset'!$B$31)^'2. The asset'!$B$34)/'2. The asset'!$B$28)*(1-'2. The asset'!$B$33)-'2. The asset'!$B$25*'2. The asset'!$B$4*(1+'2. The asset'!$B$31)^'2. The asset'!$B$34*MOD('2. The asset'!$B$34+'2. The asset'!$B$27,'2. The asset'!$B$26)/'2. The asset'!$B$26)/(1+'2. The asset'!$B$29)^'2. The asset'!$B$34-'2. The asset'!$B$17</f>
        <v>-322.601374497637</v>
      </c>
      <c r="G84" s="32" t="n">
        <f aca="false">IF(J83&gt;0,I83,G83)</f>
        <v>0.0212158203125</v>
      </c>
      <c r="H84" s="32" t="n">
        <f aca="false">IF(J83&gt;0,H83,I83)</f>
        <v>0.0212310791015625</v>
      </c>
      <c r="I84" s="32" t="n">
        <f aca="false">(G84+H84)/2</f>
        <v>0.0212234497070312</v>
      </c>
      <c r="J84" s="16" t="n">
        <f aca="false">SUMPRODUCT(($A$6:$A$15&lt;='2. The asset'!$B$34)*('2. The asset'!$B$14*(1+'2. The asset'!$B$30)^($A$6:$A$15-1)-'2. The asset'!$B$23*(1+I84)^($A$6:$A$15-1)-('2. The asset'!$B$24*'2. The asset'!$B$4*(1+I84)^($A$6:$A$15-1)+(MOD($A$6:$A$15+'2. The asset'!$B$27,'2. The asset'!$B$26)=0)*'2. The asset'!$B$25*'2. The asset'!$B$4*(1+I84)^($A$6:$A$15-1)))/(1+'2. The asset'!$B$29)^$A$6:$A$15)+((('2. The asset'!$B$14*(1+'2. The asset'!$B$30)^'2. The asset'!$B$34-'2. The asset'!$B$23*(1+I84)^'2. The asset'!$B$34)/'2. The asset'!$B$28)*(1-'2. The asset'!$B$33)-'2. The asset'!$B$25*'2. The asset'!$B$4*(1+I84)^'2. The asset'!$B$34*MOD('2. The asset'!$B$34+'2. The asset'!$B$27,'2. The asset'!$B$26)/'2. The asset'!$B$26)/(1+'2. The asset'!$B$29)^'2. The asset'!$B$34-'2. The asset'!$B$17</f>
        <v>-198.239244857803</v>
      </c>
    </row>
    <row r="85" customFormat="false" ht="15" hidden="false" customHeight="false" outlineLevel="0" collapsed="false">
      <c r="A85" s="15" t="n">
        <v>16</v>
      </c>
      <c r="B85" s="32" t="n">
        <f aca="false">IF(E84&lt;0,D84,B84)</f>
        <v>0.0341876220703125</v>
      </c>
      <c r="C85" s="32" t="n">
        <f aca="false">IF(E84&lt;0,C84,D84)</f>
        <v>0.0341943359375</v>
      </c>
      <c r="D85" s="32" t="n">
        <f aca="false">(B85+C85)/2</f>
        <v>0.0341909790039063</v>
      </c>
      <c r="E85" s="16" t="n">
        <f aca="false">SUMPRODUCT(($A$6:$A$15&lt;='2. The asset'!$B$34)*('2. The asset'!$B$14*(1+D85)^($A$6:$A$15-1)-'2. The asset'!$B$23*(1+'2. The asset'!$B$31)^($A$6:$A$15-1)-('2. The asset'!$B$24*'2. The asset'!$B$4*(1+'2. The asset'!$B$31)^($A$6:$A$15-1)+(MOD($A$6:$A$15+'2. The asset'!$B$27,'2. The asset'!$B$26)=0)*'2. The asset'!$B$25*'2. The asset'!$B$4*(1+'2. The asset'!$B$31)^($A$6:$A$15-1)))/(1+'2. The asset'!$B$29)^$A$6:$A$15)+((('2. The asset'!$B$14*(1+D85)^'2. The asset'!$B$34-'2. The asset'!$B$23*(1+'2. The asset'!$B$31)^'2. The asset'!$B$34)/'2. The asset'!$B$28)*(1-'2. The asset'!$B$33)-'2. The asset'!$B$25*'2. The asset'!$B$4*(1+'2. The asset'!$B$31)^'2. The asset'!$B$34*MOD('2. The asset'!$B$34+'2. The asset'!$B$27,'2. The asset'!$B$26)/'2. The asset'!$B$26)/(1+'2. The asset'!$B$29)^'2. The asset'!$B$34-'2. The asset'!$B$17</f>
        <v>121.091992460191</v>
      </c>
      <c r="G85" s="32" t="n">
        <f aca="false">IF(J84&gt;0,I84,G84)</f>
        <v>0.0212158203125</v>
      </c>
      <c r="H85" s="32" t="n">
        <f aca="false">IF(J84&gt;0,H84,I84)</f>
        <v>0.0212234497070312</v>
      </c>
      <c r="I85" s="32" t="n">
        <f aca="false">(G85+H85)/2</f>
        <v>0.0212196350097656</v>
      </c>
      <c r="J85" s="16" t="n">
        <f aca="false">SUMPRODUCT(($A$6:$A$15&lt;='2. The asset'!$B$34)*('2. The asset'!$B$14*(1+'2. The asset'!$B$30)^($A$6:$A$15-1)-'2. The asset'!$B$23*(1+I85)^($A$6:$A$15-1)-('2. The asset'!$B$24*'2. The asset'!$B$4*(1+I85)^($A$6:$A$15-1)+(MOD($A$6:$A$15+'2. The asset'!$B$27,'2. The asset'!$B$26)=0)*'2. The asset'!$B$25*'2. The asset'!$B$4*(1+I85)^($A$6:$A$15-1)))/(1+'2. The asset'!$B$29)^$A$6:$A$15)+((('2. The asset'!$B$14*(1+'2. The asset'!$B$30)^'2. The asset'!$B$34-'2. The asset'!$B$23*(1+I85)^'2. The asset'!$B$34)/'2. The asset'!$B$28)*(1-'2. The asset'!$B$33)-'2. The asset'!$B$25*'2. The asset'!$B$4*(1+I85)^'2. The asset'!$B$34*MOD('2. The asset'!$B$34+'2. The asset'!$B$27,'2. The asset'!$B$26)/'2. The asset'!$B$26)/(1+'2. The asset'!$B$29)^'2. The asset'!$B$34-'2. The asset'!$B$17</f>
        <v>54.2189850118011</v>
      </c>
    </row>
    <row r="86" customFormat="false" ht="15" hidden="false" customHeight="false" outlineLevel="0" collapsed="false">
      <c r="A86" s="15" t="n">
        <v>17</v>
      </c>
      <c r="B86" s="32" t="n">
        <f aca="false">IF(E85&lt;0,D85,B85)</f>
        <v>0.0341876220703125</v>
      </c>
      <c r="C86" s="32" t="n">
        <f aca="false">IF(E85&lt;0,C85,D85)</f>
        <v>0.0341909790039063</v>
      </c>
      <c r="D86" s="32" t="n">
        <f aca="false">(B86+C86)/2</f>
        <v>0.0341893005371094</v>
      </c>
      <c r="E86" s="16" t="n">
        <f aca="false">SUMPRODUCT(($A$6:$A$15&lt;='2. The asset'!$B$34)*('2. The asset'!$B$14*(1+D86)^($A$6:$A$15-1)-'2. The asset'!$B$23*(1+'2. The asset'!$B$31)^($A$6:$A$15-1)-('2. The asset'!$B$24*'2. The asset'!$B$4*(1+'2. The asset'!$B$31)^($A$6:$A$15-1)+(MOD($A$6:$A$15+'2. The asset'!$B$27,'2. The asset'!$B$26)=0)*'2. The asset'!$B$25*'2. The asset'!$B$4*(1+'2. The asset'!$B$31)^($A$6:$A$15-1)))/(1+'2. The asset'!$B$29)^$A$6:$A$15)+((('2. The asset'!$B$14*(1+D86)^'2. The asset'!$B$34-'2. The asset'!$B$23*(1+'2. The asset'!$B$31)^'2. The asset'!$B$34)/'2. The asset'!$B$28)*(1-'2. The asset'!$B$33)-'2. The asset'!$B$25*'2. The asset'!$B$4*(1+'2. The asset'!$B$31)^'2. The asset'!$B$34*MOD('2. The asset'!$B$34+'2. The asset'!$B$27,'2. The asset'!$B$26)/'2. The asset'!$B$26)/(1+'2. The asset'!$B$29)^'2. The asset'!$B$34-'2. The asset'!$B$17</f>
        <v>-100.756137091666</v>
      </c>
      <c r="G86" s="32" t="n">
        <f aca="false">IF(J85&gt;0,I85,G85)</f>
        <v>0.0212196350097656</v>
      </c>
      <c r="H86" s="32" t="n">
        <f aca="false">IF(J85&gt;0,H85,I85)</f>
        <v>0.0212234497070312</v>
      </c>
      <c r="I86" s="32" t="n">
        <f aca="false">(G86+H86)/2</f>
        <v>0.0212215423583984</v>
      </c>
      <c r="J86" s="16" t="n">
        <f aca="false">SUMPRODUCT(($A$6:$A$15&lt;='2. The asset'!$B$34)*('2. The asset'!$B$14*(1+'2. The asset'!$B$30)^($A$6:$A$15-1)-'2. The asset'!$B$23*(1+I86)^($A$6:$A$15-1)-('2. The asset'!$B$24*'2. The asset'!$B$4*(1+I86)^($A$6:$A$15-1)+(MOD($A$6:$A$15+'2. The asset'!$B$27,'2. The asset'!$B$26)=0)*'2. The asset'!$B$25*'2. The asset'!$B$4*(1+I86)^($A$6:$A$15-1)))/(1+'2. The asset'!$B$29)^$A$6:$A$15)+((('2. The asset'!$B$14*(1+'2. The asset'!$B$30)^'2. The asset'!$B$34-'2. The asset'!$B$23*(1+I86)^'2. The asset'!$B$34)/'2. The asset'!$B$28)*(1-'2. The asset'!$B$33)-'2. The asset'!$B$25*'2. The asset'!$B$4*(1+I86)^'2. The asset'!$B$34*MOD('2. The asset'!$B$34+'2. The asset'!$B$27,'2. The asset'!$B$26)/'2. The asset'!$B$26)/(1+'2. The asset'!$B$29)^'2. The asset'!$B$34-'2. The asset'!$B$17</f>
        <v>-72.0091968625784</v>
      </c>
    </row>
    <row r="87" customFormat="false" ht="15" hidden="false" customHeight="false" outlineLevel="0" collapsed="false">
      <c r="A87" s="15" t="n">
        <v>18</v>
      </c>
      <c r="B87" s="32" t="n">
        <f aca="false">IF(E86&lt;0,D86,B86)</f>
        <v>0.0341893005371094</v>
      </c>
      <c r="C87" s="32" t="n">
        <f aca="false">IF(E86&lt;0,C86,D86)</f>
        <v>0.0341909790039063</v>
      </c>
      <c r="D87" s="32" t="n">
        <f aca="false">(B87+C87)/2</f>
        <v>0.0341901397705078</v>
      </c>
      <c r="E87" s="16" t="n">
        <f aca="false">SUMPRODUCT(($A$6:$A$15&lt;='2. The asset'!$B$34)*('2. The asset'!$B$14*(1+D87)^($A$6:$A$15-1)-'2. The asset'!$B$23*(1+'2. The asset'!$B$31)^($A$6:$A$15-1)-('2. The asset'!$B$24*'2. The asset'!$B$4*(1+'2. The asset'!$B$31)^($A$6:$A$15-1)+(MOD($A$6:$A$15+'2. The asset'!$B$27,'2. The asset'!$B$26)=0)*'2. The asset'!$B$25*'2. The asset'!$B$4*(1+'2. The asset'!$B$31)^($A$6:$A$15-1)))/(1+'2. The asset'!$B$29)^$A$6:$A$15)+((('2. The asset'!$B$14*(1+D87)^'2. The asset'!$B$34-'2. The asset'!$B$23*(1+'2. The asset'!$B$31)^'2. The asset'!$B$34)/'2. The asset'!$B$28)*(1-'2. The asset'!$B$33)-'2. The asset'!$B$25*'2. The asset'!$B$4*(1+'2. The asset'!$B$31)^'2. The asset'!$B$34*MOD('2. The asset'!$B$34+'2. The asset'!$B$27,'2. The asset'!$B$26)/'2. The asset'!$B$26)/(1+'2. The asset'!$B$29)^'2. The asset'!$B$34-'2. The asset'!$B$17</f>
        <v>10.1675661504269</v>
      </c>
      <c r="G87" s="32" t="n">
        <f aca="false">IF(J86&gt;0,I86,G86)</f>
        <v>0.0212196350097656</v>
      </c>
      <c r="H87" s="32" t="n">
        <f aca="false">IF(J86&gt;0,H86,I86)</f>
        <v>0.0212215423583984</v>
      </c>
      <c r="I87" s="32" t="n">
        <f aca="false">(G87+H87)/2</f>
        <v>0.021220588684082</v>
      </c>
      <c r="J87" s="16" t="n">
        <f aca="false">SUMPRODUCT(($A$6:$A$15&lt;='2. The asset'!$B$34)*('2. The asset'!$B$14*(1+'2. The asset'!$B$30)^($A$6:$A$15-1)-'2. The asset'!$B$23*(1+I87)^($A$6:$A$15-1)-('2. The asset'!$B$24*'2. The asset'!$B$4*(1+I87)^($A$6:$A$15-1)+(MOD($A$6:$A$15+'2. The asset'!$B$27,'2. The asset'!$B$26)=0)*'2. The asset'!$B$25*'2. The asset'!$B$4*(1+I87)^($A$6:$A$15-1)))/(1+'2. The asset'!$B$29)^$A$6:$A$15)+((('2. The asset'!$B$14*(1+'2. The asset'!$B$30)^'2. The asset'!$B$34-'2. The asset'!$B$23*(1+I87)^'2. The asset'!$B$34)/'2. The asset'!$B$28)*(1-'2. The asset'!$B$33)-'2. The asset'!$B$25*'2. The asset'!$B$4*(1+I87)^'2. The asset'!$B$34*MOD('2. The asset'!$B$34+'2. The asset'!$B$27,'2. The asset'!$B$26)/'2. The asset'!$B$26)/(1+'2. The asset'!$B$29)^'2. The asset'!$B$34-'2. The asset'!$B$17</f>
        <v>-8.89487266354263</v>
      </c>
    </row>
    <row r="88" customFormat="false" ht="15" hidden="false" customHeight="false" outlineLevel="0" collapsed="false">
      <c r="A88" s="15" t="n">
        <v>19</v>
      </c>
      <c r="B88" s="32" t="n">
        <f aca="false">IF(E87&lt;0,D87,B87)</f>
        <v>0.0341893005371094</v>
      </c>
      <c r="C88" s="32" t="n">
        <f aca="false">IF(E87&lt;0,C87,D87)</f>
        <v>0.0341901397705078</v>
      </c>
      <c r="D88" s="32" t="n">
        <f aca="false">(B88+C88)/2</f>
        <v>0.0341897201538086</v>
      </c>
      <c r="E88" s="16" t="n">
        <f aca="false">SUMPRODUCT(($A$6:$A$15&lt;='2. The asset'!$B$34)*('2. The asset'!$B$14*(1+D88)^($A$6:$A$15-1)-'2. The asset'!$B$23*(1+'2. The asset'!$B$31)^($A$6:$A$15-1)-('2. The asset'!$B$24*'2. The asset'!$B$4*(1+'2. The asset'!$B$31)^($A$6:$A$15-1)+(MOD($A$6:$A$15+'2. The asset'!$B$27,'2. The asset'!$B$26)=0)*'2. The asset'!$B$25*'2. The asset'!$B$4*(1+'2. The asset'!$B$31)^($A$6:$A$15-1)))/(1+'2. The asset'!$B$29)^$A$6:$A$15)+((('2. The asset'!$B$14*(1+D88)^'2. The asset'!$B$34-'2. The asset'!$B$23*(1+'2. The asset'!$B$31)^'2. The asset'!$B$34)/'2. The asset'!$B$28)*(1-'2. The asset'!$B$33)-'2. The asset'!$B$25*'2. The asset'!$B$4*(1+'2. The asset'!$B$31)^'2. The asset'!$B$34*MOD('2. The asset'!$B$34+'2. The asset'!$B$27,'2. The asset'!$B$26)/'2. The asset'!$B$26)/(1+'2. The asset'!$B$29)^'2. The asset'!$B$34-'2. The asset'!$B$17</f>
        <v>-45.2943758498877</v>
      </c>
      <c r="G88" s="32" t="n">
        <f aca="false">IF(J87&gt;0,I87,G87)</f>
        <v>0.0212196350097656</v>
      </c>
      <c r="H88" s="32" t="n">
        <f aca="false">IF(J87&gt;0,H87,I87)</f>
        <v>0.021220588684082</v>
      </c>
      <c r="I88" s="32" t="n">
        <f aca="false">(G88+H88)/2</f>
        <v>0.0212201118469238</v>
      </c>
      <c r="J88" s="16" t="n">
        <f aca="false">SUMPRODUCT(($A$6:$A$15&lt;='2. The asset'!$B$34)*('2. The asset'!$B$14*(1+'2. The asset'!$B$30)^($A$6:$A$15-1)-'2. The asset'!$B$23*(1+I88)^($A$6:$A$15-1)-('2. The asset'!$B$24*'2. The asset'!$B$4*(1+I88)^($A$6:$A$15-1)+(MOD($A$6:$A$15+'2. The asset'!$B$27,'2. The asset'!$B$26)=0)*'2. The asset'!$B$25*'2. The asset'!$B$4*(1+I88)^($A$6:$A$15-1)))/(1+'2. The asset'!$B$29)^$A$6:$A$15)+((('2. The asset'!$B$14*(1+'2. The asset'!$B$30)^'2. The asset'!$B$34-'2. The asset'!$B$23*(1+I88)^'2. The asset'!$B$34)/'2. The asset'!$B$28)*(1-'2. The asset'!$B$33)-'2. The asset'!$B$25*'2. The asset'!$B$4*(1+I88)^'2. The asset'!$B$34*MOD('2. The asset'!$B$34+'2. The asset'!$B$27,'2. The asset'!$B$26)/'2. The asset'!$B$26)/(1+'2. The asset'!$B$29)^'2. The asset'!$B$34-'2. The asset'!$B$17</f>
        <v>22.6621144898236</v>
      </c>
    </row>
    <row r="89" customFormat="false" ht="15" hidden="false" customHeight="false" outlineLevel="0" collapsed="false">
      <c r="A89" s="15" t="n">
        <v>20</v>
      </c>
      <c r="B89" s="32" t="n">
        <f aca="false">IF(E88&lt;0,D88,B88)</f>
        <v>0.0341897201538086</v>
      </c>
      <c r="C89" s="32" t="n">
        <f aca="false">IF(E88&lt;0,C88,D88)</f>
        <v>0.0341901397705078</v>
      </c>
      <c r="D89" s="32" t="n">
        <f aca="false">(B89+C89)/2</f>
        <v>0.0341899299621582</v>
      </c>
      <c r="E89" s="16" t="n">
        <f aca="false">SUMPRODUCT(($A$6:$A$15&lt;='2. The asset'!$B$34)*('2. The asset'!$B$14*(1+D89)^($A$6:$A$15-1)-'2. The asset'!$B$23*(1+'2. The asset'!$B$31)^($A$6:$A$15-1)-('2. The asset'!$B$24*'2. The asset'!$B$4*(1+'2. The asset'!$B$31)^($A$6:$A$15-1)+(MOD($A$6:$A$15+'2. The asset'!$B$27,'2. The asset'!$B$26)=0)*'2. The asset'!$B$25*'2. The asset'!$B$4*(1+'2. The asset'!$B$31)^($A$6:$A$15-1)))/(1+'2. The asset'!$B$29)^$A$6:$A$15)+((('2. The asset'!$B$14*(1+D89)^'2. The asset'!$B$34-'2. The asset'!$B$23*(1+'2. The asset'!$B$31)^'2. The asset'!$B$34)/'2. The asset'!$B$28)*(1-'2. The asset'!$B$33)-'2. The asset'!$B$25*'2. The asset'!$B$4*(1+'2. The asset'!$B$31)^'2. The asset'!$B$34*MOD('2. The asset'!$B$34+'2. The asset'!$B$27,'2. The asset'!$B$26)/'2. The asset'!$B$26)/(1+'2. The asset'!$B$29)^'2. The asset'!$B$34-'2. The asset'!$B$17</f>
        <v>-17.5634274464101</v>
      </c>
      <c r="G89" s="32" t="n">
        <f aca="false">IF(J88&gt;0,I88,G88)</f>
        <v>0.0212201118469238</v>
      </c>
      <c r="H89" s="32" t="n">
        <f aca="false">IF(J88&gt;0,H88,I88)</f>
        <v>0.021220588684082</v>
      </c>
      <c r="I89" s="32" t="n">
        <f aca="false">(G89+H89)/2</f>
        <v>0.0212203502655029</v>
      </c>
      <c r="J89" s="16" t="n">
        <f aca="false">SUMPRODUCT(($A$6:$A$15&lt;='2. The asset'!$B$34)*('2. The asset'!$B$14*(1+'2. The asset'!$B$30)^($A$6:$A$15-1)-'2. The asset'!$B$23*(1+I89)^($A$6:$A$15-1)-('2. The asset'!$B$24*'2. The asset'!$B$4*(1+I89)^($A$6:$A$15-1)+(MOD($A$6:$A$15+'2. The asset'!$B$27,'2. The asset'!$B$26)=0)*'2. The asset'!$B$25*'2. The asset'!$B$4*(1+I89)^($A$6:$A$15-1)))/(1+'2. The asset'!$B$29)^$A$6:$A$15)+((('2. The asset'!$B$14*(1+'2. The asset'!$B$30)^'2. The asset'!$B$34-'2. The asset'!$B$23*(1+I89)^'2. The asset'!$B$34)/'2. The asset'!$B$28)*(1-'2. The asset'!$B$33)-'2. The asset'!$B$25*'2. The asset'!$B$4*(1+I89)^'2. The asset'!$B$34*MOD('2. The asset'!$B$34+'2. The asset'!$B$27,'2. The asset'!$B$26)/'2. The asset'!$B$26)/(1+'2. The asset'!$B$29)^'2. The asset'!$B$34-'2. The asset'!$B$17</f>
        <v>6.88363549299538</v>
      </c>
    </row>
    <row r="90" customFormat="false" ht="15" hidden="false" customHeight="false" outlineLevel="0" collapsed="false">
      <c r="A90" s="15" t="n">
        <v>21</v>
      </c>
      <c r="B90" s="32" t="n">
        <f aca="false">IF(E89&lt;0,D89,B89)</f>
        <v>0.0341899299621582</v>
      </c>
      <c r="C90" s="32" t="n">
        <f aca="false">IF(E89&lt;0,C89,D89)</f>
        <v>0.0341901397705078</v>
      </c>
      <c r="D90" s="32" t="n">
        <f aca="false">(B90+C90)/2</f>
        <v>0.034190034866333</v>
      </c>
      <c r="E90" s="16" t="n">
        <f aca="false">SUMPRODUCT(($A$6:$A$15&lt;='2. The asset'!$B$34)*('2. The asset'!$B$14*(1+D90)^($A$6:$A$15-1)-'2. The asset'!$B$23*(1+'2. The asset'!$B$31)^($A$6:$A$15-1)-('2. The asset'!$B$24*'2. The asset'!$B$4*(1+'2. The asset'!$B$31)^($A$6:$A$15-1)+(MOD($A$6:$A$15+'2. The asset'!$B$27,'2. The asset'!$B$26)=0)*'2. The asset'!$B$25*'2. The asset'!$B$4*(1+'2. The asset'!$B$31)^($A$6:$A$15-1)))/(1+'2. The asset'!$B$29)^$A$6:$A$15)+((('2. The asset'!$B$14*(1+D90)^'2. The asset'!$B$34-'2. The asset'!$B$23*(1+'2. The asset'!$B$31)^'2. The asset'!$B$34)/'2. The asset'!$B$28)*(1-'2. The asset'!$B$33)-'2. The asset'!$B$25*'2. The asset'!$B$4*(1+'2. The asset'!$B$31)^'2. The asset'!$B$34*MOD('2. The asset'!$B$34+'2. The asset'!$B$27,'2. The asset'!$B$26)/'2. The asset'!$B$26)/(1+'2. The asset'!$B$29)^'2. The asset'!$B$34-'2. The asset'!$B$17</f>
        <v>-3.69793627969921</v>
      </c>
      <c r="G90" s="32" t="n">
        <f aca="false">IF(J89&gt;0,I89,G89)</f>
        <v>0.0212203502655029</v>
      </c>
      <c r="H90" s="32" t="n">
        <f aca="false">IF(J89&gt;0,H89,I89)</f>
        <v>0.021220588684082</v>
      </c>
      <c r="I90" s="32" t="n">
        <f aca="false">(G90+H90)/2</f>
        <v>0.0212204694747925</v>
      </c>
      <c r="J90" s="16" t="n">
        <f aca="false">SUMPRODUCT(($A$6:$A$15&lt;='2. The asset'!$B$34)*('2. The asset'!$B$14*(1+'2. The asset'!$B$30)^($A$6:$A$15-1)-'2. The asset'!$B$23*(1+I90)^($A$6:$A$15-1)-('2. The asset'!$B$24*'2. The asset'!$B$4*(1+I90)^($A$6:$A$15-1)+(MOD($A$6:$A$15+'2. The asset'!$B$27,'2. The asset'!$B$26)=0)*'2. The asset'!$B$25*'2. The asset'!$B$4*(1+I90)^($A$6:$A$15-1)))/(1+'2. The asset'!$B$29)^$A$6:$A$15)+((('2. The asset'!$B$14*(1+'2. The asset'!$B$30)^'2. The asset'!$B$34-'2. The asset'!$B$23*(1+I90)^'2. The asset'!$B$34)/'2. The asset'!$B$28)*(1-'2. The asset'!$B$33)-'2. The asset'!$B$25*'2. The asset'!$B$4*(1+I90)^'2. The asset'!$B$34*MOD('2. The asset'!$B$34+'2. The asset'!$B$27,'2. The asset'!$B$26)/'2. The asset'!$B$26)/(1+'2. The asset'!$B$29)^'2. The asset'!$B$34-'2. The asset'!$B$17</f>
        <v>-1.00561494007707</v>
      </c>
    </row>
    <row r="91" customFormat="false" ht="15" hidden="false" customHeight="false" outlineLevel="0" collapsed="false">
      <c r="A91" s="15" t="n">
        <v>22</v>
      </c>
      <c r="B91" s="32" t="n">
        <f aca="false">IF(E90&lt;0,D90,B90)</f>
        <v>0.034190034866333</v>
      </c>
      <c r="C91" s="32" t="n">
        <f aca="false">IF(E90&lt;0,C90,D90)</f>
        <v>0.0341901397705078</v>
      </c>
      <c r="D91" s="32" t="n">
        <f aca="false">(B91+C91)/2</f>
        <v>0.0341900873184204</v>
      </c>
      <c r="E91" s="16" t="n">
        <f aca="false">SUMPRODUCT(($A$6:$A$15&lt;='2. The asset'!$B$34)*('2. The asset'!$B$14*(1+D91)^($A$6:$A$15-1)-'2. The asset'!$B$23*(1+'2. The asset'!$B$31)^($A$6:$A$15-1)-('2. The asset'!$B$24*'2. The asset'!$B$4*(1+'2. The asset'!$B$31)^($A$6:$A$15-1)+(MOD($A$6:$A$15+'2. The asset'!$B$27,'2. The asset'!$B$26)=0)*'2. The asset'!$B$25*'2. The asset'!$B$4*(1+'2. The asset'!$B$31)^($A$6:$A$15-1)))/(1+'2. The asset'!$B$29)^$A$6:$A$15)+((('2. The asset'!$B$14*(1+D91)^'2. The asset'!$B$34-'2. The asset'!$B$23*(1+'2. The asset'!$B$31)^'2. The asset'!$B$34)/'2. The asset'!$B$28)*(1-'2. The asset'!$B$33)-'2. The asset'!$B$25*'2. The asset'!$B$4*(1+'2. The asset'!$B$31)^'2. The asset'!$B$34*MOD('2. The asset'!$B$34+'2. The asset'!$B$27,'2. The asset'!$B$26)/'2. The asset'!$B$26)/(1+'2. The asset'!$B$29)^'2. The asset'!$B$34-'2. The asset'!$B$17</f>
        <v>3.23481352441013</v>
      </c>
      <c r="G91" s="32" t="n">
        <f aca="false">IF(J90&gt;0,I90,G90)</f>
        <v>0.0212203502655029</v>
      </c>
      <c r="H91" s="32" t="n">
        <f aca="false">IF(J90&gt;0,H90,I90)</f>
        <v>0.0212204694747925</v>
      </c>
      <c r="I91" s="32" t="n">
        <f aca="false">(G91+H91)/2</f>
        <v>0.0212204098701477</v>
      </c>
      <c r="J91" s="16" t="n">
        <f aca="false">SUMPRODUCT(($A$6:$A$15&lt;='2. The asset'!$B$34)*('2. The asset'!$B$14*(1+'2. The asset'!$B$30)^($A$6:$A$15-1)-'2. The asset'!$B$23*(1+I91)^($A$6:$A$15-1)-('2. The asset'!$B$24*'2. The asset'!$B$4*(1+I91)^($A$6:$A$15-1)+(MOD($A$6:$A$15+'2. The asset'!$B$27,'2. The asset'!$B$26)=0)*'2. The asset'!$B$25*'2. The asset'!$B$4*(1+I91)^($A$6:$A$15-1)))/(1+'2. The asset'!$B$29)^$A$6:$A$15)+((('2. The asset'!$B$14*(1+'2. The asset'!$B$30)^'2. The asset'!$B$34-'2. The asset'!$B$23*(1+I91)^'2. The asset'!$B$34)/'2. The asset'!$B$28)*(1-'2. The asset'!$B$33)-'2. The asset'!$B$25*'2. The asset'!$B$4*(1+I91)^'2. The asset'!$B$34*MOD('2. The asset'!$B$34+'2. The asset'!$B$27,'2. The asset'!$B$26)/'2. The asset'!$B$26)/(1+'2. The asset'!$B$29)^'2. The asset'!$B$34-'2. The asset'!$B$17</f>
        <v>2.93901118822396</v>
      </c>
    </row>
    <row r="92" customFormat="false" ht="15" hidden="false" customHeight="false" outlineLevel="0" collapsed="false">
      <c r="A92" s="15" t="n">
        <v>23</v>
      </c>
      <c r="B92" s="32" t="n">
        <f aca="false">IF(E91&lt;0,D91,B91)</f>
        <v>0.034190034866333</v>
      </c>
      <c r="C92" s="32" t="n">
        <f aca="false">IF(E91&lt;0,C91,D91)</f>
        <v>0.0341900873184204</v>
      </c>
      <c r="D92" s="32" t="n">
        <f aca="false">(B92+C92)/2</f>
        <v>0.0341900610923767</v>
      </c>
      <c r="E92" s="16" t="n">
        <f aca="false">SUMPRODUCT(($A$6:$A$15&lt;='2. The asset'!$B$34)*('2. The asset'!$B$14*(1+D92)^($A$6:$A$15-1)-'2. The asset'!$B$23*(1+'2. The asset'!$B$31)^($A$6:$A$15-1)-('2. The asset'!$B$24*'2. The asset'!$B$4*(1+'2. The asset'!$B$31)^($A$6:$A$15-1)+(MOD($A$6:$A$15+'2. The asset'!$B$27,'2. The asset'!$B$26)=0)*'2. The asset'!$B$25*'2. The asset'!$B$4*(1+'2. The asset'!$B$31)^($A$6:$A$15-1)))/(1+'2. The asset'!$B$29)^$A$6:$A$15)+((('2. The asset'!$B$14*(1+D92)^'2. The asset'!$B$34-'2. The asset'!$B$23*(1+'2. The asset'!$B$31)^'2. The asset'!$B$34)/'2. The asset'!$B$28)*(1-'2. The asset'!$B$33)-'2. The asset'!$B$25*'2. The asset'!$B$4*(1+'2. The asset'!$B$31)^'2. The asset'!$B$34*MOD('2. The asset'!$B$34+'2. The asset'!$B$27,'2. The asset'!$B$26)/'2. The asset'!$B$26)/(1+'2. The asset'!$B$29)^'2. The asset'!$B$34-'2. The asset'!$B$17</f>
        <v>-0.231561746448278</v>
      </c>
      <c r="G92" s="32" t="n">
        <f aca="false">IF(J91&gt;0,I91,G91)</f>
        <v>0.0212204098701477</v>
      </c>
      <c r="H92" s="32" t="n">
        <f aca="false">IF(J91&gt;0,H91,I91)</f>
        <v>0.0212204694747925</v>
      </c>
      <c r="I92" s="32" t="n">
        <f aca="false">(G92+H92)/2</f>
        <v>0.0212204396724701</v>
      </c>
      <c r="J92" s="16" t="n">
        <f aca="false">SUMPRODUCT(($A$6:$A$15&lt;='2. The asset'!$B$34)*('2. The asset'!$B$14*(1+'2. The asset'!$B$30)^($A$6:$A$15-1)-'2. The asset'!$B$23*(1+I92)^($A$6:$A$15-1)-('2. The asset'!$B$24*'2. The asset'!$B$4*(1+I92)^($A$6:$A$15-1)+(MOD($A$6:$A$15+'2. The asset'!$B$27,'2. The asset'!$B$26)=0)*'2. The asset'!$B$25*'2. The asset'!$B$4*(1+I92)^($A$6:$A$15-1)))/(1+'2. The asset'!$B$29)^$A$6:$A$15)+((('2. The asset'!$B$14*(1+'2. The asset'!$B$30)^'2. The asset'!$B$34-'2. The asset'!$B$23*(1+I92)^'2. The asset'!$B$34)/'2. The asset'!$B$28)*(1-'2. The asset'!$B$33)-'2. The asset'!$B$25*'2. The asset'!$B$4*(1+I92)^'2. The asset'!$B$34*MOD('2. The asset'!$B$34+'2. The asset'!$B$27,'2. The asset'!$B$26)/'2. The asset'!$B$26)/(1+'2. The asset'!$B$29)^'2. The asset'!$B$34-'2. The asset'!$B$17</f>
        <v>0.966698352247477</v>
      </c>
    </row>
    <row r="93" customFormat="false" ht="15" hidden="false" customHeight="false" outlineLevel="0" collapsed="false">
      <c r="A93" s="15" t="n">
        <v>24</v>
      </c>
      <c r="B93" s="32" t="n">
        <f aca="false">IF(E92&lt;0,D92,B92)</f>
        <v>0.0341900610923767</v>
      </c>
      <c r="C93" s="32" t="n">
        <f aca="false">IF(E92&lt;0,C92,D92)</f>
        <v>0.0341900873184204</v>
      </c>
      <c r="D93" s="32" t="n">
        <f aca="false">(B93+C93)/2</f>
        <v>0.0341900742053986</v>
      </c>
      <c r="E93" s="16" t="n">
        <f aca="false">SUMPRODUCT(($A$6:$A$15&lt;='2. The asset'!$B$34)*('2. The asset'!$B$14*(1+D93)^($A$6:$A$15-1)-'2. The asset'!$B$23*(1+'2. The asset'!$B$31)^($A$6:$A$15-1)-('2. The asset'!$B$24*'2. The asset'!$B$4*(1+'2. The asset'!$B$31)^($A$6:$A$15-1)+(MOD($A$6:$A$15+'2. The asset'!$B$27,'2. The asset'!$B$26)=0)*'2. The asset'!$B$25*'2. The asset'!$B$4*(1+'2. The asset'!$B$31)^($A$6:$A$15-1)))/(1+'2. The asset'!$B$29)^$A$6:$A$15)+((('2. The asset'!$B$14*(1+D93)^'2. The asset'!$B$34-'2. The asset'!$B$23*(1+'2. The asset'!$B$31)^'2. The asset'!$B$34)/'2. The asset'!$B$28)*(1-'2. The asset'!$B$33)-'2. The asset'!$B$25*'2. The asset'!$B$4*(1+'2. The asset'!$B$31)^'2. The asset'!$B$34*MOD('2. The asset'!$B$34+'2. The asset'!$B$27,'2. The asset'!$B$26)/'2. The asset'!$B$26)/(1+'2. The asset'!$B$29)^'2. The asset'!$B$34-'2. The asset'!$B$17</f>
        <v>1.50162581540644</v>
      </c>
      <c r="G93" s="32" t="n">
        <f aca="false">IF(J92&gt;0,I92,G92)</f>
        <v>0.0212204396724701</v>
      </c>
      <c r="H93" s="32" t="n">
        <f aca="false">IF(J92&gt;0,H92,I92)</f>
        <v>0.0212204694747925</v>
      </c>
      <c r="I93" s="32" t="n">
        <f aca="false">(G93+H93)/2</f>
        <v>0.0212204545736313</v>
      </c>
      <c r="J93" s="16" t="n">
        <f aca="false">SUMPRODUCT(($A$6:$A$15&lt;='2. The asset'!$B$34)*('2. The asset'!$B$14*(1+'2. The asset'!$B$30)^($A$6:$A$15-1)-'2. The asset'!$B$23*(1+I93)^($A$6:$A$15-1)-('2. The asset'!$B$24*'2. The asset'!$B$4*(1+I93)^($A$6:$A$15-1)+(MOD($A$6:$A$15+'2. The asset'!$B$27,'2. The asset'!$B$26)=0)*'2. The asset'!$B$25*'2. The asset'!$B$4*(1+I93)^($A$6:$A$15-1)))/(1+'2. The asset'!$B$29)^$A$6:$A$15)+((('2. The asset'!$B$14*(1+'2. The asset'!$B$30)^'2. The asset'!$B$34-'2. The asset'!$B$23*(1+I93)^'2. The asset'!$B$34)/'2. The asset'!$B$28)*(1-'2. The asset'!$B$33)-'2. The asset'!$B$25*'2. The asset'!$B$4*(1+I93)^'2. The asset'!$B$34*MOD('2. The asset'!$B$34+'2. The asset'!$B$27,'2. The asset'!$B$26)/'2. The asset'!$B$26)/(1+'2. The asset'!$B$29)^'2. The asset'!$B$34-'2. The asset'!$B$17</f>
        <v>-0.0194582380354404</v>
      </c>
    </row>
    <row r="94" customFormat="false" ht="15" hidden="false" customHeight="false" outlineLevel="0" collapsed="false">
      <c r="A94" s="15" t="n">
        <v>25</v>
      </c>
      <c r="B94" s="32" t="n">
        <f aca="false">IF(E93&lt;0,D93,B93)</f>
        <v>0.0341900610923767</v>
      </c>
      <c r="C94" s="32" t="n">
        <f aca="false">IF(E93&lt;0,C93,D93)</f>
        <v>0.0341900742053986</v>
      </c>
      <c r="D94" s="32" t="n">
        <f aca="false">(B94+C94)/2</f>
        <v>0.0341900676488876</v>
      </c>
      <c r="E94" s="16" t="n">
        <f aca="false">SUMPRODUCT(($A$6:$A$15&lt;='2. The asset'!$B$34)*('2. The asset'!$B$14*(1+D94)^($A$6:$A$15-1)-'2. The asset'!$B$23*(1+'2. The asset'!$B$31)^($A$6:$A$15-1)-('2. The asset'!$B$24*'2. The asset'!$B$4*(1+'2. The asset'!$B$31)^($A$6:$A$15-1)+(MOD($A$6:$A$15+'2. The asset'!$B$27,'2. The asset'!$B$26)=0)*'2. The asset'!$B$25*'2. The asset'!$B$4*(1+'2. The asset'!$B$31)^($A$6:$A$15-1)))/(1+'2. The asset'!$B$29)^$A$6:$A$15)+((('2. The asset'!$B$14*(1+D94)^'2. The asset'!$B$34-'2. The asset'!$B$23*(1+'2. The asset'!$B$31)^'2. The asset'!$B$34)/'2. The asset'!$B$28)*(1-'2. The asset'!$B$33)-'2. The asset'!$B$25*'2. The asset'!$B$4*(1+'2. The asset'!$B$31)^'2. The asset'!$B$34*MOD('2. The asset'!$B$34+'2. The asset'!$B$27,'2. The asset'!$B$26)/'2. The asset'!$B$26)/(1+'2. The asset'!$B$29)^'2. The asset'!$B$34-'2. The asset'!$B$17</f>
        <v>0.635031996294856</v>
      </c>
      <c r="G94" s="32" t="n">
        <f aca="false">IF(J93&gt;0,I93,G93)</f>
        <v>0.0212204396724701</v>
      </c>
      <c r="H94" s="32" t="n">
        <f aca="false">IF(J93&gt;0,H93,I93)</f>
        <v>0.0212204545736313</v>
      </c>
      <c r="I94" s="32" t="n">
        <f aca="false">(G94+H94)/2</f>
        <v>0.0212204471230507</v>
      </c>
      <c r="J94" s="16" t="n">
        <f aca="false">SUMPRODUCT(($A$6:$A$15&lt;='2. The asset'!$B$34)*('2. The asset'!$B$14*(1+'2. The asset'!$B$30)^($A$6:$A$15-1)-'2. The asset'!$B$23*(1+I94)^($A$6:$A$15-1)-('2. The asset'!$B$24*'2. The asset'!$B$4*(1+I94)^($A$6:$A$15-1)+(MOD($A$6:$A$15+'2. The asset'!$B$27,'2. The asset'!$B$26)=0)*'2. The asset'!$B$25*'2. The asset'!$B$4*(1+I94)^($A$6:$A$15-1)))/(1+'2. The asset'!$B$29)^$A$6:$A$15)+((('2. The asset'!$B$14*(1+'2. The asset'!$B$30)^'2. The asset'!$B$34-'2. The asset'!$B$23*(1+I94)^'2. The asset'!$B$34)/'2. The asset'!$B$28)*(1-'2. The asset'!$B$33)-'2. The asset'!$B$25*'2. The asset'!$B$4*(1+I94)^'2. The asset'!$B$34*MOD('2. The asset'!$B$34+'2. The asset'!$B$27,'2. The asset'!$B$26)/'2. The asset'!$B$26)/(1+'2. The asset'!$B$29)^'2. The asset'!$B$34-'2. The asset'!$B$17</f>
        <v>0.473620072007179</v>
      </c>
    </row>
    <row r="95" customFormat="false" ht="15" hidden="false" customHeight="false" outlineLevel="0" collapsed="false">
      <c r="A95" s="15" t="n">
        <v>26</v>
      </c>
      <c r="B95" s="32" t="n">
        <f aca="false">IF(E94&lt;0,D94,B94)</f>
        <v>0.0341900610923767</v>
      </c>
      <c r="C95" s="32" t="n">
        <f aca="false">IF(E94&lt;0,C94,D94)</f>
        <v>0.0341900676488876</v>
      </c>
      <c r="D95" s="32" t="n">
        <f aca="false">(B95+C95)/2</f>
        <v>0.0341900643706322</v>
      </c>
      <c r="E95" s="16" t="n">
        <f aca="false">SUMPRODUCT(($A$6:$A$15&lt;='2. The asset'!$B$34)*('2. The asset'!$B$14*(1+D95)^($A$6:$A$15-1)-'2. The asset'!$B$23*(1+'2. The asset'!$B$31)^($A$6:$A$15-1)-('2. The asset'!$B$24*'2. The asset'!$B$4*(1+'2. The asset'!$B$31)^($A$6:$A$15-1)+(MOD($A$6:$A$15+'2. The asset'!$B$27,'2. The asset'!$B$26)=0)*'2. The asset'!$B$25*'2. The asset'!$B$4*(1+'2. The asset'!$B$31)^($A$6:$A$15-1)))/(1+'2. The asset'!$B$29)^$A$6:$A$15)+((('2. The asset'!$B$14*(1+D95)^'2. The asset'!$B$34-'2. The asset'!$B$23*(1+'2. The asset'!$B$31)^'2. The asset'!$B$34)/'2. The asset'!$B$28)*(1-'2. The asset'!$B$33)-'2. The asset'!$B$25*'2. The asset'!$B$4*(1+'2. The asset'!$B$31)^'2. The asset'!$B$34*MOD('2. The asset'!$B$34+'2. The asset'!$B$27,'2. The asset'!$B$26)/'2. The asset'!$B$26)/(1+'2. The asset'!$B$29)^'2. The asset'!$B$34-'2. The asset'!$B$17</f>
        <v>0.201735120266676</v>
      </c>
      <c r="G95" s="32" t="n">
        <f aca="false">IF(J94&gt;0,I94,G94)</f>
        <v>0.0212204471230507</v>
      </c>
      <c r="H95" s="32" t="n">
        <f aca="false">IF(J94&gt;0,H94,I94)</f>
        <v>0.0212204545736313</v>
      </c>
      <c r="I95" s="32" t="n">
        <f aca="false">(G95+H95)/2</f>
        <v>0.021220450848341</v>
      </c>
      <c r="J95" s="16" t="n">
        <f aca="false">SUMPRODUCT(($A$6:$A$15&lt;='2. The asset'!$B$34)*('2. The asset'!$B$14*(1+'2. The asset'!$B$30)^($A$6:$A$15-1)-'2. The asset'!$B$23*(1+I95)^($A$6:$A$15-1)-('2. The asset'!$B$24*'2. The asset'!$B$4*(1+I95)^($A$6:$A$15-1)+(MOD($A$6:$A$15+'2. The asset'!$B$27,'2. The asset'!$B$26)=0)*'2. The asset'!$B$25*'2. The asset'!$B$4*(1+I95)^($A$6:$A$15-1)))/(1+'2. The asset'!$B$29)^$A$6:$A$15)+((('2. The asset'!$B$14*(1+'2. The asset'!$B$30)^'2. The asset'!$B$34-'2. The asset'!$B$23*(1+I95)^'2. The asset'!$B$34)/'2. The asset'!$B$28)*(1-'2. The asset'!$B$33)-'2. The asset'!$B$25*'2. The asset'!$B$4*(1+I95)^'2. The asset'!$B$34*MOD('2. The asset'!$B$34+'2. The asset'!$B$27,'2. The asset'!$B$26)/'2. The asset'!$B$26)/(1+'2. The asset'!$B$29)^'2. The asset'!$B$34-'2. The asset'!$B$17</f>
        <v>0.22708092071116</v>
      </c>
    </row>
    <row r="96" customFormat="false" ht="15" hidden="false" customHeight="false" outlineLevel="0" collapsed="false">
      <c r="A96" s="15" t="n">
        <v>27</v>
      </c>
      <c r="B96" s="32" t="n">
        <f aca="false">IF(E95&lt;0,D95,B95)</f>
        <v>0.0341900610923767</v>
      </c>
      <c r="C96" s="32" t="n">
        <f aca="false">IF(E95&lt;0,C95,D95)</f>
        <v>0.0341900643706322</v>
      </c>
      <c r="D96" s="32" t="n">
        <f aca="false">(B96+C96)/2</f>
        <v>0.0341900627315044</v>
      </c>
      <c r="E96" s="16" t="n">
        <f aca="false">SUMPRODUCT(($A$6:$A$15&lt;='2. The asset'!$B$34)*('2. The asset'!$B$14*(1+D96)^($A$6:$A$15-1)-'2. The asset'!$B$23*(1+'2. The asset'!$B$31)^($A$6:$A$15-1)-('2. The asset'!$B$24*'2. The asset'!$B$4*(1+'2. The asset'!$B$31)^($A$6:$A$15-1)+(MOD($A$6:$A$15+'2. The asset'!$B$27,'2. The asset'!$B$26)=0)*'2. The asset'!$B$25*'2. The asset'!$B$4*(1+'2. The asset'!$B$31)^($A$6:$A$15-1)))/(1+'2. The asset'!$B$29)^$A$6:$A$15)+((('2. The asset'!$B$14*(1+D96)^'2. The asset'!$B$34-'2. The asset'!$B$23*(1+'2. The asset'!$B$31)^'2. The asset'!$B$34)/'2. The asset'!$B$28)*(1-'2. The asset'!$B$33)-'2. The asset'!$B$25*'2. The asset'!$B$4*(1+'2. The asset'!$B$31)^'2. The asset'!$B$34*MOD('2. The asset'!$B$34+'2. The asset'!$B$27,'2. The asset'!$B$26)/'2. The asset'!$B$26)/(1+'2. The asset'!$B$29)^'2. The asset'!$B$34-'2. The asset'!$B$17</f>
        <v>-0.0149133149534464</v>
      </c>
      <c r="G96" s="32" t="n">
        <f aca="false">IF(J95&gt;0,I95,G95)</f>
        <v>0.021220450848341</v>
      </c>
      <c r="H96" s="32" t="n">
        <f aca="false">IF(J95&gt;0,H95,I95)</f>
        <v>0.0212204545736313</v>
      </c>
      <c r="I96" s="32" t="n">
        <f aca="false">(G96+H96)/2</f>
        <v>0.0212204527109861</v>
      </c>
      <c r="J96" s="16" t="n">
        <f aca="false">SUMPRODUCT(($A$6:$A$15&lt;='2. The asset'!$B$34)*('2. The asset'!$B$14*(1+'2. The asset'!$B$30)^($A$6:$A$15-1)-'2. The asset'!$B$23*(1+I96)^($A$6:$A$15-1)-('2. The asset'!$B$24*'2. The asset'!$B$4*(1+I96)^($A$6:$A$15-1)+(MOD($A$6:$A$15+'2. The asset'!$B$27,'2. The asset'!$B$26)=0)*'2. The asset'!$B$25*'2. The asset'!$B$4*(1+I96)^($A$6:$A$15-1)))/(1+'2. The asset'!$B$29)^$A$6:$A$15)+((('2. The asset'!$B$14*(1+'2. The asset'!$B$30)^'2. The asset'!$B$34-'2. The asset'!$B$23*(1+I96)^'2. The asset'!$B$34)/'2. The asset'!$B$28)*(1-'2. The asset'!$B$33)-'2. The asset'!$B$25*'2. The asset'!$B$4*(1+I96)^'2. The asset'!$B$34*MOD('2. The asset'!$B$34+'2. The asset'!$B$27,'2. The asset'!$B$26)/'2. The asset'!$B$26)/(1+'2. The asset'!$B$29)^'2. The asset'!$B$34-'2. The asset'!$B$17</f>
        <v>0.103811342269182</v>
      </c>
    </row>
    <row r="97" customFormat="false" ht="15" hidden="false" customHeight="false" outlineLevel="0" collapsed="false">
      <c r="A97" s="15" t="n">
        <v>28</v>
      </c>
      <c r="B97" s="32" t="n">
        <f aca="false">IF(E96&lt;0,D96,B96)</f>
        <v>0.0341900627315044</v>
      </c>
      <c r="C97" s="32" t="n">
        <f aca="false">IF(E96&lt;0,C96,D96)</f>
        <v>0.0341900643706322</v>
      </c>
      <c r="D97" s="32" t="n">
        <f aca="false">(B97+C97)/2</f>
        <v>0.0341900635510683</v>
      </c>
      <c r="E97" s="16" t="n">
        <f aca="false">SUMPRODUCT(($A$6:$A$15&lt;='2. The asset'!$B$34)*('2. The asset'!$B$14*(1+D97)^($A$6:$A$15-1)-'2. The asset'!$B$23*(1+'2. The asset'!$B$31)^($A$6:$A$15-1)-('2. The asset'!$B$24*'2. The asset'!$B$4*(1+'2. The asset'!$B$31)^($A$6:$A$15-1)+(MOD($A$6:$A$15+'2. The asset'!$B$27,'2. The asset'!$B$26)=0)*'2. The asset'!$B$25*'2. The asset'!$B$4*(1+'2. The asset'!$B$31)^($A$6:$A$15-1)))/(1+'2. The asset'!$B$29)^$A$6:$A$15)+((('2. The asset'!$B$14*(1+D97)^'2. The asset'!$B$34-'2. The asset'!$B$23*(1+'2. The asset'!$B$31)^'2. The asset'!$B$34)/'2. The asset'!$B$28)*(1-'2. The asset'!$B$33)-'2. The asset'!$B$25*'2. The asset'!$B$4*(1+'2. The asset'!$B$31)^'2. The asset'!$B$34*MOD('2. The asset'!$B$34+'2. The asset'!$B$27,'2. The asset'!$B$26)/'2. The asset'!$B$26)/(1+'2. The asset'!$B$29)^'2. The asset'!$B$34-'2. The asset'!$B$17</f>
        <v>0.0934109166264534</v>
      </c>
      <c r="G97" s="32" t="n">
        <f aca="false">IF(J96&gt;0,I96,G96)</f>
        <v>0.0212204527109861</v>
      </c>
      <c r="H97" s="32" t="n">
        <f aca="false">IF(J96&gt;0,H96,I96)</f>
        <v>0.0212204545736313</v>
      </c>
      <c r="I97" s="32" t="n">
        <f aca="false">(G97+H97)/2</f>
        <v>0.0212204536423087</v>
      </c>
      <c r="J97" s="16" t="n">
        <f aca="false">SUMPRODUCT(($A$6:$A$15&lt;='2. The asset'!$B$34)*('2. The asset'!$B$14*(1+'2. The asset'!$B$30)^($A$6:$A$15-1)-'2. The asset'!$B$23*(1+I97)^($A$6:$A$15-1)-('2. The asset'!$B$24*'2. The asset'!$B$4*(1+I97)^($A$6:$A$15-1)+(MOD($A$6:$A$15+'2. The asset'!$B$27,'2. The asset'!$B$26)=0)*'2. The asset'!$B$25*'2. The asset'!$B$4*(1+I97)^($A$6:$A$15-1)))/(1+'2. The asset'!$B$29)^$A$6:$A$15)+((('2. The asset'!$B$14*(1+'2. The asset'!$B$30)^'2. The asset'!$B$34-'2. The asset'!$B$23*(1+I97)^'2. The asset'!$B$34)/'2. The asset'!$B$28)*(1-'2. The asset'!$B$33)-'2. The asset'!$B$25*'2. The asset'!$B$4*(1+I97)^'2. The asset'!$B$34*MOD('2. The asset'!$B$34+'2. The asset'!$B$27,'2. The asset'!$B$26)/'2. The asset'!$B$26)/(1+'2. The asset'!$B$29)^'2. The asset'!$B$34-'2. The asset'!$B$17</f>
        <v>0.042176553979516</v>
      </c>
    </row>
    <row r="98" customFormat="false" ht="15" hidden="false" customHeight="false" outlineLevel="0" collapsed="false">
      <c r="A98" s="15" t="n">
        <v>29</v>
      </c>
      <c r="B98" s="32" t="n">
        <f aca="false">IF(E97&lt;0,D97,B97)</f>
        <v>0.0341900627315044</v>
      </c>
      <c r="C98" s="32" t="n">
        <f aca="false">IF(E97&lt;0,C97,D97)</f>
        <v>0.0341900635510683</v>
      </c>
      <c r="D98" s="32" t="n">
        <f aca="false">(B98+C98)/2</f>
        <v>0.0341900631412864</v>
      </c>
      <c r="E98" s="16" t="n">
        <f aca="false">SUMPRODUCT(($A$6:$A$15&lt;='2. The asset'!$B$34)*('2. The asset'!$B$14*(1+D98)^($A$6:$A$15-1)-'2. The asset'!$B$23*(1+'2. The asset'!$B$31)^($A$6:$A$15-1)-('2. The asset'!$B$24*'2. The asset'!$B$4*(1+'2. The asset'!$B$31)^($A$6:$A$15-1)+(MOD($A$6:$A$15+'2. The asset'!$B$27,'2. The asset'!$B$26)=0)*'2. The asset'!$B$25*'2. The asset'!$B$4*(1+'2. The asset'!$B$31)^($A$6:$A$15-1)))/(1+'2. The asset'!$B$29)^$A$6:$A$15)+((('2. The asset'!$B$14*(1+D98)^'2. The asset'!$B$34-'2. The asset'!$B$23*(1+'2. The asset'!$B$31)^'2. The asset'!$B$34)/'2. The asset'!$B$28)*(1-'2. The asset'!$B$33)-'2. The asset'!$B$25*'2. The asset'!$B$4*(1+'2. The asset'!$B$31)^'2. The asset'!$B$34*MOD('2. The asset'!$B$34+'2. The asset'!$B$27,'2. The asset'!$B$26)/'2. The asset'!$B$26)/(1+'2. The asset'!$B$29)^'2. The asset'!$B$34-'2. The asset'!$B$17</f>
        <v>0.0392487999051809</v>
      </c>
      <c r="G98" s="32" t="n">
        <f aca="false">IF(J97&gt;0,I97,G97)</f>
        <v>0.0212204536423087</v>
      </c>
      <c r="H98" s="32" t="n">
        <f aca="false">IF(J97&gt;0,H97,I97)</f>
        <v>0.0212204545736313</v>
      </c>
      <c r="I98" s="32" t="n">
        <f aca="false">(G98+H98)/2</f>
        <v>0.02122045410797</v>
      </c>
      <c r="J98" s="16" t="n">
        <f aca="false">SUMPRODUCT(($A$6:$A$15&lt;='2. The asset'!$B$34)*('2. The asset'!$B$14*(1+'2. The asset'!$B$30)^($A$6:$A$15-1)-'2. The asset'!$B$23*(1+I98)^($A$6:$A$15-1)-('2. The asset'!$B$24*'2. The asset'!$B$4*(1+I98)^($A$6:$A$15-1)+(MOD($A$6:$A$15+'2. The asset'!$B$27,'2. The asset'!$B$26)=0)*'2. The asset'!$B$25*'2. The asset'!$B$4*(1+I98)^($A$6:$A$15-1)))/(1+'2. The asset'!$B$29)^$A$6:$A$15)+((('2. The asset'!$B$14*(1+'2. The asset'!$B$30)^'2. The asset'!$B$34-'2. The asset'!$B$23*(1+I98)^'2. The asset'!$B$34)/'2. The asset'!$B$28)*(1-'2. The asset'!$B$33)-'2. The asset'!$B$25*'2. The asset'!$B$4*(1+I98)^'2. The asset'!$B$34*MOD('2. The asset'!$B$34+'2. The asset'!$B$27,'2. The asset'!$B$26)/'2. The asset'!$B$26)/(1+'2. The asset'!$B$29)^'2. The asset'!$B$34-'2. The asset'!$B$17</f>
        <v>0.0113591570407152</v>
      </c>
    </row>
    <row r="99" customFormat="false" ht="15" hidden="false" customHeight="false" outlineLevel="0" collapsed="false">
      <c r="A99" s="15" t="n">
        <v>30</v>
      </c>
      <c r="B99" s="32" t="n">
        <f aca="false">IF(E98&lt;0,D98,B98)</f>
        <v>0.0341900627315044</v>
      </c>
      <c r="C99" s="32" t="n">
        <f aca="false">IF(E98&lt;0,C98,D98)</f>
        <v>0.0341900631412864</v>
      </c>
      <c r="D99" s="32" t="n">
        <f aca="false">(B99+C99)/2</f>
        <v>0.0341900629363954</v>
      </c>
      <c r="E99" s="16" t="n">
        <f aca="false">SUMPRODUCT(($A$6:$A$15&lt;='2. The asset'!$B$34)*('2. The asset'!$B$14*(1+D99)^($A$6:$A$15-1)-'2. The asset'!$B$23*(1+'2. The asset'!$B$31)^($A$6:$A$15-1)-('2. The asset'!$B$24*'2. The asset'!$B$4*(1+'2. The asset'!$B$31)^($A$6:$A$15-1)+(MOD($A$6:$A$15+'2. The asset'!$B$27,'2. The asset'!$B$26)=0)*'2. The asset'!$B$25*'2. The asset'!$B$4*(1+'2. The asset'!$B$31)^($A$6:$A$15-1)))/(1+'2. The asset'!$B$29)^$A$6:$A$15)+((('2. The asset'!$B$14*(1+D99)^'2. The asset'!$B$34-'2. The asset'!$B$23*(1+'2. The asset'!$B$31)^'2. The asset'!$B$34)/'2. The asset'!$B$28)*(1-'2. The asset'!$B$33)-'2. The asset'!$B$25*'2. The asset'!$B$4*(1+'2. The asset'!$B$31)^'2. The asset'!$B$34*MOD('2. The asset'!$B$34+'2. The asset'!$B$27,'2. The asset'!$B$26)/'2. The asset'!$B$26)/(1+'2. The asset'!$B$29)^'2. The asset'!$B$34-'2. The asset'!$B$17</f>
        <v>0.0121677443385124</v>
      </c>
      <c r="G99" s="32" t="n">
        <f aca="false">IF(J98&gt;0,I98,G98)</f>
        <v>0.02122045410797</v>
      </c>
      <c r="H99" s="32" t="n">
        <f aca="false">IF(J98&gt;0,H98,I98)</f>
        <v>0.0212204545736313</v>
      </c>
      <c r="I99" s="32" t="n">
        <f aca="false">(G99+H99)/2</f>
        <v>0.0212204543408006</v>
      </c>
      <c r="J99" s="16" t="n">
        <f aca="false">SUMPRODUCT(($A$6:$A$15&lt;='2. The asset'!$B$34)*('2. The asset'!$B$14*(1+'2. The asset'!$B$30)^($A$6:$A$15-1)-'2. The asset'!$B$23*(1+I99)^($A$6:$A$15-1)-('2. The asset'!$B$24*'2. The asset'!$B$4*(1+I99)^($A$6:$A$15-1)+(MOD($A$6:$A$15+'2. The asset'!$B$27,'2. The asset'!$B$26)=0)*'2. The asset'!$B$25*'2. The asset'!$B$4*(1+I99)^($A$6:$A$15-1)))/(1+'2. The asset'!$B$29)^$A$6:$A$15)+((('2. The asset'!$B$14*(1+'2. The asset'!$B$30)^'2. The asset'!$B$34-'2. The asset'!$B$23*(1+I99)^'2. The asset'!$B$34)/'2. The asset'!$B$28)*(1-'2. The asset'!$B$33)-'2. The asset'!$B$25*'2. The asset'!$B$4*(1+I99)^'2. The asset'!$B$34*MOD('2. The asset'!$B$34+'2. The asset'!$B$27,'2. The asset'!$B$26)/'2. The asset'!$B$26)/(1+'2. The asset'!$B$29)^'2. The asset'!$B$34-'2. The asset'!$B$17</f>
        <v>-0.00404953956604004</v>
      </c>
    </row>
    <row r="100" customFormat="false" ht="15" hidden="false" customHeight="false" outlineLevel="0" collapsed="false">
      <c r="A100" s="15" t="n">
        <v>31</v>
      </c>
      <c r="B100" s="32" t="n">
        <f aca="false">IF(E99&lt;0,D99,B99)</f>
        <v>0.0341900627315044</v>
      </c>
      <c r="C100" s="32" t="n">
        <f aca="false">IF(E99&lt;0,C99,D99)</f>
        <v>0.0341900629363954</v>
      </c>
      <c r="D100" s="32" t="n">
        <f aca="false">(B100+C100)/2</f>
        <v>0.0341900628339499</v>
      </c>
      <c r="E100" s="16" t="n">
        <f aca="false">SUMPRODUCT(($A$6:$A$15&lt;='2. The asset'!$B$34)*('2. The asset'!$B$14*(1+D100)^($A$6:$A$15-1)-'2. The asset'!$B$23*(1+'2. The asset'!$B$31)^($A$6:$A$15-1)-('2. The asset'!$B$24*'2. The asset'!$B$4*(1+'2. The asset'!$B$31)^($A$6:$A$15-1)+(MOD($A$6:$A$15+'2. The asset'!$B$27,'2. The asset'!$B$26)=0)*'2. The asset'!$B$25*'2. The asset'!$B$4*(1+'2. The asset'!$B$31)^($A$6:$A$15-1)))/(1+'2. The asset'!$B$29)^$A$6:$A$15)+((('2. The asset'!$B$14*(1+D100)^'2. The asset'!$B$34-'2. The asset'!$B$23*(1+'2. The asset'!$B$31)^'2. The asset'!$B$34)/'2. The asset'!$B$28)*(1-'2. The asset'!$B$33)-'2. The asset'!$B$25*'2. The asset'!$B$4*(1+'2. The asset'!$B$31)^'2. The asset'!$B$34*MOD('2. The asset'!$B$34+'2. The asset'!$B$27,'2. The asset'!$B$26)/'2. The asset'!$B$26)/(1+'2. The asset'!$B$29)^'2. The asset'!$B$34-'2. The asset'!$B$17</f>
        <v>-0.00137277133762836</v>
      </c>
      <c r="G100" s="32" t="n">
        <f aca="false">IF(J99&gt;0,I99,G99)</f>
        <v>0.02122045410797</v>
      </c>
      <c r="H100" s="32" t="n">
        <f aca="false">IF(J99&gt;0,H99,I99)</f>
        <v>0.0212204543408006</v>
      </c>
      <c r="I100" s="32" t="n">
        <f aca="false">(G100+H100)/2</f>
        <v>0.0212204542243853</v>
      </c>
      <c r="J100" s="16" t="n">
        <f aca="false">SUMPRODUCT(($A$6:$A$15&lt;='2. The asset'!$B$34)*('2. The asset'!$B$14*(1+'2. The asset'!$B$30)^($A$6:$A$15-1)-'2. The asset'!$B$23*(1+I100)^($A$6:$A$15-1)-('2. The asset'!$B$24*'2. The asset'!$B$4*(1+I100)^($A$6:$A$15-1)+(MOD($A$6:$A$15+'2. The asset'!$B$27,'2. The asset'!$B$26)=0)*'2. The asset'!$B$25*'2. The asset'!$B$4*(1+I100)^($A$6:$A$15-1)))/(1+'2. The asset'!$B$29)^$A$6:$A$15)+((('2. The asset'!$B$14*(1+'2. The asset'!$B$30)^'2. The asset'!$B$34-'2. The asset'!$B$23*(1+I100)^'2. The asset'!$B$34)/'2. The asset'!$B$28)*(1-'2. The asset'!$B$33)-'2. The asset'!$B$25*'2. The asset'!$B$4*(1+I100)^'2. The asset'!$B$34*MOD('2. The asset'!$B$34+'2. The asset'!$B$27,'2. The asset'!$B$26)/'2. The asset'!$B$26)/(1+'2. The asset'!$B$29)^'2. The asset'!$B$34-'2. The asset'!$B$17</f>
        <v>0.00365480966866016</v>
      </c>
    </row>
    <row r="101" customFormat="false" ht="15" hidden="false" customHeight="false" outlineLevel="0" collapsed="false">
      <c r="A101" s="15" t="n">
        <v>32</v>
      </c>
      <c r="B101" s="32" t="n">
        <f aca="false">IF(E100&lt;0,D100,B100)</f>
        <v>0.0341900628339499</v>
      </c>
      <c r="C101" s="32" t="n">
        <f aca="false">IF(E100&lt;0,C100,D100)</f>
        <v>0.0341900629363954</v>
      </c>
      <c r="D101" s="32" t="n">
        <f aca="false">(B101+C101)/2</f>
        <v>0.0341900628851727</v>
      </c>
      <c r="E101" s="16" t="n">
        <f aca="false">SUMPRODUCT(($A$6:$A$15&lt;='2. The asset'!$B$34)*('2. The asset'!$B$14*(1+D101)^($A$6:$A$15-1)-'2. The asset'!$B$23*(1+'2. The asset'!$B$31)^($A$6:$A$15-1)-('2. The asset'!$B$24*'2. The asset'!$B$4*(1+'2. The asset'!$B$31)^($A$6:$A$15-1)+(MOD($A$6:$A$15+'2. The asset'!$B$27,'2. The asset'!$B$26)=0)*'2. The asset'!$B$25*'2. The asset'!$B$4*(1+'2. The asset'!$B$31)^($A$6:$A$15-1)))/(1+'2. The asset'!$B$29)^$A$6:$A$15)+((('2. The asset'!$B$14*(1+D101)^'2. The asset'!$B$34-'2. The asset'!$B$23*(1+'2. The asset'!$B$31)^'2. The asset'!$B$34)/'2. The asset'!$B$28)*(1-'2. The asset'!$B$33)-'2. The asset'!$B$25*'2. The asset'!$B$4*(1+'2. The asset'!$B$31)^'2. The asset'!$B$34*MOD('2. The asset'!$B$34+'2. The asset'!$B$27,'2. The asset'!$B$26)/'2. The asset'!$B$26)/(1+'2. The asset'!$B$29)^'2. The asset'!$B$34-'2. The asset'!$B$17</f>
        <v>0.00539747066795826</v>
      </c>
      <c r="G101" s="32" t="n">
        <f aca="false">IF(J100&gt;0,I100,G100)</f>
        <v>0.0212204542243853</v>
      </c>
      <c r="H101" s="32" t="n">
        <f aca="false">IF(J100&gt;0,H100,I100)</f>
        <v>0.0212204543408006</v>
      </c>
      <c r="I101" s="32" t="n">
        <f aca="false">(G101+H101)/2</f>
        <v>0.021220454282593</v>
      </c>
      <c r="J101" s="16" t="n">
        <f aca="false">SUMPRODUCT(($A$6:$A$15&lt;='2. The asset'!$B$34)*('2. The asset'!$B$14*(1+'2. The asset'!$B$30)^($A$6:$A$15-1)-'2. The asset'!$B$23*(1+I101)^($A$6:$A$15-1)-('2. The asset'!$B$24*'2. The asset'!$B$4*(1+I101)^($A$6:$A$15-1)+(MOD($A$6:$A$15+'2. The asset'!$B$27,'2. The asset'!$B$26)=0)*'2. The asset'!$B$25*'2. The asset'!$B$4*(1+I101)^($A$6:$A$15-1)))/(1+'2. The asset'!$B$29)^$A$6:$A$15)+((('2. The asset'!$B$14*(1+'2. The asset'!$B$30)^'2. The asset'!$B$34-'2. The asset'!$B$23*(1+I101)^'2. The asset'!$B$34)/'2. The asset'!$B$28)*(1-'2. The asset'!$B$33)-'2. The asset'!$B$25*'2. The asset'!$B$4*(1+I101)^'2. The asset'!$B$34*MOD('2. The asset'!$B$34+'2. The asset'!$B$27,'2. The asset'!$B$26)/'2. The asset'!$B$26)/(1+'2. The asset'!$B$29)^'2. The asset'!$B$34-'2. The asset'!$B$17</f>
        <v>-0.000197364017367363</v>
      </c>
    </row>
    <row r="102" customFormat="false" ht="15" hidden="false" customHeight="false" outlineLevel="0" collapsed="false">
      <c r="A102" s="15" t="n">
        <v>33</v>
      </c>
      <c r="B102" s="32" t="n">
        <f aca="false">IF(E101&lt;0,D101,B101)</f>
        <v>0.0341900628339499</v>
      </c>
      <c r="C102" s="32" t="n">
        <f aca="false">IF(E101&lt;0,C101,D101)</f>
        <v>0.0341900628851727</v>
      </c>
      <c r="D102" s="32" t="n">
        <f aca="false">(B102+C102)/2</f>
        <v>0.0341900628595613</v>
      </c>
      <c r="E102" s="16" t="n">
        <f aca="false">SUMPRODUCT(($A$6:$A$15&lt;='2. The asset'!$B$34)*('2. The asset'!$B$14*(1+D102)^($A$6:$A$15-1)-'2. The asset'!$B$23*(1+'2. The asset'!$B$31)^($A$6:$A$15-1)-('2. The asset'!$B$24*'2. The asset'!$B$4*(1+'2. The asset'!$B$31)^($A$6:$A$15-1)+(MOD($A$6:$A$15+'2. The asset'!$B$27,'2. The asset'!$B$26)=0)*'2. The asset'!$B$25*'2. The asset'!$B$4*(1+'2. The asset'!$B$31)^($A$6:$A$15-1)))/(1+'2. The asset'!$B$29)^$A$6:$A$15)+((('2. The asset'!$B$14*(1+D102)^'2. The asset'!$B$34-'2. The asset'!$B$23*(1+'2. The asset'!$B$31)^'2. The asset'!$B$34)/'2. The asset'!$B$28)*(1-'2. The asset'!$B$33)-'2. The asset'!$B$25*'2. The asset'!$B$4*(1+'2. The asset'!$B$31)^'2. The asset'!$B$34*MOD('2. The asset'!$B$34+'2. The asset'!$B$27,'2. The asset'!$B$26)/'2. The asset'!$B$26)/(1+'2. The asset'!$B$29)^'2. The asset'!$B$34-'2. The asset'!$B$17</f>
        <v>0.0020123478025198</v>
      </c>
      <c r="G102" s="32" t="n">
        <f aca="false">IF(J101&gt;0,I101,G101)</f>
        <v>0.0212204542243853</v>
      </c>
      <c r="H102" s="32" t="n">
        <f aca="false">IF(J101&gt;0,H101,I101)</f>
        <v>0.021220454282593</v>
      </c>
      <c r="I102" s="32" t="n">
        <f aca="false">(G102+H102)/2</f>
        <v>0.0212204542534891</v>
      </c>
      <c r="J102" s="16" t="n">
        <f aca="false">SUMPRODUCT(($A$6:$A$15&lt;='2. The asset'!$B$34)*('2. The asset'!$B$14*(1+'2. The asset'!$B$30)^($A$6:$A$15-1)-'2. The asset'!$B$23*(1+I102)^($A$6:$A$15-1)-('2. The asset'!$B$24*'2. The asset'!$B$4*(1+I102)^($A$6:$A$15-1)+(MOD($A$6:$A$15+'2. The asset'!$B$27,'2. The asset'!$B$26)=0)*'2. The asset'!$B$25*'2. The asset'!$B$4*(1+I102)^($A$6:$A$15-1)))/(1+'2. The asset'!$B$29)^$A$6:$A$15)+((('2. The asset'!$B$14*(1+'2. The asset'!$B$30)^'2. The asset'!$B$34-'2. The asset'!$B$23*(1+I102)^'2. The asset'!$B$34)/'2. The asset'!$B$28)*(1-'2. The asset'!$B$33)-'2. The asset'!$B$25*'2. The asset'!$B$4*(1+I102)^'2. The asset'!$B$34*MOD('2. The asset'!$B$34+'2. The asset'!$B$27,'2. The asset'!$B$26)/'2. The asset'!$B$26)/(1+'2. The asset'!$B$29)^'2. The asset'!$B$34-'2. The asset'!$B$17</f>
        <v>0.0017287228256464</v>
      </c>
    </row>
    <row r="103" customFormat="false" ht="15" hidden="false" customHeight="false" outlineLevel="0" collapsed="false">
      <c r="A103" s="15" t="n">
        <v>34</v>
      </c>
      <c r="B103" s="32" t="n">
        <f aca="false">IF(E102&lt;0,D102,B102)</f>
        <v>0.0341900628339499</v>
      </c>
      <c r="C103" s="32" t="n">
        <f aca="false">IF(E102&lt;0,C102,D102)</f>
        <v>0.0341900628595613</v>
      </c>
      <c r="D103" s="32" t="n">
        <f aca="false">(B103+C103)/2</f>
        <v>0.0341900628467556</v>
      </c>
      <c r="E103" s="16" t="n">
        <f aca="false">SUMPRODUCT(($A$6:$A$15&lt;='2. The asset'!$B$34)*('2. The asset'!$B$14*(1+D103)^($A$6:$A$15-1)-'2. The asset'!$B$23*(1+'2. The asset'!$B$31)^($A$6:$A$15-1)-('2. The asset'!$B$24*'2. The asset'!$B$4*(1+'2. The asset'!$B$31)^($A$6:$A$15-1)+(MOD($A$6:$A$15+'2. The asset'!$B$27,'2. The asset'!$B$26)=0)*'2. The asset'!$B$25*'2. The asset'!$B$4*(1+'2. The asset'!$B$31)^($A$6:$A$15-1)))/(1+'2. The asset'!$B$29)^$A$6:$A$15)+((('2. The asset'!$B$14*(1+D103)^'2. The asset'!$B$34-'2. The asset'!$B$23*(1+'2. The asset'!$B$31)^'2. The asset'!$B$34)/'2. The asset'!$B$28)*(1-'2. The asset'!$B$33)-'2. The asset'!$B$25*'2. The asset'!$B$4*(1+'2. The asset'!$B$31)^'2. The asset'!$B$34*MOD('2. The asset'!$B$34+'2. The asset'!$B$27,'2. The asset'!$B$26)/'2. The asset'!$B$26)/(1+'2. The asset'!$B$29)^'2. The asset'!$B$34-'2. The asset'!$B$17</f>
        <v>0.000319775193929672</v>
      </c>
      <c r="G103" s="32" t="n">
        <f aca="false">IF(J102&gt;0,I102,G102)</f>
        <v>0.0212204542534891</v>
      </c>
      <c r="H103" s="32" t="n">
        <f aca="false">IF(J102&gt;0,H102,I102)</f>
        <v>0.021220454282593</v>
      </c>
      <c r="I103" s="32" t="n">
        <f aca="false">(G103+H103)/2</f>
        <v>0.0212204542680411</v>
      </c>
      <c r="J103" s="16" t="n">
        <f aca="false">SUMPRODUCT(($A$6:$A$15&lt;='2. The asset'!$B$34)*('2. The asset'!$B$14*(1+'2. The asset'!$B$30)^($A$6:$A$15-1)-'2. The asset'!$B$23*(1+I103)^($A$6:$A$15-1)-('2. The asset'!$B$24*'2. The asset'!$B$4*(1+I103)^($A$6:$A$15-1)+(MOD($A$6:$A$15+'2. The asset'!$B$27,'2. The asset'!$B$26)=0)*'2. The asset'!$B$25*'2. The asset'!$B$4*(1+I103)^($A$6:$A$15-1)))/(1+'2. The asset'!$B$29)^$A$6:$A$15)+((('2. The asset'!$B$14*(1+'2. The asset'!$B$30)^'2. The asset'!$B$34-'2. The asset'!$B$23*(1+I103)^'2. The asset'!$B$34)/'2. The asset'!$B$28)*(1-'2. The asset'!$B$33)-'2. The asset'!$B$25*'2. The asset'!$B$4*(1+I103)^'2. The asset'!$B$34*MOD('2. The asset'!$B$34+'2. The asset'!$B$27,'2. The asset'!$B$26)/'2. The asset'!$B$26)/(1+'2. The asset'!$B$29)^'2. The asset'!$B$34-'2. The asset'!$B$17</f>
        <v>0.000765679404139519</v>
      </c>
    </row>
    <row r="104" customFormat="false" ht="15" hidden="false" customHeight="false" outlineLevel="0" collapsed="false">
      <c r="A104" s="15" t="n">
        <v>35</v>
      </c>
      <c r="B104" s="32" t="n">
        <f aca="false">IF(E103&lt;0,D103,B103)</f>
        <v>0.0341900628339499</v>
      </c>
      <c r="C104" s="32" t="n">
        <f aca="false">IF(E103&lt;0,C103,D103)</f>
        <v>0.0341900628467556</v>
      </c>
      <c r="D104" s="32" t="n">
        <f aca="false">(B104+C104)/2</f>
        <v>0.0341900628403528</v>
      </c>
      <c r="E104" s="16" t="n">
        <f aca="false">SUMPRODUCT(($A$6:$A$15&lt;='2. The asset'!$B$34)*('2. The asset'!$B$14*(1+D104)^($A$6:$A$15-1)-'2. The asset'!$B$23*(1+'2. The asset'!$B$31)^($A$6:$A$15-1)-('2. The asset'!$B$24*'2. The asset'!$B$4*(1+'2. The asset'!$B$31)^($A$6:$A$15-1)+(MOD($A$6:$A$15+'2. The asset'!$B$27,'2. The asset'!$B$26)=0)*'2. The asset'!$B$25*'2. The asset'!$B$4*(1+'2. The asset'!$B$31)^($A$6:$A$15-1)))/(1+'2. The asset'!$B$29)^$A$6:$A$15)+((('2. The asset'!$B$14*(1+D104)^'2. The asset'!$B$34-'2. The asset'!$B$23*(1+'2. The asset'!$B$31)^'2. The asset'!$B$34)/'2. The asset'!$B$28)*(1-'2. The asset'!$B$33)-'2. The asset'!$B$25*'2. The asset'!$B$4*(1+'2. The asset'!$B$31)^'2. The asset'!$B$34*MOD('2. The asset'!$B$34+'2. The asset'!$B$27,'2. The asset'!$B$26)/'2. The asset'!$B$26)/(1+'2. The asset'!$B$29)^'2. The asset'!$B$34-'2. The asset'!$B$17</f>
        <v>-0.000526484102010727</v>
      </c>
      <c r="G104" s="32" t="n">
        <f aca="false">IF(J103&gt;0,I103,G103)</f>
        <v>0.0212204542680411</v>
      </c>
      <c r="H104" s="32" t="n">
        <f aca="false">IF(J103&gt;0,H103,I103)</f>
        <v>0.021220454282593</v>
      </c>
      <c r="I104" s="32" t="n">
        <f aca="false">(G104+H104)/2</f>
        <v>0.021220454275317</v>
      </c>
      <c r="J104" s="16" t="n">
        <f aca="false">SUMPRODUCT(($A$6:$A$15&lt;='2. The asset'!$B$34)*('2. The asset'!$B$14*(1+'2. The asset'!$B$30)^($A$6:$A$15-1)-'2. The asset'!$B$23*(1+I104)^($A$6:$A$15-1)-('2. The asset'!$B$24*'2. The asset'!$B$4*(1+I104)^($A$6:$A$15-1)+(MOD($A$6:$A$15+'2. The asset'!$B$27,'2. The asset'!$B$26)=0)*'2. The asset'!$B$25*'2. The asset'!$B$4*(1+I104)^($A$6:$A$15-1)))/(1+'2. The asset'!$B$29)^$A$6:$A$15)+((('2. The asset'!$B$14*(1+'2. The asset'!$B$30)^'2. The asset'!$B$34-'2. The asset'!$B$23*(1+I104)^'2. The asset'!$B$34)/'2. The asset'!$B$28)*(1-'2. The asset'!$B$33)-'2. The asset'!$B$25*'2. The asset'!$B$4*(1+I104)^'2. The asset'!$B$34*MOD('2. The asset'!$B$34+'2. The asset'!$B$27,'2. The asset'!$B$26)/'2. The asset'!$B$26)/(1+'2. The asset'!$B$29)^'2. The asset'!$B$34-'2. The asset'!$B$17</f>
        <v>0.000284155830740929</v>
      </c>
    </row>
    <row r="105" customFormat="false" ht="15" hidden="false" customHeight="false" outlineLevel="0" collapsed="false">
      <c r="A105" s="15" t="n">
        <v>36</v>
      </c>
      <c r="B105" s="32" t="n">
        <f aca="false">IF(E104&lt;0,D104,B104)</f>
        <v>0.0341900628403528</v>
      </c>
      <c r="C105" s="32" t="n">
        <f aca="false">IF(E104&lt;0,C104,D104)</f>
        <v>0.0341900628467556</v>
      </c>
      <c r="D105" s="32" t="n">
        <f aca="false">(B105+C105)/2</f>
        <v>0.0341900628435542</v>
      </c>
      <c r="E105" s="16" t="n">
        <f aca="false">SUMPRODUCT(($A$6:$A$15&lt;='2. The asset'!$B$34)*('2. The asset'!$B$14*(1+D105)^($A$6:$A$15-1)-'2. The asset'!$B$23*(1+'2. The asset'!$B$31)^($A$6:$A$15-1)-('2. The asset'!$B$24*'2. The asset'!$B$4*(1+'2. The asset'!$B$31)^($A$6:$A$15-1)+(MOD($A$6:$A$15+'2. The asset'!$B$27,'2. The asset'!$B$26)=0)*'2. The asset'!$B$25*'2. The asset'!$B$4*(1+'2. The asset'!$B$31)^($A$6:$A$15-1)))/(1+'2. The asset'!$B$29)^$A$6:$A$15)+((('2. The asset'!$B$14*(1+D105)^'2. The asset'!$B$34-'2. The asset'!$B$23*(1+'2. The asset'!$B$31)^'2. The asset'!$B$34)/'2. The asset'!$B$28)*(1-'2. The asset'!$B$33)-'2. The asset'!$B$25*'2. The asset'!$B$4*(1+'2. The asset'!$B$31)^'2. The asset'!$B$34*MOD('2. The asset'!$B$34+'2. The asset'!$B$27,'2. The asset'!$B$26)/'2. The asset'!$B$26)/(1+'2. The asset'!$B$29)^'2. The asset'!$B$34-'2. The asset'!$B$17</f>
        <v>-0.00010337121784687</v>
      </c>
      <c r="G105" s="32" t="n">
        <f aca="false">IF(J104&gt;0,I104,G104)</f>
        <v>0.021220454275317</v>
      </c>
      <c r="H105" s="32" t="n">
        <f aca="false">IF(J104&gt;0,H104,I104)</f>
        <v>0.021220454282593</v>
      </c>
      <c r="I105" s="32" t="n">
        <f aca="false">(G105+H105)/2</f>
        <v>0.021220454278955</v>
      </c>
      <c r="J105" s="16" t="n">
        <f aca="false">SUMPRODUCT(($A$6:$A$15&lt;='2. The asset'!$B$34)*('2. The asset'!$B$14*(1+'2. The asset'!$B$30)^($A$6:$A$15-1)-'2. The asset'!$B$23*(1+I105)^($A$6:$A$15-1)-('2. The asset'!$B$24*'2. The asset'!$B$4*(1+I105)^($A$6:$A$15-1)+(MOD($A$6:$A$15+'2. The asset'!$B$27,'2. The asset'!$B$26)=0)*'2. The asset'!$B$25*'2. The asset'!$B$4*(1+I105)^($A$6:$A$15-1)))/(1+'2. The asset'!$B$29)^$A$6:$A$15)+((('2. The asset'!$B$14*(1+'2. The asset'!$B$30)^'2. The asset'!$B$34-'2. The asset'!$B$23*(1+I105)^'2. The asset'!$B$34)/'2. The asset'!$B$28)*(1-'2. The asset'!$B$33)-'2. The asset'!$B$25*'2. The asset'!$B$4*(1+I105)^'2. The asset'!$B$34*MOD('2. The asset'!$B$34+'2. The asset'!$B$27,'2. The asset'!$B$26)/'2. The asset'!$B$26)/(1+'2. The asset'!$B$29)^'2. The asset'!$B$34-'2. The asset'!$B$17</f>
        <v>4.33959066867828E-005</v>
      </c>
    </row>
    <row r="106" customFormat="false" ht="15" hidden="false" customHeight="false" outlineLevel="0" collapsed="false">
      <c r="A106" s="15" t="n">
        <v>37</v>
      </c>
      <c r="B106" s="32" t="n">
        <f aca="false">IF(E105&lt;0,D105,B105)</f>
        <v>0.0341900628435542</v>
      </c>
      <c r="C106" s="32" t="n">
        <f aca="false">IF(E105&lt;0,C105,D105)</f>
        <v>0.0341900628467556</v>
      </c>
      <c r="D106" s="32" t="n">
        <f aca="false">(B106+C106)/2</f>
        <v>0.0341900628451549</v>
      </c>
      <c r="E106" s="16" t="n">
        <f aca="false">SUMPRODUCT(($A$6:$A$15&lt;='2. The asset'!$B$34)*('2. The asset'!$B$14*(1+D106)^($A$6:$A$15-1)-'2. The asset'!$B$23*(1+'2. The asset'!$B$31)^($A$6:$A$15-1)-('2. The asset'!$B$24*'2. The asset'!$B$4*(1+'2. The asset'!$B$31)^($A$6:$A$15-1)+(MOD($A$6:$A$15+'2. The asset'!$B$27,'2. The asset'!$B$26)=0)*'2. The asset'!$B$25*'2. The asset'!$B$4*(1+'2. The asset'!$B$31)^($A$6:$A$15-1)))/(1+'2. The asset'!$B$29)^$A$6:$A$15)+((('2. The asset'!$B$14*(1+D106)^'2. The asset'!$B$34-'2. The asset'!$B$23*(1+'2. The asset'!$B$31)^'2. The asset'!$B$34)/'2. The asset'!$B$28)*(1-'2. The asset'!$B$33)-'2. The asset'!$B$25*'2. The asset'!$B$4*(1+'2. The asset'!$B$31)^'2. The asset'!$B$34*MOD('2. The asset'!$B$34+'2. The asset'!$B$27,'2. The asset'!$B$26)/'2. The asset'!$B$26)/(1+'2. The asset'!$B$29)^'2. The asset'!$B$34-'2. The asset'!$B$17</f>
        <v>0.000108202919363976</v>
      </c>
      <c r="G106" s="32" t="n">
        <f aca="false">IF(J105&gt;0,I105,G105)</f>
        <v>0.021220454278955</v>
      </c>
      <c r="H106" s="32" t="n">
        <f aca="false">IF(J105&gt;0,H105,I105)</f>
        <v>0.021220454282593</v>
      </c>
      <c r="I106" s="32" t="n">
        <f aca="false">(G106+H106)/2</f>
        <v>0.021220454280774</v>
      </c>
      <c r="J106" s="16" t="n">
        <f aca="false">SUMPRODUCT(($A$6:$A$15&lt;='2. The asset'!$B$34)*('2. The asset'!$B$14*(1+'2. The asset'!$B$30)^($A$6:$A$15-1)-'2. The asset'!$B$23*(1+I106)^($A$6:$A$15-1)-('2. The asset'!$B$24*'2. The asset'!$B$4*(1+I106)^($A$6:$A$15-1)+(MOD($A$6:$A$15+'2. The asset'!$B$27,'2. The asset'!$B$26)=0)*'2. The asset'!$B$25*'2. The asset'!$B$4*(1+I106)^($A$6:$A$15-1)))/(1+'2. The asset'!$B$29)^$A$6:$A$15)+((('2. The asset'!$B$14*(1+'2. The asset'!$B$30)^'2. The asset'!$B$34-'2. The asset'!$B$23*(1+I106)^'2. The asset'!$B$34)/'2. The asset'!$B$28)*(1-'2. The asset'!$B$33)-'2. The asset'!$B$25*'2. The asset'!$B$4*(1+I106)^'2. The asset'!$B$34*MOD('2. The asset'!$B$34+'2. The asset'!$B$27,'2. The asset'!$B$26)/'2. The asset'!$B$26)/(1+'2. The asset'!$B$29)^'2. The asset'!$B$34-'2. The asset'!$B$17</f>
        <v>-7.69849866628647E-005</v>
      </c>
    </row>
    <row r="107" customFormat="false" ht="15" hidden="false" customHeight="false" outlineLevel="0" collapsed="false">
      <c r="A107" s="15" t="n">
        <v>38</v>
      </c>
      <c r="B107" s="32" t="n">
        <f aca="false">IF(E106&lt;0,D106,B106)</f>
        <v>0.0341900628435542</v>
      </c>
      <c r="C107" s="32" t="n">
        <f aca="false">IF(E106&lt;0,C106,D106)</f>
        <v>0.0341900628451549</v>
      </c>
      <c r="D107" s="32" t="n">
        <f aca="false">(B107+C107)/2</f>
        <v>0.0341900628443546</v>
      </c>
      <c r="E107" s="16" t="n">
        <f aca="false">SUMPRODUCT(($A$6:$A$15&lt;='2. The asset'!$B$34)*('2. The asset'!$B$14*(1+D107)^($A$6:$A$15-1)-'2. The asset'!$B$23*(1+'2. The asset'!$B$31)^($A$6:$A$15-1)-('2. The asset'!$B$24*'2. The asset'!$B$4*(1+'2. The asset'!$B$31)^($A$6:$A$15-1)+(MOD($A$6:$A$15+'2. The asset'!$B$27,'2. The asset'!$B$26)=0)*'2. The asset'!$B$25*'2. The asset'!$B$4*(1+'2. The asset'!$B$31)^($A$6:$A$15-1)))/(1+'2. The asset'!$B$29)^$A$6:$A$15)+((('2. The asset'!$B$14*(1+D107)^'2. The asset'!$B$34-'2. The asset'!$B$23*(1+'2. The asset'!$B$31)^'2. The asset'!$B$34)/'2. The asset'!$B$28)*(1-'2. The asset'!$B$33)-'2. The asset'!$B$25*'2. The asset'!$B$4*(1+'2. The asset'!$B$31)^'2. The asset'!$B$34*MOD('2. The asset'!$B$34+'2. The asset'!$B$27,'2. The asset'!$B$26)/'2. The asset'!$B$26)/(1+'2. The asset'!$B$29)^'2. The asset'!$B$34-'2. The asset'!$B$17</f>
        <v>2.43261456489563E-006</v>
      </c>
      <c r="G107" s="32" t="n">
        <f aca="false">IF(J106&gt;0,I106,G106)</f>
        <v>0.021220454278955</v>
      </c>
      <c r="H107" s="32" t="n">
        <f aca="false">IF(J106&gt;0,H106,I106)</f>
        <v>0.021220454280774</v>
      </c>
      <c r="I107" s="32" t="n">
        <f aca="false">(G107+H107)/2</f>
        <v>0.0212204542798645</v>
      </c>
      <c r="J107" s="16" t="n">
        <f aca="false">SUMPRODUCT(($A$6:$A$15&lt;='2. The asset'!$B$34)*('2. The asset'!$B$14*(1+'2. The asset'!$B$30)^($A$6:$A$15-1)-'2. The asset'!$B$23*(1+I107)^($A$6:$A$15-1)-('2. The asset'!$B$24*'2. The asset'!$B$4*(1+I107)^($A$6:$A$15-1)+(MOD($A$6:$A$15+'2. The asset'!$B$27,'2. The asset'!$B$26)=0)*'2. The asset'!$B$25*'2. The asset'!$B$4*(1+I107)^($A$6:$A$15-1)))/(1+'2. The asset'!$B$29)^$A$6:$A$15)+((('2. The asset'!$B$14*(1+'2. The asset'!$B$30)^'2. The asset'!$B$34-'2. The asset'!$B$23*(1+I107)^'2. The asset'!$B$34)/'2. The asset'!$B$28)*(1-'2. The asset'!$B$33)-'2. The asset'!$B$25*'2. The asset'!$B$4*(1+I107)^'2. The asset'!$B$34*MOD('2. The asset'!$B$34+'2. The asset'!$B$27,'2. The asset'!$B$26)/'2. The asset'!$B$26)/(1+'2. The asset'!$B$29)^'2. The asset'!$B$34-'2. The asset'!$B$17</f>
        <v>-1.67936086654663E-005</v>
      </c>
    </row>
    <row r="108" customFormat="false" ht="15" hidden="false" customHeight="false" outlineLevel="0" collapsed="false">
      <c r="A108" s="15" t="n">
        <v>39</v>
      </c>
      <c r="B108" s="32" t="n">
        <f aca="false">IF(E107&lt;0,D107,B107)</f>
        <v>0.0341900628435542</v>
      </c>
      <c r="C108" s="32" t="n">
        <f aca="false">IF(E107&lt;0,C107,D107)</f>
        <v>0.0341900628443546</v>
      </c>
      <c r="D108" s="32" t="n">
        <f aca="false">(B108+C108)/2</f>
        <v>0.0341900628439544</v>
      </c>
      <c r="E108" s="16" t="n">
        <f aca="false">SUMPRODUCT(($A$6:$A$15&lt;='2. The asset'!$B$34)*('2. The asset'!$B$14*(1+D108)^($A$6:$A$15-1)-'2. The asset'!$B$23*(1+'2. The asset'!$B$31)^($A$6:$A$15-1)-('2. The asset'!$B$24*'2. The asset'!$B$4*(1+'2. The asset'!$B$31)^($A$6:$A$15-1)+(MOD($A$6:$A$15+'2. The asset'!$B$27,'2. The asset'!$B$26)=0)*'2. The asset'!$B$25*'2. The asset'!$B$4*(1+'2. The asset'!$B$31)^($A$6:$A$15-1)))/(1+'2. The asset'!$B$29)^$A$6:$A$15)+((('2. The asset'!$B$14*(1+D108)^'2. The asset'!$B$34-'2. The asset'!$B$23*(1+'2. The asset'!$B$31)^'2. The asset'!$B$34)/'2. The asset'!$B$28)*(1-'2. The asset'!$B$33)-'2. The asset'!$B$25*'2. The asset'!$B$4*(1+'2. The asset'!$B$31)^'2. The asset'!$B$34*MOD('2. The asset'!$B$34+'2. The asset'!$B$27,'2. The asset'!$B$26)/'2. The asset'!$B$26)/(1+'2. The asset'!$B$29)^'2. The asset'!$B$34-'2. The asset'!$B$17</f>
        <v>-5.04534691572189E-005</v>
      </c>
      <c r="G108" s="32" t="n">
        <f aca="false">IF(J107&gt;0,I107,G107)</f>
        <v>0.021220454278955</v>
      </c>
      <c r="H108" s="32" t="n">
        <f aca="false">IF(J107&gt;0,H107,I107)</f>
        <v>0.0212204542798645</v>
      </c>
      <c r="I108" s="32" t="n">
        <f aca="false">(G108+H108)/2</f>
        <v>0.0212204542794097</v>
      </c>
      <c r="J108" s="16" t="n">
        <f aca="false">SUMPRODUCT(($A$6:$A$15&lt;='2. The asset'!$B$34)*('2. The asset'!$B$14*(1+'2. The asset'!$B$30)^($A$6:$A$15-1)-'2. The asset'!$B$23*(1+I108)^($A$6:$A$15-1)-('2. The asset'!$B$24*'2. The asset'!$B$4*(1+I108)^($A$6:$A$15-1)+(MOD($A$6:$A$15+'2. The asset'!$B$27,'2. The asset'!$B$26)=0)*'2. The asset'!$B$25*'2. The asset'!$B$4*(1+I108)^($A$6:$A$15-1)))/(1+'2. The asset'!$B$29)^$A$6:$A$15)+((('2. The asset'!$B$14*(1+'2. The asset'!$B$30)^'2. The asset'!$B$34-'2. The asset'!$B$23*(1+I108)^'2. The asset'!$B$34)/'2. The asset'!$B$28)*(1-'2. The asset'!$B$33)-'2. The asset'!$B$25*'2. The asset'!$B$4*(1+I108)^'2. The asset'!$B$34*MOD('2. The asset'!$B$34+'2. The asset'!$B$27,'2. The asset'!$B$26)/'2. The asset'!$B$26)/(1+'2. The asset'!$B$29)^'2. The asset'!$B$34-'2. The asset'!$B$17</f>
        <v>1.33011490106583E-005</v>
      </c>
    </row>
    <row r="109" customFormat="false" ht="15" hidden="false" customHeight="false" outlineLevel="0" collapsed="false">
      <c r="A109" s="15" t="n">
        <v>40</v>
      </c>
      <c r="B109" s="32" t="n">
        <f aca="false">IF(E108&lt;0,D108,B108)</f>
        <v>0.0341900628439544</v>
      </c>
      <c r="C109" s="32" t="n">
        <f aca="false">IF(E108&lt;0,C108,D108)</f>
        <v>0.0341900628443546</v>
      </c>
      <c r="D109" s="32" t="n">
        <f aca="false">(B109+C109)/2</f>
        <v>0.0341900628441545</v>
      </c>
      <c r="E109" s="16" t="n">
        <f aca="false">SUMPRODUCT(($A$6:$A$15&lt;='2. The asset'!$B$34)*('2. The asset'!$B$14*(1+D109)^($A$6:$A$15-1)-'2. The asset'!$B$23*(1+'2. The asset'!$B$31)^($A$6:$A$15-1)-('2. The asset'!$B$24*'2. The asset'!$B$4*(1+'2. The asset'!$B$31)^($A$6:$A$15-1)+(MOD($A$6:$A$15+'2. The asset'!$B$27,'2. The asset'!$B$26)=0)*'2. The asset'!$B$25*'2. The asset'!$B$4*(1+'2. The asset'!$B$31)^($A$6:$A$15-1)))/(1+'2. The asset'!$B$29)^$A$6:$A$15)+((('2. The asset'!$B$14*(1+D109)^'2. The asset'!$B$34-'2. The asset'!$B$23*(1+'2. The asset'!$B$31)^'2. The asset'!$B$34)/'2. The asset'!$B$28)*(1-'2. The asset'!$B$33)-'2. The asset'!$B$25*'2. The asset'!$B$4*(1+'2. The asset'!$B$31)^'2. The asset'!$B$34*MOD('2. The asset'!$B$34+'2. The asset'!$B$27,'2. The asset'!$B$26)/'2. The asset'!$B$26)/(1+'2. The asset'!$B$29)^'2. The asset'!$B$34-'2. The asset'!$B$17</f>
        <v>-2.40132212638855E-005</v>
      </c>
      <c r="G109" s="32" t="n">
        <f aca="false">IF(J108&gt;0,I108,G108)</f>
        <v>0.0212204542794097</v>
      </c>
      <c r="H109" s="32" t="n">
        <f aca="false">IF(J108&gt;0,H108,I108)</f>
        <v>0.0212204542798645</v>
      </c>
      <c r="I109" s="32" t="n">
        <f aca="false">(G109+H109)/2</f>
        <v>0.0212204542796371</v>
      </c>
      <c r="J109" s="16" t="n">
        <f aca="false">SUMPRODUCT(($A$6:$A$15&lt;='2. The asset'!$B$34)*('2. The asset'!$B$14*(1+'2. The asset'!$B$30)^($A$6:$A$15-1)-'2. The asset'!$B$23*(1+I109)^($A$6:$A$15-1)-('2. The asset'!$B$24*'2. The asset'!$B$4*(1+I109)^($A$6:$A$15-1)+(MOD($A$6:$A$15+'2. The asset'!$B$27,'2. The asset'!$B$26)=0)*'2. The asset'!$B$25*'2. The asset'!$B$4*(1+I109)^($A$6:$A$15-1)))/(1+'2. The asset'!$B$29)^$A$6:$A$15)+((('2. The asset'!$B$14*(1+'2. The asset'!$B$30)^'2. The asset'!$B$34-'2. The asset'!$B$23*(1+I109)^'2. The asset'!$B$34)/'2. The asset'!$B$28)*(1-'2. The asset'!$B$33)-'2. The asset'!$B$25*'2. The asset'!$B$4*(1+I109)^'2. The asset'!$B$34*MOD('2. The asset'!$B$34+'2. The asset'!$B$27,'2. The asset'!$B$26)/'2. The asset'!$B$26)/(1+'2. The asset'!$B$29)^'2. The asset'!$B$34-'2. The asset'!$B$17</f>
        <v>-1.74716114997864E-006</v>
      </c>
    </row>
    <row r="110" customFormat="false" ht="15" hidden="false" customHeight="false" outlineLevel="0" collapsed="false">
      <c r="A110" s="15" t="n">
        <v>41</v>
      </c>
      <c r="B110" s="32" t="n">
        <f aca="false">IF(E109&lt;0,D109,B109)</f>
        <v>0.0341900628441545</v>
      </c>
      <c r="C110" s="32" t="n">
        <f aca="false">IF(E109&lt;0,C109,D109)</f>
        <v>0.0341900628443546</v>
      </c>
      <c r="D110" s="32" t="n">
        <f aca="false">(B110+C110)/2</f>
        <v>0.0341900628442545</v>
      </c>
      <c r="E110" s="16" t="n">
        <f aca="false">SUMPRODUCT(($A$6:$A$15&lt;='2. The asset'!$B$34)*('2. The asset'!$B$14*(1+D110)^($A$6:$A$15-1)-'2. The asset'!$B$23*(1+'2. The asset'!$B$31)^($A$6:$A$15-1)-('2. The asset'!$B$24*'2. The asset'!$B$4*(1+'2. The asset'!$B$31)^($A$6:$A$15-1)+(MOD($A$6:$A$15+'2. The asset'!$B$27,'2. The asset'!$B$26)=0)*'2. The asset'!$B$25*'2. The asset'!$B$4*(1+'2. The asset'!$B$31)^($A$6:$A$15-1)))/(1+'2. The asset'!$B$29)^$A$6:$A$15)+((('2. The asset'!$B$14*(1+D110)^'2. The asset'!$B$34-'2. The asset'!$B$23*(1+'2. The asset'!$B$31)^'2. The asset'!$B$34)/'2. The asset'!$B$28)*(1-'2. The asset'!$B$33)-'2. The asset'!$B$25*'2. The asset'!$B$4*(1+'2. The asset'!$B$31)^'2. The asset'!$B$34*MOD('2. The asset'!$B$34+'2. The asset'!$B$27,'2. The asset'!$B$26)/'2. The asset'!$B$26)/(1+'2. The asset'!$B$29)^'2. The asset'!$B$34-'2. The asset'!$B$17</f>
        <v>-1.0807067155838E-005</v>
      </c>
      <c r="G110" s="32" t="n">
        <f aca="false">IF(J109&gt;0,I109,G109)</f>
        <v>0.0212204542794097</v>
      </c>
      <c r="H110" s="32" t="n">
        <f aca="false">IF(J109&gt;0,H109,I109)</f>
        <v>0.0212204542796371</v>
      </c>
      <c r="I110" s="32" t="n">
        <f aca="false">(G110+H110)/2</f>
        <v>0.0212204542795234</v>
      </c>
      <c r="J110" s="16" t="n">
        <f aca="false">SUMPRODUCT(($A$6:$A$15&lt;='2. The asset'!$B$34)*('2. The asset'!$B$14*(1+'2. The asset'!$B$30)^($A$6:$A$15-1)-'2. The asset'!$B$23*(1+I110)^($A$6:$A$15-1)-('2. The asset'!$B$24*'2. The asset'!$B$4*(1+I110)^($A$6:$A$15-1)+(MOD($A$6:$A$15+'2. The asset'!$B$27,'2. The asset'!$B$26)=0)*'2. The asset'!$B$25*'2. The asset'!$B$4*(1+I110)^($A$6:$A$15-1)))/(1+'2. The asset'!$B$29)^$A$6:$A$15)+((('2. The asset'!$B$14*(1+'2. The asset'!$B$30)^'2. The asset'!$B$34-'2. The asset'!$B$23*(1+I110)^'2. The asset'!$B$34)/'2. The asset'!$B$28)*(1-'2. The asset'!$B$33)-'2. The asset'!$B$25*'2. The asset'!$B$4*(1+I110)^'2. The asset'!$B$34*MOD('2. The asset'!$B$34+'2. The asset'!$B$27,'2. The asset'!$B$26)/'2. The asset'!$B$26)/(1+'2. The asset'!$B$29)^'2. The asset'!$B$34-'2. The asset'!$B$17</f>
        <v>5.7760626077652E-006</v>
      </c>
    </row>
    <row r="111" customFormat="false" ht="15" hidden="false" customHeight="false" outlineLevel="0" collapsed="false">
      <c r="A111" s="15" t="n">
        <v>42</v>
      </c>
      <c r="B111" s="32" t="n">
        <f aca="false">IF(E110&lt;0,D110,B110)</f>
        <v>0.0341900628442545</v>
      </c>
      <c r="C111" s="32" t="n">
        <f aca="false">IF(E110&lt;0,C110,D110)</f>
        <v>0.0341900628443546</v>
      </c>
      <c r="D111" s="32" t="n">
        <f aca="false">(B111+C111)/2</f>
        <v>0.0341900628443045</v>
      </c>
      <c r="E111" s="16" t="n">
        <f aca="false">SUMPRODUCT(($A$6:$A$15&lt;='2. The asset'!$B$34)*('2. The asset'!$B$14*(1+D111)^($A$6:$A$15-1)-'2. The asset'!$B$23*(1+'2. The asset'!$B$31)^($A$6:$A$15-1)-('2. The asset'!$B$24*'2. The asset'!$B$4*(1+'2. The asset'!$B$31)^($A$6:$A$15-1)+(MOD($A$6:$A$15+'2. The asset'!$B$27,'2. The asset'!$B$26)=0)*'2. The asset'!$B$25*'2. The asset'!$B$4*(1+'2. The asset'!$B$31)^($A$6:$A$15-1)))/(1+'2. The asset'!$B$29)^$A$6:$A$15)+((('2. The asset'!$B$14*(1+D111)^'2. The asset'!$B$34-'2. The asset'!$B$23*(1+'2. The asset'!$B$31)^'2. The asset'!$B$34)/'2. The asset'!$B$28)*(1-'2. The asset'!$B$33)-'2. The asset'!$B$25*'2. The asset'!$B$4*(1+'2. The asset'!$B$31)^'2. The asset'!$B$34*MOD('2. The asset'!$B$34+'2. The asset'!$B$27,'2. The asset'!$B$26)/'2. The asset'!$B$26)/(1+'2. The asset'!$B$29)^'2. The asset'!$B$34-'2. The asset'!$B$17</f>
        <v>-4.17232513427734E-006</v>
      </c>
      <c r="G111" s="32" t="n">
        <f aca="false">IF(J110&gt;0,I110,G110)</f>
        <v>0.0212204542795234</v>
      </c>
      <c r="H111" s="32" t="n">
        <f aca="false">IF(J110&gt;0,H110,I110)</f>
        <v>0.0212204542796371</v>
      </c>
      <c r="I111" s="32" t="n">
        <f aca="false">(G111+H111)/2</f>
        <v>0.0212204542795803</v>
      </c>
      <c r="J111" s="16" t="n">
        <f aca="false">SUMPRODUCT(($A$6:$A$15&lt;='2. The asset'!$B$34)*('2. The asset'!$B$14*(1+'2. The asset'!$B$30)^($A$6:$A$15-1)-'2. The asset'!$B$23*(1+I111)^($A$6:$A$15-1)-('2. The asset'!$B$24*'2. The asset'!$B$4*(1+I111)^($A$6:$A$15-1)+(MOD($A$6:$A$15+'2. The asset'!$B$27,'2. The asset'!$B$26)=0)*'2. The asset'!$B$25*'2. The asset'!$B$4*(1+I111)^($A$6:$A$15-1)))/(1+'2. The asset'!$B$29)^$A$6:$A$15)+((('2. The asset'!$B$14*(1+'2. The asset'!$B$30)^'2. The asset'!$B$34-'2. The asset'!$B$23*(1+I111)^'2. The asset'!$B$34)/'2. The asset'!$B$28)*(1-'2. The asset'!$B$33)-'2. The asset'!$B$25*'2. The asset'!$B$4*(1+I111)^'2. The asset'!$B$34*MOD('2. The asset'!$B$34+'2. The asset'!$B$27,'2. The asset'!$B$26)/'2. The asset'!$B$26)/(1+'2. The asset'!$B$29)^'2. The asset'!$B$34-'2. The asset'!$B$17</f>
        <v>2.0153820514679E-006</v>
      </c>
    </row>
    <row r="112" customFormat="false" ht="15" hidden="false" customHeight="false" outlineLevel="0" collapsed="false">
      <c r="A112" s="15" t="n">
        <v>43</v>
      </c>
      <c r="B112" s="32" t="n">
        <f aca="false">IF(E111&lt;0,D111,B111)</f>
        <v>0.0341900628443045</v>
      </c>
      <c r="C112" s="32" t="n">
        <f aca="false">IF(E111&lt;0,C111,D111)</f>
        <v>0.0341900628443546</v>
      </c>
      <c r="D112" s="32" t="n">
        <f aca="false">(B112+C112)/2</f>
        <v>0.0341900628443295</v>
      </c>
      <c r="E112" s="16" t="n">
        <f aca="false">SUMPRODUCT(($A$6:$A$15&lt;='2. The asset'!$B$34)*('2. The asset'!$B$14*(1+D112)^($A$6:$A$15-1)-'2. The asset'!$B$23*(1+'2. The asset'!$B$31)^($A$6:$A$15-1)-('2. The asset'!$B$24*'2. The asset'!$B$4*(1+'2. The asset'!$B$31)^($A$6:$A$15-1)+(MOD($A$6:$A$15+'2. The asset'!$B$27,'2. The asset'!$B$26)=0)*'2. The asset'!$B$25*'2. The asset'!$B$4*(1+'2. The asset'!$B$31)^($A$6:$A$15-1)))/(1+'2. The asset'!$B$29)^$A$6:$A$15)+((('2. The asset'!$B$14*(1+D112)^'2. The asset'!$B$34-'2. The asset'!$B$23*(1+'2. The asset'!$B$31)^'2. The asset'!$B$34)/'2. The asset'!$B$28)*(1-'2. The asset'!$B$33)-'2. The asset'!$B$25*'2. The asset'!$B$4*(1+'2. The asset'!$B$31)^'2. The asset'!$B$34*MOD('2. The asset'!$B$34+'2. The asset'!$B$27,'2. The asset'!$B$26)/'2. The asset'!$B$26)/(1+'2. The asset'!$B$29)^'2. The asset'!$B$34-'2. The asset'!$B$17</f>
        <v>-8.84756445884705E-007</v>
      </c>
      <c r="G112" s="32" t="n">
        <f aca="false">IF(J111&gt;0,I111,G111)</f>
        <v>0.0212204542795803</v>
      </c>
      <c r="H112" s="32" t="n">
        <f aca="false">IF(J111&gt;0,H111,I111)</f>
        <v>0.0212204542796371</v>
      </c>
      <c r="I112" s="32" t="n">
        <f aca="false">(G112+H112)/2</f>
        <v>0.0212204542796087</v>
      </c>
      <c r="J112" s="16" t="n">
        <f aca="false">SUMPRODUCT(($A$6:$A$15&lt;='2. The asset'!$B$34)*('2. The asset'!$B$14*(1+'2. The asset'!$B$30)^($A$6:$A$15-1)-'2. The asset'!$B$23*(1+I112)^($A$6:$A$15-1)-('2. The asset'!$B$24*'2. The asset'!$B$4*(1+I112)^($A$6:$A$15-1)+(MOD($A$6:$A$15+'2. The asset'!$B$27,'2. The asset'!$B$26)=0)*'2. The asset'!$B$25*'2. The asset'!$B$4*(1+I112)^($A$6:$A$15-1)))/(1+'2. The asset'!$B$29)^$A$6:$A$15)+((('2. The asset'!$B$14*(1+'2. The asset'!$B$30)^'2. The asset'!$B$34-'2. The asset'!$B$23*(1+I112)^'2. The asset'!$B$34)/'2. The asset'!$B$28)*(1-'2. The asset'!$B$33)-'2. The asset'!$B$25*'2. The asset'!$B$4*(1+I112)^'2. The asset'!$B$34*MOD('2. The asset'!$B$34+'2. The asset'!$B$27,'2. The asset'!$B$26)/'2. The asset'!$B$26)/(1+'2. The asset'!$B$29)^'2. The asset'!$B$34-'2. The asset'!$B$17</f>
        <v>1.34110450744629E-007</v>
      </c>
    </row>
    <row r="113" customFormat="false" ht="15" hidden="false" customHeight="false" outlineLevel="0" collapsed="false">
      <c r="A113" s="15" t="n">
        <v>44</v>
      </c>
      <c r="B113" s="32" t="n">
        <f aca="false">IF(E112&lt;0,D112,B112)</f>
        <v>0.0341900628443295</v>
      </c>
      <c r="C113" s="32" t="n">
        <f aca="false">IF(E112&lt;0,C112,D112)</f>
        <v>0.0341900628443546</v>
      </c>
      <c r="D113" s="32" t="n">
        <f aca="false">(B113+C113)/2</f>
        <v>0.0341900628443421</v>
      </c>
      <c r="E113" s="16" t="n">
        <f aca="false">SUMPRODUCT(($A$6:$A$15&lt;='2. The asset'!$B$34)*('2. The asset'!$B$14*(1+D113)^($A$6:$A$15-1)-'2. The asset'!$B$23*(1+'2. The asset'!$B$31)^($A$6:$A$15-1)-('2. The asset'!$B$24*'2. The asset'!$B$4*(1+'2. The asset'!$B$31)^($A$6:$A$15-1)+(MOD($A$6:$A$15+'2. The asset'!$B$27,'2. The asset'!$B$26)=0)*'2. The asset'!$B$25*'2. The asset'!$B$4*(1+'2. The asset'!$B$31)^($A$6:$A$15-1)))/(1+'2. The asset'!$B$29)^$A$6:$A$15)+((('2. The asset'!$B$14*(1+D113)^'2. The asset'!$B$34-'2. The asset'!$B$23*(1+'2. The asset'!$B$31)^'2. The asset'!$B$34)/'2. The asset'!$B$28)*(1-'2. The asset'!$B$33)-'2. The asset'!$B$25*'2. The asset'!$B$4*(1+'2. The asset'!$B$31)^'2. The asset'!$B$34*MOD('2. The asset'!$B$34+'2. The asset'!$B$27,'2. The asset'!$B$26)/'2. The asset'!$B$26)/(1+'2. The asset'!$B$29)^'2. The asset'!$B$34-'2. The asset'!$B$17</f>
        <v>7.87898898124695E-007</v>
      </c>
      <c r="G113" s="32" t="n">
        <f aca="false">IF(J112&gt;0,I112,G112)</f>
        <v>0.0212204542796087</v>
      </c>
      <c r="H113" s="32" t="n">
        <f aca="false">IF(J112&gt;0,H112,I112)</f>
        <v>0.0212204542796371</v>
      </c>
      <c r="I113" s="32" t="n">
        <f aca="false">(G113+H113)/2</f>
        <v>0.0212204542796229</v>
      </c>
      <c r="J113" s="16" t="n">
        <f aca="false">SUMPRODUCT(($A$6:$A$15&lt;='2. The asset'!$B$34)*('2. The asset'!$B$14*(1+'2. The asset'!$B$30)^($A$6:$A$15-1)-'2. The asset'!$B$23*(1+I113)^($A$6:$A$15-1)-('2. The asset'!$B$24*'2. The asset'!$B$4*(1+I113)^($A$6:$A$15-1)+(MOD($A$6:$A$15+'2. The asset'!$B$27,'2. The asset'!$B$26)=0)*'2. The asset'!$B$25*'2. The asset'!$B$4*(1+I113)^($A$6:$A$15-1)))/(1+'2. The asset'!$B$29)^$A$6:$A$15)+((('2. The asset'!$B$14*(1+'2. The asset'!$B$30)^'2. The asset'!$B$34-'2. The asset'!$B$23*(1+I113)^'2. The asset'!$B$34)/'2. The asset'!$B$28)*(1-'2. The asset'!$B$33)-'2. The asset'!$B$25*'2. The asset'!$B$4*(1+I113)^'2. The asset'!$B$34*MOD('2. The asset'!$B$34+'2. The asset'!$B$27,'2. The asset'!$B$26)/'2. The asset'!$B$26)/(1+'2. The asset'!$B$29)^'2. The asset'!$B$34-'2. The asset'!$B$17</f>
        <v>-8.06525349617004E-007</v>
      </c>
    </row>
    <row r="114" customFormat="false" ht="15" hidden="false" customHeight="false" outlineLevel="0" collapsed="false">
      <c r="A114" s="15" t="n">
        <v>45</v>
      </c>
      <c r="B114" s="32" t="n">
        <f aca="false">IF(E113&lt;0,D113,B113)</f>
        <v>0.0341900628443295</v>
      </c>
      <c r="C114" s="32" t="n">
        <f aca="false">IF(E113&lt;0,C113,D113)</f>
        <v>0.0341900628443421</v>
      </c>
      <c r="D114" s="32" t="n">
        <f aca="false">(B114+C114)/2</f>
        <v>0.0341900628443358</v>
      </c>
      <c r="E114" s="16" t="n">
        <f aca="false">SUMPRODUCT(($A$6:$A$15&lt;='2. The asset'!$B$34)*('2. The asset'!$B$14*(1+D114)^($A$6:$A$15-1)-'2. The asset'!$B$23*(1+'2. The asset'!$B$31)^($A$6:$A$15-1)-('2. The asset'!$B$24*'2. The asset'!$B$4*(1+'2. The asset'!$B$31)^($A$6:$A$15-1)+(MOD($A$6:$A$15+'2. The asset'!$B$27,'2. The asset'!$B$26)=0)*'2. The asset'!$B$25*'2. The asset'!$B$4*(1+'2. The asset'!$B$31)^($A$6:$A$15-1)))/(1+'2. The asset'!$B$29)^$A$6:$A$15)+((('2. The asset'!$B$14*(1+D114)^'2. The asset'!$B$34-'2. The asset'!$B$23*(1+'2. The asset'!$B$31)^'2. The asset'!$B$34)/'2. The asset'!$B$28)*(1-'2. The asset'!$B$33)-'2. The asset'!$B$25*'2. The asset'!$B$4*(1+'2. The asset'!$B$31)^'2. The asset'!$B$34*MOD('2. The asset'!$B$34+'2. The asset'!$B$27,'2. The asset'!$B$26)/'2. The asset'!$B$26)/(1+'2. The asset'!$B$29)^'2. The asset'!$B$34-'2. The asset'!$B$17</f>
        <v>-3.53902578353882E-008</v>
      </c>
      <c r="G114" s="32" t="n">
        <f aca="false">IF(J113&gt;0,I113,G113)</f>
        <v>0.0212204542796087</v>
      </c>
      <c r="H114" s="32" t="n">
        <f aca="false">IF(J113&gt;0,H113,I113)</f>
        <v>0.0212204542796229</v>
      </c>
      <c r="I114" s="32" t="n">
        <f aca="false">(G114+H114)/2</f>
        <v>0.0212204542796158</v>
      </c>
      <c r="J114" s="16" t="n">
        <f aca="false">SUMPRODUCT(($A$6:$A$15&lt;='2. The asset'!$B$34)*('2. The asset'!$B$14*(1+'2. The asset'!$B$30)^($A$6:$A$15-1)-'2. The asset'!$B$23*(1+I114)^($A$6:$A$15-1)-('2. The asset'!$B$24*'2. The asset'!$B$4*(1+I114)^($A$6:$A$15-1)+(MOD($A$6:$A$15+'2. The asset'!$B$27,'2. The asset'!$B$26)=0)*'2. The asset'!$B$25*'2. The asset'!$B$4*(1+I114)^($A$6:$A$15-1)))/(1+'2. The asset'!$B$29)^$A$6:$A$15)+((('2. The asset'!$B$14*(1+'2. The asset'!$B$30)^'2. The asset'!$B$34-'2. The asset'!$B$23*(1+I114)^'2. The asset'!$B$34)/'2. The asset'!$B$28)*(1-'2. The asset'!$B$33)-'2. The asset'!$B$25*'2. The asset'!$B$4*(1+I114)^'2. The asset'!$B$34*MOD('2. The asset'!$B$34+'2. The asset'!$B$27,'2. The asset'!$B$26)/'2. The asset'!$B$26)/(1+'2. The asset'!$B$29)^'2. The asset'!$B$34-'2. The asset'!$B$17</f>
        <v>-3.37138772010803E-007</v>
      </c>
    </row>
    <row r="115" customFormat="false" ht="15" hidden="false" customHeight="false" outlineLevel="0" collapsed="false">
      <c r="A115" s="15" t="n">
        <v>46</v>
      </c>
      <c r="B115" s="32" t="n">
        <f aca="false">IF(E114&lt;0,D114,B114)</f>
        <v>0.0341900628443358</v>
      </c>
      <c r="C115" s="32" t="n">
        <f aca="false">IF(E114&lt;0,C114,D114)</f>
        <v>0.0341900628443421</v>
      </c>
      <c r="D115" s="32" t="n">
        <f aca="false">(B115+C115)/2</f>
        <v>0.0341900628443389</v>
      </c>
      <c r="E115" s="16" t="n">
        <f aca="false">SUMPRODUCT(($A$6:$A$15&lt;='2. The asset'!$B$34)*('2. The asset'!$B$14*(1+D115)^($A$6:$A$15-1)-'2. The asset'!$B$23*(1+'2. The asset'!$B$31)^($A$6:$A$15-1)-('2. The asset'!$B$24*'2. The asset'!$B$4*(1+'2. The asset'!$B$31)^($A$6:$A$15-1)+(MOD($A$6:$A$15+'2. The asset'!$B$27,'2. The asset'!$B$26)=0)*'2. The asset'!$B$25*'2. The asset'!$B$4*(1+'2. The asset'!$B$31)^($A$6:$A$15-1)))/(1+'2. The asset'!$B$29)^$A$6:$A$15)+((('2. The asset'!$B$14*(1+D115)^'2. The asset'!$B$34-'2. The asset'!$B$23*(1+'2. The asset'!$B$31)^'2. The asset'!$B$34)/'2. The asset'!$B$28)*(1-'2. The asset'!$B$33)-'2. The asset'!$B$25*'2. The asset'!$B$4*(1+'2. The asset'!$B$31)^'2. The asset'!$B$34*MOD('2. The asset'!$B$34+'2. The asset'!$B$27,'2. The asset'!$B$26)/'2. The asset'!$B$26)/(1+'2. The asset'!$B$29)^'2. The asset'!$B$34-'2. The asset'!$B$17</f>
        <v>3.78116965293884E-007</v>
      </c>
      <c r="G115" s="32" t="n">
        <f aca="false">IF(J114&gt;0,I114,G114)</f>
        <v>0.0212204542796087</v>
      </c>
      <c r="H115" s="32" t="n">
        <f aca="false">IF(J114&gt;0,H114,I114)</f>
        <v>0.0212204542796158</v>
      </c>
      <c r="I115" s="32" t="n">
        <f aca="false">(G115+H115)/2</f>
        <v>0.0212204542796123</v>
      </c>
      <c r="J115" s="16" t="n">
        <f aca="false">SUMPRODUCT(($A$6:$A$15&lt;='2. The asset'!$B$34)*('2. The asset'!$B$14*(1+'2. The asset'!$B$30)^($A$6:$A$15-1)-'2. The asset'!$B$23*(1+I115)^($A$6:$A$15-1)-('2. The asset'!$B$24*'2. The asset'!$B$4*(1+I115)^($A$6:$A$15-1)+(MOD($A$6:$A$15+'2. The asset'!$B$27,'2. The asset'!$B$26)=0)*'2. The asset'!$B$25*'2. The asset'!$B$4*(1+I115)^($A$6:$A$15-1)))/(1+'2. The asset'!$B$29)^$A$6:$A$15)+((('2. The asset'!$B$14*(1+'2. The asset'!$B$30)^'2. The asset'!$B$34-'2. The asset'!$B$23*(1+I115)^'2. The asset'!$B$34)/'2. The asset'!$B$28)*(1-'2. The asset'!$B$33)-'2. The asset'!$B$25*'2. The asset'!$B$4*(1+I115)^'2. The asset'!$B$34*MOD('2. The asset'!$B$34+'2. The asset'!$B$27,'2. The asset'!$B$26)/'2. The asset'!$B$26)/(1+'2. The asset'!$B$29)^'2. The asset'!$B$34-'2. The asset'!$B$17</f>
        <v>-1.02445483207703E-007</v>
      </c>
    </row>
    <row r="116" customFormat="false" ht="15" hidden="false" customHeight="false" outlineLevel="0" collapsed="false">
      <c r="A116" s="15" t="n">
        <v>47</v>
      </c>
      <c r="B116" s="32" t="n">
        <f aca="false">IF(E115&lt;0,D115,B115)</f>
        <v>0.0341900628443358</v>
      </c>
      <c r="C116" s="32" t="n">
        <f aca="false">IF(E115&lt;0,C115,D115)</f>
        <v>0.0341900628443389</v>
      </c>
      <c r="D116" s="32" t="n">
        <f aca="false">(B116+C116)/2</f>
        <v>0.0341900628443374</v>
      </c>
      <c r="E116" s="16" t="n">
        <f aca="false">SUMPRODUCT(($A$6:$A$15&lt;='2. The asset'!$B$34)*('2. The asset'!$B$14*(1+D116)^($A$6:$A$15-1)-'2. The asset'!$B$23*(1+'2. The asset'!$B$31)^($A$6:$A$15-1)-('2. The asset'!$B$24*'2. The asset'!$B$4*(1+'2. The asset'!$B$31)^($A$6:$A$15-1)+(MOD($A$6:$A$15+'2. The asset'!$B$27,'2. The asset'!$B$26)=0)*'2. The asset'!$B$25*'2. The asset'!$B$4*(1+'2. The asset'!$B$31)^($A$6:$A$15-1)))/(1+'2. The asset'!$B$29)^$A$6:$A$15)+((('2. The asset'!$B$14*(1+D116)^'2. The asset'!$B$34-'2. The asset'!$B$23*(1+'2. The asset'!$B$31)^'2. The asset'!$B$34)/'2. The asset'!$B$28)*(1-'2. The asset'!$B$33)-'2. The asset'!$B$25*'2. The asset'!$B$4*(1+'2. The asset'!$B$31)^'2. The asset'!$B$34*MOD('2. The asset'!$B$34+'2. The asset'!$B$27,'2. The asset'!$B$26)/'2. The asset'!$B$26)/(1+'2. The asset'!$B$29)^'2. The asset'!$B$34-'2. The asset'!$B$17</f>
        <v>1.71363353729248E-007</v>
      </c>
      <c r="G116" s="32" t="n">
        <f aca="false">IF(J115&gt;0,I115,G115)</f>
        <v>0.0212204542796087</v>
      </c>
      <c r="H116" s="32" t="n">
        <f aca="false">IF(J115&gt;0,H115,I115)</f>
        <v>0.0212204542796123</v>
      </c>
      <c r="I116" s="32" t="n">
        <f aca="false">(G116+H116)/2</f>
        <v>0.0212204542796105</v>
      </c>
      <c r="J116" s="16" t="n">
        <f aca="false">SUMPRODUCT(($A$6:$A$15&lt;='2. The asset'!$B$34)*('2. The asset'!$B$14*(1+'2. The asset'!$B$30)^($A$6:$A$15-1)-'2. The asset'!$B$23*(1+I116)^($A$6:$A$15-1)-('2. The asset'!$B$24*'2. The asset'!$B$4*(1+I116)^($A$6:$A$15-1)+(MOD($A$6:$A$15+'2. The asset'!$B$27,'2. The asset'!$B$26)=0)*'2. The asset'!$B$25*'2. The asset'!$B$4*(1+I116)^($A$6:$A$15-1)))/(1+'2. The asset'!$B$29)^$A$6:$A$15)+((('2. The asset'!$B$14*(1+'2. The asset'!$B$30)^'2. The asset'!$B$34-'2. The asset'!$B$23*(1+I116)^'2. The asset'!$B$34)/'2. The asset'!$B$28)*(1-'2. The asset'!$B$33)-'2. The asset'!$B$25*'2. The asset'!$B$4*(1+I116)^'2. The asset'!$B$34*MOD('2. The asset'!$B$34+'2. The asset'!$B$27,'2. The asset'!$B$26)/'2. The asset'!$B$26)/(1+'2. The asset'!$B$29)^'2. The asset'!$B$34-'2. The asset'!$B$17</f>
        <v>0</v>
      </c>
    </row>
    <row r="117" customFormat="false" ht="15" hidden="false" customHeight="false" outlineLevel="0" collapsed="false">
      <c r="A117" s="15" t="n">
        <v>48</v>
      </c>
      <c r="B117" s="32" t="n">
        <f aca="false">IF(E116&lt;0,D116,B116)</f>
        <v>0.0341900628443358</v>
      </c>
      <c r="C117" s="32" t="n">
        <f aca="false">IF(E116&lt;0,C116,D116)</f>
        <v>0.0341900628443374</v>
      </c>
      <c r="D117" s="32" t="n">
        <f aca="false">(B117+C117)/2</f>
        <v>0.0341900628443366</v>
      </c>
      <c r="E117" s="16" t="n">
        <f aca="false">SUMPRODUCT(($A$6:$A$15&lt;='2. The asset'!$B$34)*('2. The asset'!$B$14*(1+D117)^($A$6:$A$15-1)-'2. The asset'!$B$23*(1+'2. The asset'!$B$31)^($A$6:$A$15-1)-('2. The asset'!$B$24*'2. The asset'!$B$4*(1+'2. The asset'!$B$31)^($A$6:$A$15-1)+(MOD($A$6:$A$15+'2. The asset'!$B$27,'2. The asset'!$B$26)=0)*'2. The asset'!$B$25*'2. The asset'!$B$4*(1+'2. The asset'!$B$31)^($A$6:$A$15-1)))/(1+'2. The asset'!$B$29)^$A$6:$A$15)+((('2. The asset'!$B$14*(1+D117)^'2. The asset'!$B$34-'2. The asset'!$B$23*(1+'2. The asset'!$B$31)^'2. The asset'!$B$34)/'2. The asset'!$B$28)*(1-'2. The asset'!$B$33)-'2. The asset'!$B$25*'2. The asset'!$B$4*(1+'2. The asset'!$B$31)^'2. The asset'!$B$34*MOD('2. The asset'!$B$34+'2. The asset'!$B$27,'2. The asset'!$B$26)/'2. The asset'!$B$26)/(1+'2. The asset'!$B$29)^'2. The asset'!$B$34-'2. The asset'!$B$17</f>
        <v>5.40167093276978E-008</v>
      </c>
      <c r="G117" s="32" t="n">
        <f aca="false">IF(J116&gt;0,I116,G116)</f>
        <v>0.0212204542796087</v>
      </c>
      <c r="H117" s="32" t="n">
        <f aca="false">IF(J116&gt;0,H116,I116)</f>
        <v>0.0212204542796105</v>
      </c>
      <c r="I117" s="32" t="n">
        <f aca="false">(G117+H117)/2</f>
        <v>0.0212204542796096</v>
      </c>
      <c r="J117" s="16" t="n">
        <f aca="false">SUMPRODUCT(($A$6:$A$15&lt;='2. The asset'!$B$34)*('2. The asset'!$B$14*(1+'2. The asset'!$B$30)^($A$6:$A$15-1)-'2. The asset'!$B$23*(1+I117)^($A$6:$A$15-1)-('2. The asset'!$B$24*'2. The asset'!$B$4*(1+I117)^($A$6:$A$15-1)+(MOD($A$6:$A$15+'2. The asset'!$B$27,'2. The asset'!$B$26)=0)*'2. The asset'!$B$25*'2. The asset'!$B$4*(1+I117)^($A$6:$A$15-1)))/(1+'2. The asset'!$B$29)^$A$6:$A$15)+((('2. The asset'!$B$14*(1+'2. The asset'!$B$30)^'2. The asset'!$B$34-'2. The asset'!$B$23*(1+I117)^'2. The asset'!$B$34)/'2. The asset'!$B$28)*(1-'2. The asset'!$B$33)-'2. The asset'!$B$25*'2. The asset'!$B$4*(1+I117)^'2. The asset'!$B$34*MOD('2. The asset'!$B$34+'2. The asset'!$B$27,'2. The asset'!$B$26)/'2. The asset'!$B$26)/(1+'2. The asset'!$B$29)^'2. The asset'!$B$34-'2. The asset'!$B$17</f>
        <v>7.63684511184692E-008</v>
      </c>
    </row>
    <row r="118" customFormat="false" ht="15" hidden="false" customHeight="false" outlineLevel="0" collapsed="false">
      <c r="A118" s="15" t="n">
        <v>49</v>
      </c>
      <c r="B118" s="32" t="n">
        <f aca="false">IF(E117&lt;0,D117,B117)</f>
        <v>0.0341900628443358</v>
      </c>
      <c r="C118" s="32" t="n">
        <f aca="false">IF(E117&lt;0,C117,D117)</f>
        <v>0.0341900628443366</v>
      </c>
      <c r="D118" s="32" t="n">
        <f aca="false">(B118+C118)/2</f>
        <v>0.0341900628443362</v>
      </c>
      <c r="E118" s="16" t="n">
        <f aca="false">SUMPRODUCT(($A$6:$A$15&lt;='2. The asset'!$B$34)*('2. The asset'!$B$14*(1+D118)^($A$6:$A$15-1)-'2. The asset'!$B$23*(1+'2. The asset'!$B$31)^($A$6:$A$15-1)-('2. The asset'!$B$24*'2. The asset'!$B$4*(1+'2. The asset'!$B$31)^($A$6:$A$15-1)+(MOD($A$6:$A$15+'2. The asset'!$B$27,'2. The asset'!$B$26)=0)*'2. The asset'!$B$25*'2. The asset'!$B$4*(1+'2. The asset'!$B$31)^($A$6:$A$15-1)))/(1+'2. The asset'!$B$29)^$A$6:$A$15)+((('2. The asset'!$B$14*(1+D118)^'2. The asset'!$B$34-'2. The asset'!$B$23*(1+'2. The asset'!$B$31)^'2. The asset'!$B$34)/'2. The asset'!$B$28)*(1-'2. The asset'!$B$33)-'2. The asset'!$B$25*'2. The asset'!$B$4*(1+'2. The asset'!$B$31)^'2. The asset'!$B$34*MOD('2. The asset'!$B$34+'2. The asset'!$B$27,'2. The asset'!$B$26)/'2. The asset'!$B$26)/(1+'2. The asset'!$B$29)^'2. The asset'!$B$34-'2. The asset'!$B$17</f>
        <v>0</v>
      </c>
      <c r="G118" s="32" t="n">
        <f aca="false">IF(J117&gt;0,I117,G117)</f>
        <v>0.0212204542796096</v>
      </c>
      <c r="H118" s="32" t="n">
        <f aca="false">IF(J117&gt;0,H117,I117)</f>
        <v>0.0212204542796105</v>
      </c>
      <c r="I118" s="32" t="n">
        <f aca="false">(G118+H118)/2</f>
        <v>0.02122045427961</v>
      </c>
      <c r="J118" s="16" t="n">
        <f aca="false">SUMPRODUCT(($A$6:$A$15&lt;='2. The asset'!$B$34)*('2. The asset'!$B$14*(1+'2. The asset'!$B$30)^($A$6:$A$15-1)-'2. The asset'!$B$23*(1+I118)^($A$6:$A$15-1)-('2. The asset'!$B$24*'2. The asset'!$B$4*(1+I118)^($A$6:$A$15-1)+(MOD($A$6:$A$15+'2. The asset'!$B$27,'2. The asset'!$B$26)=0)*'2. The asset'!$B$25*'2. The asset'!$B$4*(1+I118)^($A$6:$A$15-1)))/(1+'2. The asset'!$B$29)^$A$6:$A$15)+((('2. The asset'!$B$14*(1+'2. The asset'!$B$30)^'2. The asset'!$B$34-'2. The asset'!$B$23*(1+I118)^'2. The asset'!$B$34)/'2. The asset'!$B$28)*(1-'2. The asset'!$B$33)-'2. The asset'!$B$25*'2. The asset'!$B$4*(1+I118)^'2. The asset'!$B$34*MOD('2. The asset'!$B$34+'2. The asset'!$B$27,'2. The asset'!$B$26)/'2. The asset'!$B$26)/(1+'2. The asset'!$B$29)^'2. The asset'!$B$34-'2. The asset'!$B$17</f>
        <v>4.4703483581543E-008</v>
      </c>
    </row>
    <row r="119" customFormat="false" ht="15" hidden="false" customHeight="false" outlineLevel="0" collapsed="false">
      <c r="A119" s="15" t="n">
        <v>50</v>
      </c>
      <c r="B119" s="32" t="n">
        <f aca="false">IF(E118&lt;0,D118,B118)</f>
        <v>0.0341900628443358</v>
      </c>
      <c r="C119" s="32" t="n">
        <f aca="false">IF(E118&lt;0,C118,D118)</f>
        <v>0.0341900628443362</v>
      </c>
      <c r="D119" s="32" t="n">
        <f aca="false">(B119+C119)/2</f>
        <v>0.034190062844336</v>
      </c>
      <c r="E119" s="16" t="n">
        <f aca="false">SUMPRODUCT(($A$6:$A$15&lt;='2. The asset'!$B$34)*('2. The asset'!$B$14*(1+D119)^($A$6:$A$15-1)-'2. The asset'!$B$23*(1+'2. The asset'!$B$31)^($A$6:$A$15-1)-('2. The asset'!$B$24*'2. The asset'!$B$4*(1+'2. The asset'!$B$31)^($A$6:$A$15-1)+(MOD($A$6:$A$15+'2. The asset'!$B$27,'2. The asset'!$B$26)=0)*'2. The asset'!$B$25*'2. The asset'!$B$4*(1+'2. The asset'!$B$31)^($A$6:$A$15-1)))/(1+'2. The asset'!$B$29)^$A$6:$A$15)+((('2. The asset'!$B$14*(1+D119)^'2. The asset'!$B$34-'2. The asset'!$B$23*(1+'2. The asset'!$B$31)^'2. The asset'!$B$34)/'2. The asset'!$B$28)*(1-'2. The asset'!$B$33)-'2. The asset'!$B$25*'2. The asset'!$B$4*(1+'2. The asset'!$B$31)^'2. The asset'!$B$34*MOD('2. The asset'!$B$34+'2. The asset'!$B$27,'2. The asset'!$B$26)/'2. The asset'!$B$26)/(1+'2. The asset'!$B$29)^'2. The asset'!$B$34-'2. The asset'!$B$17</f>
        <v>-3.53902578353882E-008</v>
      </c>
      <c r="G119" s="32" t="n">
        <f aca="false">IF(J118&gt;0,I118,G118)</f>
        <v>0.02122045427961</v>
      </c>
      <c r="H119" s="32" t="n">
        <f aca="false">IF(J118&gt;0,H118,I118)</f>
        <v>0.0212204542796105</v>
      </c>
      <c r="I119" s="32" t="n">
        <f aca="false">(G119+H119)/2</f>
        <v>0.0212204542796103</v>
      </c>
      <c r="J119" s="16" t="n">
        <f aca="false">SUMPRODUCT(($A$6:$A$15&lt;='2. The asset'!$B$34)*('2. The asset'!$B$14*(1+'2. The asset'!$B$30)^($A$6:$A$15-1)-'2. The asset'!$B$23*(1+I119)^($A$6:$A$15-1)-('2. The asset'!$B$24*'2. The asset'!$B$4*(1+I119)^($A$6:$A$15-1)+(MOD($A$6:$A$15+'2. The asset'!$B$27,'2. The asset'!$B$26)=0)*'2. The asset'!$B$25*'2. The asset'!$B$4*(1+I119)^($A$6:$A$15-1)))/(1+'2. The asset'!$B$29)^$A$6:$A$15)+((('2. The asset'!$B$14*(1+'2. The asset'!$B$30)^'2. The asset'!$B$34-'2. The asset'!$B$23*(1+I119)^'2. The asset'!$B$34)/'2. The asset'!$B$28)*(1-'2. The asset'!$B$33)-'2. The asset'!$B$25*'2. The asset'!$B$4*(1+I119)^'2. The asset'!$B$34*MOD('2. The asset'!$B$34+'2. The asset'!$B$27,'2. The asset'!$B$26)/'2. The asset'!$B$26)/(1+'2. The asset'!$B$29)^'2. The asset'!$B$34-'2. The asset'!$B$17</f>
        <v>3.16649675369263E-008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16"/>
    <col collapsed="false" customWidth="true" hidden="false" outlineLevel="0" max="3" min="3" style="0" width="24"/>
    <col collapsed="false" customWidth="true" hidden="false" outlineLevel="0" max="4" min="4" style="0" width="26"/>
    <col collapsed="false" customWidth="true" hidden="false" outlineLevel="0" max="5" min="5" style="0" width="24"/>
  </cols>
  <sheetData>
    <row r="1" customFormat="false" ht="16.15" hidden="false" customHeight="false" outlineLevel="0" collapsed="false">
      <c r="A1" s="5" t="s">
        <v>115</v>
      </c>
    </row>
    <row r="2" customFormat="false" ht="22.35" hidden="false" customHeight="false" outlineLevel="0" collapsed="false">
      <c r="A2" s="33" t="s">
        <v>116</v>
      </c>
    </row>
    <row r="4" customFormat="false" ht="28.35" hidden="false" customHeight="false" outlineLevel="0" collapsed="false">
      <c r="A4" s="34" t="s">
        <v>117</v>
      </c>
      <c r="B4" s="34" t="s">
        <v>118</v>
      </c>
      <c r="C4" s="34" t="s">
        <v>119</v>
      </c>
      <c r="D4" s="34" t="s">
        <v>120</v>
      </c>
      <c r="E4" s="35" t="s">
        <v>121</v>
      </c>
    </row>
    <row r="5" customFormat="false" ht="15" hidden="false" customHeight="false" outlineLevel="0" collapsed="false">
      <c r="A5" s="0" t="s">
        <v>122</v>
      </c>
      <c r="B5" s="13" t="n">
        <f aca="false">'2. The asset'!B30</f>
        <v>0.029</v>
      </c>
      <c r="C5" s="13" t="n">
        <f aca="false">'3. Asking price to bid'!C64</f>
        <v>0.034190062844336</v>
      </c>
      <c r="D5" s="36" t="s">
        <v>123</v>
      </c>
    </row>
    <row r="6" customFormat="false" ht="15" hidden="false" customHeight="false" outlineLevel="0" collapsed="false">
      <c r="A6" s="0" t="s">
        <v>107</v>
      </c>
      <c r="B6" s="13" t="n">
        <f aca="false">'2. The asset'!B31</f>
        <v>0.031</v>
      </c>
      <c r="C6" s="13" t="n">
        <f aca="false">'3. Asking price to bid'!C65</f>
        <v>0.0212204542796103</v>
      </c>
      <c r="D6" s="36" t="s">
        <v>124</v>
      </c>
    </row>
    <row r="7" customFormat="false" ht="15" hidden="false" customHeight="false" outlineLevel="0" collapsed="false">
      <c r="A7" s="0" t="s">
        <v>125</v>
      </c>
      <c r="B7" s="13" t="n">
        <f aca="false">'2. The asset'!B28</f>
        <v>0.0655</v>
      </c>
      <c r="C7" s="13" t="n">
        <f aca="false">'3. Asking price to bid'!C60</f>
        <v>0.056899243501809</v>
      </c>
      <c r="D7" s="36" t="s">
        <v>123</v>
      </c>
    </row>
    <row r="8" customFormat="false" ht="15" hidden="false" customHeight="false" outlineLevel="0" collapsed="false">
      <c r="A8" s="0" t="s">
        <v>36</v>
      </c>
      <c r="B8" s="13" t="n">
        <f aca="false">'2. The asset'!B29</f>
        <v>0.0845</v>
      </c>
      <c r="C8" s="13" t="n">
        <f aca="false">'3. Asking price to bid'!C61</f>
        <v>0.0730567818966336</v>
      </c>
      <c r="D8" s="36" t="s">
        <v>126</v>
      </c>
    </row>
    <row r="9" customFormat="false" ht="15" hidden="false" customHeight="false" outlineLevel="0" collapsed="false">
      <c r="A9" s="0" t="s">
        <v>127</v>
      </c>
      <c r="B9" s="13" t="n">
        <f aca="false">'2. The asset'!B8</f>
        <v>0.796</v>
      </c>
      <c r="C9" s="13" t="n">
        <f aca="false">'3. Asking price to bid'!C63</f>
        <v>0.831123877197646</v>
      </c>
      <c r="D9" s="36" t="s">
        <v>128</v>
      </c>
    </row>
    <row r="10" customFormat="false" ht="15" hidden="false" customHeight="false" outlineLevel="0" collapsed="false">
      <c r="A10" s="0" t="s">
        <v>129</v>
      </c>
      <c r="B10" s="13" t="n">
        <f aca="false">'2. The asset'!B42</f>
        <v>0.0665</v>
      </c>
      <c r="C10" s="13" t="n">
        <f aca="false">'2. The asset'!B43</f>
        <v>0.0560489316876547</v>
      </c>
      <c r="D10" s="36" t="s">
        <v>128</v>
      </c>
      <c r="E10" s="15" t="str">
        <f aca="false">TEXT('2. The asset'!B9,"0.0")&amp;" to "&amp;TEXT('2. The asset'!B44,"0.0")&amp;" months"</f>
        <v>13.8 to 16.0 months</v>
      </c>
    </row>
    <row r="12" customFormat="false" ht="45" hidden="false" customHeight="true" outlineLevel="0" collapsed="false">
      <c r="A12" s="4" t="s">
        <v>130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3" min="2" style="0" width="12"/>
    <col collapsed="false" customWidth="true" hidden="false" outlineLevel="0" max="4" min="4" style="0" width="46"/>
  </cols>
  <sheetData>
    <row r="1" customFormat="false" ht="16.15" hidden="false" customHeight="false" outlineLevel="0" collapsed="false">
      <c r="A1" s="5" t="s">
        <v>131</v>
      </c>
    </row>
    <row r="2" customFormat="false" ht="22.35" hidden="false" customHeight="false" outlineLevel="0" collapsed="false">
      <c r="A2" s="33" t="s">
        <v>132</v>
      </c>
    </row>
    <row r="4" customFormat="false" ht="15" hidden="false" customHeight="false" outlineLevel="0" collapsed="false">
      <c r="A4" s="34" t="s">
        <v>133</v>
      </c>
      <c r="B4" s="34" t="s">
        <v>134</v>
      </c>
      <c r="C4" s="34" t="s">
        <v>135</v>
      </c>
      <c r="D4" s="34" t="s">
        <v>136</v>
      </c>
    </row>
    <row r="5" customFormat="false" ht="28.35" hidden="false" customHeight="false" outlineLevel="0" collapsed="false">
      <c r="A5" s="4" t="s">
        <v>137</v>
      </c>
      <c r="B5" s="36" t="s">
        <v>138</v>
      </c>
      <c r="C5" s="36" t="s">
        <v>139</v>
      </c>
      <c r="D5" s="4" t="s">
        <v>140</v>
      </c>
    </row>
    <row r="6" customFormat="false" ht="15" hidden="false" customHeight="false" outlineLevel="0" collapsed="false">
      <c r="A6" s="4" t="s">
        <v>141</v>
      </c>
      <c r="B6" s="36" t="s">
        <v>142</v>
      </c>
      <c r="C6" s="36" t="s">
        <v>143</v>
      </c>
      <c r="D6" s="4" t="s">
        <v>144</v>
      </c>
    </row>
    <row r="7" customFormat="false" ht="28.35" hidden="false" customHeight="false" outlineLevel="0" collapsed="false">
      <c r="A7" s="4" t="s">
        <v>145</v>
      </c>
      <c r="B7" s="36" t="s">
        <v>142</v>
      </c>
      <c r="C7" s="36" t="s">
        <v>143</v>
      </c>
      <c r="D7" s="4" t="s">
        <v>146</v>
      </c>
    </row>
    <row r="8" customFormat="false" ht="15" hidden="false" customHeight="false" outlineLevel="0" collapsed="false">
      <c r="A8" s="4" t="s">
        <v>147</v>
      </c>
      <c r="B8" s="36" t="s">
        <v>142</v>
      </c>
      <c r="C8" s="36" t="s">
        <v>143</v>
      </c>
      <c r="D8" s="4" t="s">
        <v>148</v>
      </c>
    </row>
    <row r="9" customFormat="false" ht="15" hidden="false" customHeight="false" outlineLevel="0" collapsed="false">
      <c r="A9" s="4" t="s">
        <v>149</v>
      </c>
      <c r="B9" s="36" t="s">
        <v>138</v>
      </c>
      <c r="C9" s="36" t="s">
        <v>139</v>
      </c>
      <c r="D9" s="4" t="s">
        <v>150</v>
      </c>
    </row>
    <row r="10" customFormat="false" ht="15" hidden="false" customHeight="false" outlineLevel="0" collapsed="false">
      <c r="A10" s="4" t="s">
        <v>151</v>
      </c>
      <c r="B10" s="36" t="s">
        <v>138</v>
      </c>
      <c r="C10" s="36" t="s">
        <v>139</v>
      </c>
      <c r="D10" s="4" t="s">
        <v>152</v>
      </c>
    </row>
    <row r="11" customFormat="false" ht="15" hidden="false" customHeight="false" outlineLevel="0" collapsed="false">
      <c r="A11" s="4" t="s">
        <v>153</v>
      </c>
      <c r="B11" s="36" t="s">
        <v>142</v>
      </c>
      <c r="C11" s="36" t="s">
        <v>143</v>
      </c>
      <c r="D11" s="4" t="s">
        <v>154</v>
      </c>
    </row>
    <row r="12" customFormat="false" ht="15" hidden="false" customHeight="false" outlineLevel="0" collapsed="false">
      <c r="A12" s="4" t="s">
        <v>155</v>
      </c>
      <c r="B12" s="36" t="s">
        <v>156</v>
      </c>
      <c r="C12" s="36" t="s">
        <v>157</v>
      </c>
      <c r="D12" s="4" t="s">
        <v>158</v>
      </c>
    </row>
    <row r="13" customFormat="false" ht="28.35" hidden="false" customHeight="false" outlineLevel="0" collapsed="false">
      <c r="A13" s="4" t="s">
        <v>159</v>
      </c>
      <c r="B13" s="36" t="s">
        <v>156</v>
      </c>
      <c r="C13" s="36" t="s">
        <v>157</v>
      </c>
      <c r="D13" s="4" t="s">
        <v>160</v>
      </c>
    </row>
    <row r="14" customFormat="false" ht="15" hidden="false" customHeight="false" outlineLevel="0" collapsed="false">
      <c r="A14" s="4" t="s">
        <v>161</v>
      </c>
      <c r="B14" s="36" t="s">
        <v>156</v>
      </c>
      <c r="C14" s="36" t="s">
        <v>157</v>
      </c>
      <c r="D14" s="4" t="s">
        <v>162</v>
      </c>
    </row>
    <row r="15" customFormat="false" ht="28.35" hidden="false" customHeight="false" outlineLevel="0" collapsed="false">
      <c r="A15" s="4" t="s">
        <v>163</v>
      </c>
      <c r="B15" s="36" t="s">
        <v>142</v>
      </c>
      <c r="C15" s="36" t="s">
        <v>143</v>
      </c>
      <c r="D15" s="4" t="s">
        <v>164</v>
      </c>
    </row>
    <row r="16" customFormat="false" ht="28.35" hidden="false" customHeight="false" outlineLevel="0" collapsed="false">
      <c r="A16" s="4" t="s">
        <v>165</v>
      </c>
      <c r="B16" s="36" t="s">
        <v>156</v>
      </c>
      <c r="C16" s="36" t="s">
        <v>157</v>
      </c>
      <c r="D16" s="4" t="s">
        <v>166</v>
      </c>
    </row>
    <row r="17" customFormat="false" ht="28.35" hidden="false" customHeight="false" outlineLevel="0" collapsed="false">
      <c r="A17" s="4" t="s">
        <v>167</v>
      </c>
      <c r="B17" s="36" t="s">
        <v>142</v>
      </c>
      <c r="C17" s="36" t="s">
        <v>143</v>
      </c>
      <c r="D17" s="4" t="s">
        <v>168</v>
      </c>
    </row>
    <row r="18" customFormat="false" ht="15" hidden="false" customHeight="false" outlineLevel="0" collapsed="false">
      <c r="A18" s="4" t="s">
        <v>169</v>
      </c>
      <c r="B18" s="36" t="s">
        <v>142</v>
      </c>
      <c r="C18" s="36" t="s">
        <v>143</v>
      </c>
      <c r="D18" s="4" t="s">
        <v>170</v>
      </c>
    </row>
    <row r="19" customFormat="false" ht="28.35" hidden="false" customHeight="false" outlineLevel="0" collapsed="false">
      <c r="A19" s="4" t="s">
        <v>171</v>
      </c>
      <c r="B19" s="36" t="s">
        <v>142</v>
      </c>
      <c r="C19" s="36" t="s">
        <v>143</v>
      </c>
      <c r="D19" s="4" t="s">
        <v>172</v>
      </c>
    </row>
    <row r="20" customFormat="false" ht="15" hidden="false" customHeight="false" outlineLevel="0" collapsed="false">
      <c r="A20" s="4" t="s">
        <v>173</v>
      </c>
      <c r="B20" s="36" t="s">
        <v>142</v>
      </c>
      <c r="C20" s="36" t="s">
        <v>143</v>
      </c>
      <c r="D20" s="4" t="s">
        <v>174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2" min="2" style="0" width="70"/>
    <col collapsed="false" customWidth="true" hidden="false" outlineLevel="0" max="4" min="3" style="0" width="14"/>
    <col collapsed="false" customWidth="true" hidden="false" outlineLevel="0" max="5" min="5" style="0" width="12"/>
    <col collapsed="false" customWidth="true" hidden="false" outlineLevel="0" max="6" min="6" style="0" width="13"/>
  </cols>
  <sheetData>
    <row r="1" customFormat="false" ht="16.15" hidden="false" customHeight="false" outlineLevel="0" collapsed="false">
      <c r="A1" s="5" t="s">
        <v>175</v>
      </c>
    </row>
    <row r="2" customFormat="false" ht="15" hidden="false" customHeight="false" outlineLevel="0" collapsed="false">
      <c r="A2" s="2" t="s">
        <v>176</v>
      </c>
    </row>
    <row r="4" customFormat="false" ht="15" hidden="false" customHeight="false" outlineLevel="0" collapsed="false">
      <c r="A4" s="24" t="s">
        <v>177</v>
      </c>
      <c r="B4" s="24" t="s">
        <v>178</v>
      </c>
      <c r="C4" s="24" t="s">
        <v>179</v>
      </c>
      <c r="D4" s="24" t="s">
        <v>180</v>
      </c>
      <c r="E4" s="24" t="s">
        <v>181</v>
      </c>
      <c r="F4" s="24" t="s">
        <v>182</v>
      </c>
    </row>
    <row r="5" customFormat="false" ht="15" hidden="false" customHeight="false" outlineLevel="0" collapsed="false">
      <c r="A5" s="0" t="s">
        <v>183</v>
      </c>
      <c r="B5" s="4" t="s">
        <v>184</v>
      </c>
      <c r="C5" s="37" t="n">
        <v>7800000</v>
      </c>
      <c r="D5" s="37" t="n">
        <f aca="false">'3. Asking price to bid'!C26</f>
        <v>7759474.23737857</v>
      </c>
      <c r="E5" s="37" t="n">
        <f aca="false">IF(ISNUMBER(D5),D5-C5,"")</f>
        <v>-40525.7626214335</v>
      </c>
      <c r="F5" s="0" t="str">
        <f aca="false">IF(ISNUMBER(D5)=FALSE(),"to check",IF(ABS(E5)&lt;=50000,"reproduced",IF(ABS(E5)&lt;=50000*3,"rounding","to check")))</f>
        <v>reproduced</v>
      </c>
    </row>
    <row r="6" customFormat="false" ht="15" hidden="false" customHeight="false" outlineLevel="0" collapsed="false">
      <c r="A6" s="0" t="s">
        <v>183</v>
      </c>
      <c r="B6" s="4" t="s">
        <v>75</v>
      </c>
      <c r="C6" s="38" t="n">
        <v>0.0644</v>
      </c>
      <c r="D6" s="38" t="n">
        <f aca="false">'3. Asking price to bid'!C29</f>
        <v>0.0644362631868804</v>
      </c>
      <c r="E6" s="38" t="n">
        <f aca="false">IF(ISNUMBER(D6),D6-C6,"")</f>
        <v>3.62631868803809E-005</v>
      </c>
      <c r="F6" s="0" t="str">
        <f aca="false">IF(ISNUMBER(D6)=FALSE(),"to check",IF(ABS(E6)&lt;=0.00005,"reproduced",IF(ABS(E6)&lt;=0.00005*3,"rounding","to check")))</f>
        <v>reproduced</v>
      </c>
    </row>
    <row r="7" customFormat="false" ht="15" hidden="false" customHeight="false" outlineLevel="0" collapsed="false">
      <c r="A7" s="0" t="s">
        <v>183</v>
      </c>
      <c r="B7" s="4" t="s">
        <v>185</v>
      </c>
      <c r="C7" s="37" t="n">
        <v>9933462</v>
      </c>
      <c r="D7" s="37" t="n">
        <f aca="false">'3. Asking price to bid'!C23</f>
        <v>9933461.67599003</v>
      </c>
      <c r="E7" s="37" t="n">
        <f aca="false">IF(ISNUMBER(D7),D7-C7,"")</f>
        <v>-0.324009966105223</v>
      </c>
      <c r="F7" s="0" t="str">
        <f aca="false">IF(ISNUMBER(D7)=FALSE(),"to check",IF(ABS(E7)&lt;=1,"reproduced",IF(ABS(E7)&lt;=1*3,"rounding","to check")))</f>
        <v>reproduced</v>
      </c>
    </row>
    <row r="8" customFormat="false" ht="15" hidden="false" customHeight="false" outlineLevel="0" collapsed="false">
      <c r="A8" s="0" t="s">
        <v>186</v>
      </c>
      <c r="B8" s="4" t="s">
        <v>187</v>
      </c>
      <c r="C8" s="38" t="n">
        <v>0.569</v>
      </c>
      <c r="D8" s="38" t="n">
        <f aca="false">'3. Asking price to bid'!C33</f>
        <v>0.568817254139637</v>
      </c>
      <c r="E8" s="38" t="n">
        <f aca="false">IF(ISNUMBER(D8),D8-C8,"")</f>
        <v>-0.000182745860363376</v>
      </c>
      <c r="F8" s="0" t="str">
        <f aca="false">IF(ISNUMBER(D8)=FALSE(),"to check",IF(ABS(E8)&lt;=0.0005,"reproduced",IF(ABS(E8)&lt;=0.0005*3,"rounding","to check")))</f>
        <v>reproduced</v>
      </c>
    </row>
    <row r="9" customFormat="false" ht="15" hidden="false" customHeight="false" outlineLevel="0" collapsed="false">
      <c r="A9" s="0" t="s">
        <v>188</v>
      </c>
      <c r="B9" s="4" t="s">
        <v>189</v>
      </c>
      <c r="C9" s="37" t="n">
        <v>145.58</v>
      </c>
      <c r="D9" s="37" t="n">
        <f aca="false">'3. Asking price to bid'!C35</f>
        <v>145.581130157196</v>
      </c>
      <c r="E9" s="37" t="n">
        <f aca="false">IF(ISNUMBER(D9),D9-C9,"")</f>
        <v>0.00113015719634291</v>
      </c>
      <c r="F9" s="0" t="str">
        <f aca="false">IF(ISNUMBER(D9)=FALSE(),"to check",IF(ABS(E9)&lt;=0.005,"reproduced",IF(ABS(E9)&lt;=0.005*3,"rounding","to check")))</f>
        <v>reproduced</v>
      </c>
    </row>
    <row r="10" customFormat="false" ht="15" hidden="false" customHeight="false" outlineLevel="0" collapsed="false">
      <c r="A10" s="0" t="s">
        <v>188</v>
      </c>
      <c r="B10" s="4" t="s">
        <v>190</v>
      </c>
      <c r="C10" s="38" t="n">
        <v>0.137</v>
      </c>
      <c r="D10" s="38" t="n">
        <f aca="false">'3. Asking price to bid'!C36</f>
        <v>0.136714525088676</v>
      </c>
      <c r="E10" s="38" t="n">
        <f aca="false">IF(ISNUMBER(D10),D10-C10,"")</f>
        <v>-0.000285474911324024</v>
      </c>
      <c r="F10" s="0" t="str">
        <f aca="false">IF(ISNUMBER(D10)=FALSE(),"to check",IF(ABS(E10)&lt;=0.0005,"reproduced",IF(ABS(E10)&lt;=0.0005*3,"rounding","to check")))</f>
        <v>reproduced</v>
      </c>
    </row>
    <row r="11" customFormat="false" ht="15" hidden="false" customHeight="false" outlineLevel="0" collapsed="false">
      <c r="A11" s="0" t="s">
        <v>191</v>
      </c>
      <c r="B11" s="4" t="s">
        <v>192</v>
      </c>
      <c r="C11" s="38" t="n">
        <v>0.376</v>
      </c>
      <c r="D11" s="38" t="n">
        <f aca="false">'3. Asking price to bid'!C48</f>
        <v>0.376195765022297</v>
      </c>
      <c r="E11" s="38" t="n">
        <f aca="false">IF(ISNUMBER(D11),D11-C11,"")</f>
        <v>0.000195765022297123</v>
      </c>
      <c r="F11" s="0" t="str">
        <f aca="false">IF(ISNUMBER(D11)=FALSE(),"to check",IF(ABS(E11)&lt;=0.0005,"reproduced",IF(ABS(E11)&lt;=0.0005*3,"rounding","to check")))</f>
        <v>reproduced</v>
      </c>
    </row>
    <row r="12" customFormat="false" ht="15" hidden="false" customHeight="false" outlineLevel="0" collapsed="false">
      <c r="A12" s="0" t="s">
        <v>191</v>
      </c>
      <c r="B12" s="4" t="s">
        <v>98</v>
      </c>
      <c r="C12" s="38" t="n">
        <v>0.0334</v>
      </c>
      <c r="D12" s="38" t="n">
        <f aca="false">'3. Asking price to bid'!C53</f>
        <v>0.0334133849276896</v>
      </c>
      <c r="E12" s="38" t="n">
        <f aca="false">IF(ISNUMBER(D12),D12-C12,"")</f>
        <v>1.33849276896386E-005</v>
      </c>
      <c r="F12" s="0" t="str">
        <f aca="false">IF(ISNUMBER(D12)=FALSE(),"to check",IF(ABS(E12)&lt;=0.00005,"reproduced",IF(ABS(E12)&lt;=0.00005*3,"rounding","to check")))</f>
        <v>reproduced</v>
      </c>
    </row>
    <row r="13" customFormat="false" ht="15" hidden="false" customHeight="false" outlineLevel="0" collapsed="false">
      <c r="A13" s="0" t="s">
        <v>191</v>
      </c>
      <c r="B13" s="4" t="s">
        <v>193</v>
      </c>
      <c r="C13" s="38" t="n">
        <v>0.631</v>
      </c>
      <c r="D13" s="38" t="n">
        <f aca="false">'3. Asking price to bid'!C55</f>
        <v>0.631082799087745</v>
      </c>
      <c r="E13" s="38" t="n">
        <f aca="false">IF(ISNUMBER(D13),D13-C13,"")</f>
        <v>8.27990877452223E-005</v>
      </c>
      <c r="F13" s="0" t="str">
        <f aca="false">IF(ISNUMBER(D13)=FALSE(),"to check",IF(ABS(E13)&lt;=0.0005,"reproduced",IF(ABS(E13)&lt;=0.0005*3,"rounding","to check")))</f>
        <v>reproduced</v>
      </c>
    </row>
    <row r="14" customFormat="false" ht="15" hidden="false" customHeight="false" outlineLevel="0" collapsed="false">
      <c r="A14" s="0" t="s">
        <v>194</v>
      </c>
      <c r="B14" s="4" t="s">
        <v>102</v>
      </c>
      <c r="C14" s="38" t="n">
        <v>0.363</v>
      </c>
      <c r="D14" s="38" t="n">
        <f aca="false">'3. Asking price to bid'!C57</f>
        <v>0.363112545730816</v>
      </c>
      <c r="E14" s="38" t="n">
        <f aca="false">IF(ISNUMBER(D14),D14-C14,"")</f>
        <v>0.000112545730816149</v>
      </c>
      <c r="F14" s="0" t="str">
        <f aca="false">IF(ISNUMBER(D14)=FALSE(),"to check",IF(ABS(E14)&lt;=0.0005,"reproduced",IF(ABS(E14)&lt;=0.0005*3,"rounding","to check")))</f>
        <v>reproduced</v>
      </c>
    </row>
    <row r="15" customFormat="false" ht="15" hidden="false" customHeight="false" outlineLevel="0" collapsed="false">
      <c r="A15" s="0" t="s">
        <v>183</v>
      </c>
      <c r="B15" s="4" t="s">
        <v>26</v>
      </c>
      <c r="C15" s="38" t="n">
        <v>0.0546</v>
      </c>
      <c r="D15" s="38" t="n">
        <f aca="false">'2. The asset'!B19</f>
        <v>0.0546491386899334</v>
      </c>
      <c r="E15" s="38" t="n">
        <f aca="false">IF(ISNUMBER(D15),D15-C15,"")</f>
        <v>4.91386899334201E-005</v>
      </c>
      <c r="F15" s="0" t="str">
        <f aca="false">IF(ISNUMBER(D15)=FALSE(),"to check",IF(ABS(E15)&lt;=0.00005,"reproduced",IF(ABS(E15)&lt;=0.00005*3,"rounding","to check")))</f>
        <v>reproduced</v>
      </c>
    </row>
    <row r="16" customFormat="false" ht="15" hidden="false" customHeight="false" outlineLevel="0" collapsed="false">
      <c r="A16" s="0" t="s">
        <v>188</v>
      </c>
      <c r="B16" s="4" t="s">
        <v>195</v>
      </c>
      <c r="C16" s="38" t="n">
        <v>0.0342</v>
      </c>
      <c r="D16" s="38" t="n">
        <f aca="false">'3. Asking price to bid'!C64</f>
        <v>0.034190062844336</v>
      </c>
      <c r="E16" s="38" t="n">
        <f aca="false">IF(ISNUMBER(D16),D16-C16,"")</f>
        <v>-9.93715566400405E-006</v>
      </c>
      <c r="F16" s="0" t="str">
        <f aca="false">IF(ISNUMBER(D16)=FALSE(),"to check",IF(ABS(E16)&lt;=0.00005,"reproduced",IF(ABS(E16)&lt;=0.00005*3,"rounding","to check")))</f>
        <v>reproduced</v>
      </c>
    </row>
    <row r="17" customFormat="false" ht="15" hidden="false" customHeight="false" outlineLevel="0" collapsed="false">
      <c r="A17" s="0" t="s">
        <v>188</v>
      </c>
      <c r="B17" s="4" t="s">
        <v>38</v>
      </c>
      <c r="C17" s="38" t="n">
        <v>0.0212</v>
      </c>
      <c r="D17" s="38" t="n">
        <f aca="false">'3. Asking price to bid'!C65</f>
        <v>0.0212204542796103</v>
      </c>
      <c r="E17" s="38" t="n">
        <f aca="false">IF(ISNUMBER(D17),D17-C17,"")</f>
        <v>2.04542796102512E-005</v>
      </c>
      <c r="F17" s="0" t="str">
        <f aca="false">IF(ISNUMBER(D17)=FALSE(),"to check",IF(ABS(E17)&lt;=0.00005,"reproduced",IF(ABS(E17)&lt;=0.00005*3,"rounding","to check")))</f>
        <v>reproduced</v>
      </c>
    </row>
    <row r="18" customFormat="false" ht="15" hidden="false" customHeight="false" outlineLevel="0" collapsed="false">
      <c r="A18" s="0" t="s">
        <v>188</v>
      </c>
      <c r="B18" s="4" t="s">
        <v>35</v>
      </c>
      <c r="C18" s="38" t="n">
        <v>0.0569</v>
      </c>
      <c r="D18" s="38" t="n">
        <f aca="false">'3. Asking price to bid'!C60</f>
        <v>0.056899243501809</v>
      </c>
      <c r="E18" s="38" t="n">
        <f aca="false">IF(ISNUMBER(D18),D18-C18,"")</f>
        <v>-7.56498191041566E-007</v>
      </c>
      <c r="F18" s="0" t="str">
        <f aca="false">IF(ISNUMBER(D18)=FALSE(),"to check",IF(ABS(E18)&lt;=0.00005,"reproduced",IF(ABS(E18)&lt;=0.00005*3,"rounding","to check")))</f>
        <v>reproduced</v>
      </c>
    </row>
    <row r="19" customFormat="false" ht="15" hidden="false" customHeight="false" outlineLevel="0" collapsed="false">
      <c r="A19" s="0" t="s">
        <v>188</v>
      </c>
      <c r="B19" s="4" t="s">
        <v>36</v>
      </c>
      <c r="C19" s="38" t="n">
        <v>0.0731</v>
      </c>
      <c r="D19" s="38" t="n">
        <f aca="false">'3. Asking price to bid'!C61</f>
        <v>0.0730567818966336</v>
      </c>
      <c r="E19" s="38" t="n">
        <f aca="false">IF(ISNUMBER(D19),D19-C19,"")</f>
        <v>-4.32181033664519E-005</v>
      </c>
      <c r="F19" s="0" t="str">
        <f aca="false">IF(ISNUMBER(D19)=FALSE(),"to check",IF(ABS(E19)&lt;=0.00005,"reproduced",IF(ABS(E19)&lt;=0.00005*3,"rounding","to check")))</f>
        <v>reproduced</v>
      </c>
    </row>
    <row r="20" customFormat="false" ht="15" hidden="false" customHeight="false" outlineLevel="0" collapsed="false">
      <c r="A20" s="0" t="s">
        <v>188</v>
      </c>
      <c r="B20" s="4" t="s">
        <v>15</v>
      </c>
      <c r="C20" s="38" t="n">
        <v>0.8311</v>
      </c>
      <c r="D20" s="38" t="n">
        <f aca="false">'3. Asking price to bid'!C63</f>
        <v>0.831123877197646</v>
      </c>
      <c r="E20" s="38" t="n">
        <f aca="false">IF(ISNUMBER(D20),D20-C20,"")</f>
        <v>2.38771976459606E-005</v>
      </c>
      <c r="F20" s="0" t="str">
        <f aca="false">IF(ISNUMBER(D20)=FALSE(),"to check",IF(ABS(E20)&lt;=0.00005,"reproduced",IF(ABS(E20)&lt;=0.00005*3,"rounding","to check")))</f>
        <v>reproduced</v>
      </c>
    </row>
    <row r="21" customFormat="false" ht="28.35" hidden="false" customHeight="false" outlineLevel="0" collapsed="false">
      <c r="A21" s="0" t="s">
        <v>196</v>
      </c>
      <c r="B21" s="4" t="s">
        <v>197</v>
      </c>
      <c r="C21" s="38" t="n">
        <v>0.056</v>
      </c>
      <c r="D21" s="38" t="n">
        <f aca="false">'2. The asset'!B43</f>
        <v>0.0560489316876547</v>
      </c>
      <c r="E21" s="38" t="n">
        <f aca="false">IF(ISNUMBER(D21),D21-C21,"")</f>
        <v>4.89316876547269E-005</v>
      </c>
      <c r="F21" s="0" t="str">
        <f aca="false">IF(ISNUMBER(D21)=FALSE(),"to check",IF(ABS(E21)&lt;=0.00005,"reproduced",IF(ABS(E21)&lt;=0.00005*3,"rounding","to check")))</f>
        <v>reproduced</v>
      </c>
    </row>
    <row r="22" customFormat="false" ht="15" hidden="false" customHeight="false" outlineLevel="0" collapsed="false">
      <c r="A22" s="0" t="s">
        <v>196</v>
      </c>
      <c r="B22" s="4" t="s">
        <v>198</v>
      </c>
      <c r="C22" s="0" t="n">
        <v>16</v>
      </c>
      <c r="D22" s="39" t="n">
        <f aca="false">'2. The asset'!B44</f>
        <v>15.9917721812555</v>
      </c>
      <c r="E22" s="36" t="n">
        <f aca="false">IF(ISNUMBER(D22),D22-C22,"")</f>
        <v>-0.00822781874446044</v>
      </c>
      <c r="F22" s="0" t="str">
        <f aca="false">IF(ISNUMBER(D22)=FALSE(),"to check",IF(ABS(E22)&lt;=0.05,"reproduced",IF(ABS(E22)&lt;=0.05*3,"rounding","to check")))</f>
        <v>reproduced</v>
      </c>
    </row>
    <row r="23" customFormat="false" ht="15" hidden="false" customHeight="false" outlineLevel="0" collapsed="false">
      <c r="A23" s="0" t="s">
        <v>199</v>
      </c>
      <c r="B23" s="4" t="s">
        <v>200</v>
      </c>
      <c r="D23" s="0" t="str">
        <f aca="false">IF(AND(ABS('3. Asking price to bid'!E119)&lt;1,ABS('3. Asking price to bid'!J119)&lt;1),"OK","CHECK")</f>
        <v>OK</v>
      </c>
      <c r="F23" s="0" t="str">
        <f aca="false">IF(D23="","",IF(D23="OK","reproduced",IF(RIGHT(D23,7)="to fill","to fill","to check")))</f>
        <v>reproduced</v>
      </c>
    </row>
    <row r="24" customFormat="false" ht="28.35" hidden="false" customHeight="false" outlineLevel="0" collapsed="false">
      <c r="A24" s="0" t="s">
        <v>199</v>
      </c>
      <c r="B24" s="4" t="s">
        <v>201</v>
      </c>
      <c r="D24" s="0" t="str">
        <f aca="false">IF(ABS('3. Asking price to bid'!C31+('3. Asking price to bid'!C18/'3. Asking price to bid'!C60*(1-'2. The asset'!B33)+'3. Asking price to bid'!C22)/(1+'2. The asset'!B29)^'2. The asset'!B34-'2. The asset'!B17)&lt;0.000001,"OK","CHECK")</f>
        <v>OK</v>
      </c>
      <c r="F24" s="0" t="str">
        <f aca="false">IF(D24="","",IF(D24="OK","reproduced",IF(RIGHT(D24,7)="to fill","to fill","to check")))</f>
        <v>reproduced</v>
      </c>
    </row>
    <row r="26" customFormat="false" ht="15" hidden="false" customHeight="false" outlineLevel="0" collapsed="false">
      <c r="A26" s="14" t="s">
        <v>202</v>
      </c>
      <c r="C26" s="36" t="n">
        <f aca="false">COUNTIF(F5:F24,"reproduced")</f>
        <v>20</v>
      </c>
    </row>
    <row r="27" customFormat="false" ht="15" hidden="false" customHeight="false" outlineLevel="0" collapsed="false">
      <c r="A27" s="14" t="s">
        <v>203</v>
      </c>
      <c r="C27" s="36" t="n">
        <f aca="false">20-C26</f>
        <v>0</v>
      </c>
    </row>
    <row r="28" customFormat="false" ht="15" hidden="false" customHeight="false" outlineLevel="0" collapsed="false">
      <c r="A28" s="14" t="s">
        <v>204</v>
      </c>
      <c r="C28" s="14" t="str">
        <f aca="false">IF(C26=20,"ALL OK",IF(COUNTIF(F5:F24,"to check")+COUNTIF(F5:F24,"rounding")=0,"INPUTS MISSING","SOME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2026-08-26T15:48:02Z</dcterms:created>
  <dc:creator>openpyxl</dc:creator>
  <dc:description/>
  <dc:language>en-US</dc:language>
  <cp:lastModifiedBy/>
  <dcterms:modified xsi:type="dcterms:W3CDTF">2026-09-23T23:34:11Z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