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600" firstSheet="0" activeTab="0"/>
  </bookViews>
  <sheets>
    <sheet name="Read me" sheetId="1" state="visible" r:id="rId3"/>
    <sheet name="2. Your response curve" sheetId="2" state="visible" r:id="rId4"/>
    <sheet name="3. The decision" sheetId="3" state="visible" r:id="rId5"/>
    <sheet name="4. Search" sheetId="4" state="visible" r:id="rId6"/>
    <sheet name="5. Checks" sheetId="5" state="visible" r:id="rId7"/>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<sst xmlns="http://schemas.openxmlformats.org/spreadsheetml/2006/main" count="286" uniqueCount="173">
  <si>
    <t xml:space="preserve">The Rate Increase Planner</t>
  </si>
  <si>
    <t xml:space="preserve">Companion workbook to Self-Storage Real Estate</t>
  </si>
  <si>
    <t xml:space="preserve">What this is</t>
  </si>
  <si>
    <t xml:space="preserve">The decision of Chapters 4 and 5, laid out so that you can put your own response curve into it instead of the book's.</t>
  </si>
  <si>
    <t xml:space="preserve">Raising the rate on existing customers pays immediately and costs later: some leave, they have to be replaced, and the replacement arrives on the promotional rate. This sheet computes both sides.</t>
  </si>
  <si>
    <t xml:space="preserve">How to use it</t>
  </si>
  <si>
    <t xml:space="preserve">Fill sheet 2 with your own move-out counts in the month after each increase cycle, against a baseline month. That gives you the induced departure rate — the one number in self-storage that nobody publishes and that decides everything.</t>
  </si>
  <si>
    <t xml:space="preserve">Sheet 3 then solves for the increase that maximises net operating income, shows how flat the answer is either side of it, and repeats the search under four other beliefs about the response (sheet 4).</t>
  </si>
  <si>
    <t xml:space="preserve">If you cannot fill sheet 2, the book's figures are used. Treat them as a placeholder, not as a benchmark. Sheet 5 checks the file against Chapter 5.</t>
  </si>
  <si>
    <t xml:space="preserve">The one thing to remember</t>
  </si>
  <si>
    <t xml:space="preserve">The cost of an increase does not appear as lost occupancy. A competent operator replaces the leavers and holds the occupancy target. What changes is the AGE of the customer base — younger, more discounted, further from the cap. A dashboard that watches occupancy sees nothing at all.</t>
  </si>
  <si>
    <t xml:space="preserve">Revised 24 September 2026</t>
  </si>
  <si>
    <t xml:space="preserve">Revised 24 September 2026. Sheet 3 held values from the book's model and did not recalculate, so your own response curve could not reach the answer. It is now live: the store is on sheet 3 (pre-filled with the book's), the exponent comes from your cycles on sheet 2 as soon as two sizes have been measured, and sheet 4 searches for the optimum under five beliefs. On the book's figures: 12.82 per cent, worth £23,962 a year.</t>
  </si>
  <si>
    <t xml:space="preserve">One thing the search makes visible: at an exponent of 2.4 the optimum is exactly the increase at which four increases land on the 62 per cent cap (1.62 to the power one quarter, less one). Three of the five beliefs end on such a corner. The cap, a management choice, is doing much of the work.</t>
  </si>
  <si>
    <t xml:space="preserve">Measure it, do not assume it</t>
  </si>
  <si>
    <t xml:space="preserve">One row per increase cycle you have run. Move-outs in the month after the letter, against a comparable baseline month.</t>
  </si>
  <si>
    <t xml:space="preserve">Increase cycle</t>
  </si>
  <si>
    <t xml:space="preserve">Increase applied</t>
  </si>
  <si>
    <t xml:space="preserve">Customers noticed</t>
  </si>
  <si>
    <t xml:space="preserve">Move-outs, month after</t>
  </si>
  <si>
    <t xml:space="preserve">Move-outs, baseline month</t>
  </si>
  <si>
    <t xml:space="preserve">Induced departure rate</t>
  </si>
  <si>
    <t xml:space="preserve">ln(increase / reference)</t>
  </si>
  <si>
    <t xml:space="preserve">ln(induced rate)</t>
  </si>
  <si>
    <t xml:space="preserve">Cycle 1</t>
  </si>
  <si>
    <t xml:space="preserve">Cycle 2</t>
  </si>
  <si>
    <t xml:space="preserve">Cycle 3</t>
  </si>
  <si>
    <t xml:space="preserve">Cycle 4</t>
  </si>
  <si>
    <t xml:space="preserve">Cycle 5</t>
  </si>
  <si>
    <t xml:space="preserve">Cycle 6</t>
  </si>
  <si>
    <t xml:space="preserve">Cycle 7</t>
  </si>
  <si>
    <t xml:space="preserve">Cycle 8</t>
  </si>
  <si>
    <t xml:space="preserve">Cycle 9</t>
  </si>
  <si>
    <t xml:space="preserve">Cycle 10</t>
  </si>
  <si>
    <t xml:space="preserve">Cycle 11</t>
  </si>
  <si>
    <t xml:space="preserve">Cycle 12</t>
  </si>
  <si>
    <t xml:space="preserve">Weighted induced departure rate</t>
  </si>
  <si>
    <t xml:space="preserve">If you have no data, the book's figures:</t>
  </si>
  <si>
    <t xml:space="preserve">Induced departure rate at that increase</t>
  </si>
  <si>
    <t xml:space="preserve">Response exponent — how convex the curve is</t>
  </si>
  <si>
    <t xml:space="preserve">Background departure hazard, per month</t>
  </si>
  <si>
    <t xml:space="preserve">⚠ Two cycles at different increase sizes are the minimum to estimate the exponent; a third tests whether the curve really has this shape. Cycles at the same size tell you nothing about it.</t>
  </si>
  <si>
    <t xml:space="preserve">What sheet 3 uses</t>
  </si>
  <si>
    <t xml:space="preserve">Cycles usable for the fit (positive induced rate)</t>
  </si>
  <si>
    <t xml:space="preserve">Distinct increase sizes among them</t>
  </si>
  <si>
    <t xml:space="preserve">Exponent fitted from your cycles</t>
  </si>
  <si>
    <t xml:space="preserve">Induced rate at the reference increase, fitted</t>
  </si>
  <si>
    <t xml:space="preserve">Exponent used on sheet 3</t>
  </si>
  <si>
    <t xml:space="preserve">Your fit when two sizes have been measured; the book's 2.4 otherwise.</t>
  </si>
  <si>
    <t xml:space="preserve">Induced rate at the reference used on sheet 3</t>
  </si>
  <si>
    <t xml:space="preserve">What each increase is worth, all in</t>
  </si>
  <si>
    <t xml:space="preserve">Live. The cohort engine of the model workbook, summed in closed form; occupancy is held, so the cost of an increase shows up as younger customers and more move-ins, not as empty units.</t>
  </si>
  <si>
    <t xml:space="preserve">The store (the book's, pre-filled)</t>
  </si>
  <si>
    <t xml:space="preserve">Units</t>
  </si>
  <si>
    <t xml:space="preserve">Average unit size, sq ft</t>
  </si>
  <si>
    <t xml:space="preserve">Advertised rate, £/sq ft/yr</t>
  </si>
  <si>
    <t xml:space="preserve">Occupancy held</t>
  </si>
  <si>
    <t xml:space="preserve">Move-in discount</t>
  </si>
  <si>
    <t xml:space="preserve">Discount duration, weeks (up to thirteen)</t>
  </si>
  <si>
    <t xml:space="preserve">First increase, months after move-in</t>
  </si>
  <si>
    <t xml:space="preserve">Interval between increases, months</t>
  </si>
  <si>
    <t xml:space="preserve">Cap, in-place over advertised</t>
  </si>
  <si>
    <t xml:space="preserve">Departure hazard, first month</t>
  </si>
  <si>
    <t xml:space="preserve">Maximum induced departure</t>
  </si>
  <si>
    <t xml:space="preserve">Increase currently applied</t>
  </si>
  <si>
    <t xml:space="preserve">Fixed costs, £/yr</t>
  </si>
  <si>
    <t xml:space="preserve">Rates, staff, energy, repairs, insurance, other property costs, software</t>
  </si>
  <si>
    <t xml:space="preserve">Marketing, £ per move-in</t>
  </si>
  <si>
    <t xml:space="preserve">Per CUSTOMER: a shorter stay costs more marketing</t>
  </si>
  <si>
    <t xml:space="preserve">Protection income, share of rent</t>
  </si>
  <si>
    <t xml:space="preserve">Box sales, share of rent</t>
  </si>
  <si>
    <t xml:space="preserve">Margin on box sales</t>
  </si>
  <si>
    <t xml:space="preserve">Late fees, share of rent</t>
  </si>
  <si>
    <t xml:space="preserve">Bad debt, share of rent</t>
  </si>
  <si>
    <t xml:space="preserve">Card and payment fees, share of revenue</t>
  </si>
  <si>
    <t xml:space="preserve">Management fee, share of revenue</t>
  </si>
  <si>
    <t xml:space="preserve">Initial yield, to put a value on a gain</t>
  </si>
  <si>
    <t xml:space="preserve">Background departure hazard (sheet 2)</t>
  </si>
  <si>
    <t xml:space="preserve">Reference increase (sheet 2)</t>
  </si>
  <si>
    <t xml:space="preserve">Induced departure at the reference (sheet 2)</t>
  </si>
  <si>
    <t xml:space="preserve">Response exponent used (sheet 2)</t>
  </si>
  <si>
    <t xml:space="preserve">Length of stay, months</t>
  </si>
  <si>
    <t xml:space="preserve">Move-ins needed each month</t>
  </si>
  <si>
    <t xml:space="preserve">In-place rate, £/sq ft</t>
  </si>
  <si>
    <t xml:space="preserve">Net operating income</t>
  </si>
  <si>
    <t xml:space="preserve">Versus current policy</t>
  </si>
  <si>
    <t xml:space="preserve">Columns I to X: the closed form, row by row</t>
  </si>
  <si>
    <t xml:space="preserve">The answer</t>
  </si>
  <si>
    <t xml:space="preserve">Increase that maximises net operating income</t>
  </si>
  <si>
    <t xml:space="preserve">Net operating income there</t>
  </si>
  <si>
    <t xml:space="preserve">Worth, against the current policy, a year</t>
  </si>
  <si>
    <t xml:space="preserve">In value, at the initial yield</t>
  </si>
  <si>
    <t xml:space="preserve">Three points above the optimum: net operating income</t>
  </si>
  <si>
    <t xml:space="preserve">  cost of overshooting by three points, a year</t>
  </si>
  <si>
    <t xml:space="preserve">  as a share of the income at the optimum</t>
  </si>
  <si>
    <t xml:space="preserve">Increases it takes to reach the cap at the optimum</t>
  </si>
  <si>
    <t xml:space="preserve">A whole number means the optimum sits exactly where that many increases land on the cap: a corner of the curve, not a smooth top.</t>
  </si>
  <si>
    <t xml:space="preserve">Under five beliefs about the response</t>
  </si>
  <si>
    <t xml:space="preserve">Response exponent</t>
  </si>
  <si>
    <t xml:space="preserve">Increase that maximises income</t>
  </si>
  <si>
    <t xml:space="preserve">A third softer</t>
  </si>
  <si>
    <t xml:space="preserve">Softer</t>
  </si>
  <si>
    <t xml:space="preserve">As used</t>
  </si>
  <si>
    <t xml:space="preserve">Sharper</t>
  </si>
  <si>
    <t xml:space="preserve">Half again as sharp</t>
  </si>
  <si>
    <t xml:space="preserve">The magnitude does not survive; the direction does, if every optimum in column C lies above the increase on row 16.</t>
  </si>
  <si>
    <t xml:space="preserve">The search, under five beliefs about the response</t>
  </si>
  <si>
    <t xml:space="preserve">Each block tries every quarter point from 0 to 30 per cent, the increases at which a whole number of increases lands on the cap, and the vertex of the parabola through the grid maximum.</t>
  </si>
  <si>
    <t xml:space="preserve">Exponent: a third softer</t>
  </si>
  <si>
    <t xml:space="preserve">e</t>
  </si>
  <si>
    <t xml:space="preserve">ind</t>
  </si>
  <si>
    <t xml:space="preserve">q</t>
  </si>
  <si>
    <t xml:space="preserve">W</t>
  </si>
  <si>
    <t xml:space="preserve">SF</t>
  </si>
  <si>
    <t xml:space="preserve">Lpre</t>
  </si>
  <si>
    <t xml:space="preserve">D</t>
  </si>
  <si>
    <t xml:space="preserve">cstar</t>
  </si>
  <si>
    <t xml:space="preserve">sigma</t>
  </si>
  <si>
    <t xml:space="preserve">L</t>
  </si>
  <si>
    <t xml:space="preserve">R</t>
  </si>
  <si>
    <t xml:space="preserve">mi</t>
  </si>
  <si>
    <t xml:space="preserve">rent</t>
  </si>
  <si>
    <t xml:space="preserve">rev</t>
  </si>
  <si>
    <t xml:space="preserve">costs</t>
  </si>
  <si>
    <t xml:space="preserve">NOI</t>
  </si>
  <si>
    <t xml:space="preserve">Length of stay there, months</t>
  </si>
  <si>
    <t xml:space="preserve">Grid maximum inside the range (not at 0 or 30 per cent)</t>
  </si>
  <si>
    <t xml:space="preserve">Exponent: softer</t>
  </si>
  <si>
    <t xml:space="preserve">Exponent: as used</t>
  </si>
  <si>
    <t xml:space="preserve">Exponent: sharper</t>
  </si>
  <si>
    <t xml:space="preserve">Exponent: half again as sharp</t>
  </si>
  <si>
    <t xml:space="preserve">Checks: the planner against the book</t>
  </si>
  <si>
    <t xml:space="preserve">Column D is a live formula pointing into the workbook. A tolerance is the precision at which the book prints the figure; rows without a printed figure hold for any inputs.</t>
  </si>
  <si>
    <t xml:space="preserve">Source</t>
  </si>
  <si>
    <t xml:space="preserve">Figure</t>
  </si>
  <si>
    <t xml:space="preserve">Printed</t>
  </si>
  <si>
    <t xml:space="preserve">Computed</t>
  </si>
  <si>
    <t xml:space="preserve">Variance</t>
  </si>
  <si>
    <t xml:space="preserve">Status</t>
  </si>
  <si>
    <t xml:space="preserve">Ch. 5</t>
  </si>
  <si>
    <t xml:space="preserve">Net operating income at the current increase</t>
  </si>
  <si>
    <t xml:space="preserve">No increase policy: net operating income</t>
  </si>
  <si>
    <t xml:space="preserve">No increase policy: length of stay, months</t>
  </si>
  <si>
    <t xml:space="preserve">4 per cent: net operating income</t>
  </si>
  <si>
    <t xml:space="preserve">16 per cent: net operating income</t>
  </si>
  <si>
    <t xml:space="preserve">20 per cent: net operating income</t>
  </si>
  <si>
    <t xml:space="preserve">25 per cent: net operating income</t>
  </si>
  <si>
    <t xml:space="preserve">Its net operating income</t>
  </si>
  <si>
    <t xml:space="preserve">Gain over the current policy</t>
  </si>
  <si>
    <t xml:space="preserve">Three points above the optimum costs</t>
  </si>
  <si>
    <t xml:space="preserve">  as a share of income at the optimum</t>
  </si>
  <si>
    <t xml:space="preserve">Belief "a third softer": optimum</t>
  </si>
  <si>
    <t xml:space="preserve">Belief "a third softer": net operating income</t>
  </si>
  <si>
    <t xml:space="preserve">Search</t>
  </si>
  <si>
    <t xml:space="preserve">Belief "a third softer": the grid maximum is inside the range</t>
  </si>
  <si>
    <t xml:space="preserve">Belief "softer": optimum</t>
  </si>
  <si>
    <t xml:space="preserve">Belief "softer": net operating income</t>
  </si>
  <si>
    <t xml:space="preserve">Belief "softer": the grid maximum is inside the range</t>
  </si>
  <si>
    <t xml:space="preserve">Belief "as used": optimum</t>
  </si>
  <si>
    <t xml:space="preserve">Belief "as used": net operating income</t>
  </si>
  <si>
    <t xml:space="preserve">Belief "as used": the grid maximum is inside the range</t>
  </si>
  <si>
    <t xml:space="preserve">Belief "sharper": optimum</t>
  </si>
  <si>
    <t xml:space="preserve">Belief "sharper": net operating income</t>
  </si>
  <si>
    <t xml:space="preserve">Belief "sharper": the grid maximum is inside the range</t>
  </si>
  <si>
    <t xml:space="preserve">Belief "half again as sharp": optimum</t>
  </si>
  <si>
    <t xml:space="preserve">Belief "half again as sharp": net operating income</t>
  </si>
  <si>
    <t xml:space="preserve">Belief "half again as sharp": the grid maximum is inside the range</t>
  </si>
  <si>
    <t xml:space="preserve">Under every belief the optimum lies above the current increase</t>
  </si>
  <si>
    <t xml:space="preserve">Sheet 2</t>
  </si>
  <si>
    <t xml:space="preserve">With no cycles entered, sheet 3 uses the book's exponent</t>
  </si>
  <si>
    <t xml:space="preserve">Lines reproduced</t>
  </si>
  <si>
    <t xml:space="preserve">Lines to check, or waiting for inputs</t>
  </si>
  <si>
    <t xml:space="preserve">All checks</t>
  </si>
</sst>
</file>

<file path=xl/styles.xml><?xml version="1.0" encoding="utf-8"?>
<styleSheet xmlns="http://schemas.openxmlformats.org/spreadsheetml/2006/main">
  <numFmts count="12">
    <numFmt numFmtId="164" formatCode="General"/>
    <numFmt numFmtId="165" formatCode="0.0%"/>
    <numFmt numFmtId="166" formatCode="0.000"/>
    <numFmt numFmtId="167" formatCode="0.00"/>
    <numFmt numFmtId="168" formatCode="0"/>
    <numFmt numFmtId="169" formatCode="\£0.00"/>
    <numFmt numFmtId="170" formatCode="0%"/>
    <numFmt numFmtId="171" formatCode="\£#,##0"/>
    <numFmt numFmtId="172" formatCode="0.00%"/>
    <numFmt numFmtId="173" formatCode="0.0"/>
    <numFmt numFmtId="174" formatCode="#,##0"/>
    <numFmt numFmtId="175" formatCode="General"/>
  </numFmts>
  <fonts count="12">
    <font>
      <sz val="11"/>
      <color theme="1"/>
      <name val="Calibri"/>
      <family val="2"/>
      <charset val="1"/>
    </font>
    <font>
      <sz val="10"/>
      <name val="Arial"/>
      <family val="0"/>
    </font>
    <font>
      <sz val="10"/>
      <name val="Arial"/>
      <family val="0"/>
    </font>
    <font>
      <sz val="10"/>
      <name val="Arial"/>
      <family val="0"/>
    </font>
    <font>
      <b val="true"/>
      <sz val="14"/>
      <color rgb="FF1F3864"/>
      <name val="Cambria"/>
      <family val="0"/>
      <charset val="1"/>
    </font>
    <font>
      <sz val="9"/>
      <color rgb="FF555555"/>
      <name val="Cambria"/>
      <family val="0"/>
      <charset val="1"/>
    </font>
    <font>
      <b val="true"/>
      <sz val="10"/>
      <color rgb="FF1F3864"/>
      <name val="Cambria"/>
      <family val="0"/>
      <charset val="1"/>
    </font>
    <font>
      <b val="true"/>
      <sz val="13"/>
      <color rgb="FF1F3864"/>
      <name val="Cambria"/>
      <family val="0"/>
      <charset val="1"/>
    </font>
    <font>
      <b val="true"/>
      <sz val="11"/>
      <name val="Cambria"/>
      <family val="0"/>
      <charset val="1"/>
    </font>
    <font>
      <sz val="11"/>
      <color rgb="FF1F4E79"/>
      <name val="Cambria"/>
      <family val="0"/>
      <charset val="1"/>
    </font>
    <font>
      <sz val="11"/>
      <name val="Cambria"/>
      <family val="0"/>
      <charset val="1"/>
    </font>
    <font>
      <b val="true"/>
      <sz val="11"/>
      <color rgb="FF1F4E79"/>
      <name val="Cambria"/>
      <family val="0"/>
      <charset val="1"/>
    </font>
  </fonts>
  <fills count="4">
    <fill>
      <patternFill patternType="none"/>
    </fill>
    <fill>
      <patternFill patternType="gray125"/>
    </fill>
    <fill>
      <patternFill patternType="solid">
        <fgColor rgb="FFDCE9F7"/>
        <bgColor rgb="FFCCFFFF"/>
      </patternFill>
    </fill>
    <fill>
      <patternFill patternType="solid">
        <fgColor rgb="FFFFF2CC"/>
        <bgColor rgb="FFFFFFFF"/>
      </patternFill>
    </fill>
  </fills>
  <borders count="3">
    <border diagonalUp="false" diagonalDown="false">
      <left/>
      <right/>
      <top/>
      <bottom/>
      <diagonal/>
    </border>
    <border diagonalUp="false" diagonalDown="false">
      <left/>
      <right/>
      <top/>
      <bottom style="thin">
        <color rgb="FFAAAAAA"/>
      </bottom>
      <diagonal/>
    </border>
    <border diagonalUp="false" diagonalDown="false">
      <left/>
      <right/>
      <top/>
      <bottom style="thin"/>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9">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0" fillId="0" borderId="0" xfId="0" applyFont="true" applyBorder="false" applyAlignment="true" applyProtection="false">
      <alignment horizontal="general" vertical="top" textRotation="0" wrapText="tru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true" applyProtection="false">
      <alignment horizontal="general" vertical="bottom" textRotation="0" wrapText="true" indent="0" shrinkToFit="false"/>
      <protection locked="true" hidden="false"/>
    </xf>
    <xf numFmtId="164" fontId="8" fillId="0" borderId="1" xfId="0" applyFont="true" applyBorder="true" applyAlignment="true" applyProtection="false">
      <alignment horizontal="general" vertical="bottom" textRotation="0" wrapText="true" indent="0" shrinkToFit="false"/>
      <protection locked="true" hidden="false"/>
    </xf>
    <xf numFmtId="164" fontId="8" fillId="0" borderId="1" xfId="0" applyFont="true" applyBorder="true" applyAlignment="false" applyProtection="false">
      <alignment horizontal="general" vertical="bottom" textRotation="0" wrapText="false" indent="0" shrinkToFit="false"/>
      <protection locked="true" hidden="false"/>
    </xf>
    <xf numFmtId="165" fontId="9" fillId="2" borderId="0" xfId="0" applyFont="true" applyBorder="false" applyAlignment="false" applyProtection="false">
      <alignment horizontal="general" vertical="bottom" textRotation="0" wrapText="false" indent="0" shrinkToFit="false"/>
      <protection locked="true" hidden="false"/>
    </xf>
    <xf numFmtId="164" fontId="9" fillId="2" borderId="0" xfId="0" applyFont="true" applyBorder="false" applyAlignment="false" applyProtection="false">
      <alignment horizontal="general" vertical="bottom" textRotation="0" wrapText="false" indent="0" shrinkToFit="false"/>
      <protection locked="true" hidden="false"/>
    </xf>
    <xf numFmtId="165" fontId="0" fillId="0" borderId="0" xfId="0" applyFont="false" applyBorder="false" applyAlignment="false" applyProtection="false">
      <alignment horizontal="general" vertical="bottom" textRotation="0" wrapText="false" indent="0" shrinkToFit="false"/>
      <protection locked="true" hidden="false"/>
    </xf>
    <xf numFmtId="166" fontId="10" fillId="0" borderId="0" xfId="0" applyFont="true" applyBorder="false" applyAlignment="false" applyProtection="false">
      <alignment horizontal="general" vertical="bottom" textRotation="0" wrapText="fals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7" fontId="11" fillId="3" borderId="0" xfId="0" applyFont="true" applyBorder="false" applyAlignment="false" applyProtection="false">
      <alignment horizontal="general" vertical="bottom" textRotation="0" wrapText="false" indent="0" shrinkToFit="false"/>
      <protection locked="true" hidden="false"/>
    </xf>
    <xf numFmtId="164" fontId="10" fillId="0" borderId="0" xfId="0" applyFont="true" applyBorder="false" applyAlignment="false" applyProtection="false">
      <alignment horizontal="general" vertical="bottom" textRotation="0" wrapText="false" indent="0" shrinkToFit="false"/>
      <protection locked="true" hidden="false"/>
    </xf>
    <xf numFmtId="168" fontId="10" fillId="0" borderId="0" xfId="0" applyFont="true" applyBorder="false" applyAlignment="false" applyProtection="false">
      <alignment horizontal="general" vertical="bottom" textRotation="0" wrapText="false" indent="0" shrinkToFit="false"/>
      <protection locked="true" hidden="false"/>
    </xf>
    <xf numFmtId="167" fontId="10" fillId="0" borderId="0" xfId="0" applyFont="true" applyBorder="false" applyAlignment="false" applyProtection="false">
      <alignment horizontal="general" vertical="bottom" textRotation="0" wrapText="false" indent="0" shrinkToFit="false"/>
      <protection locked="true" hidden="false"/>
    </xf>
    <xf numFmtId="165" fontId="10" fillId="0" borderId="0" xfId="0" applyFont="true" applyBorder="false" applyAlignment="false" applyProtection="false">
      <alignment horizontal="general" vertical="bottom" textRotation="0" wrapText="false" indent="0" shrinkToFit="false"/>
      <protection locked="true" hidden="false"/>
    </xf>
    <xf numFmtId="167" fontId="8" fillId="0" borderId="0" xfId="0" applyFont="true" applyBorder="false" applyAlignment="false" applyProtection="false">
      <alignment horizontal="general" vertical="bottom" textRotation="0" wrapText="false" indent="0" shrinkToFit="false"/>
      <protection locked="true" hidden="false"/>
    </xf>
    <xf numFmtId="165" fontId="8" fillId="0" borderId="0" xfId="0" applyFont="true" applyBorder="false" applyAlignment="false" applyProtection="false">
      <alignment horizontal="general" vertical="bottom" textRotation="0" wrapText="false" indent="0" shrinkToFit="false"/>
      <protection locked="true" hidden="false"/>
    </xf>
    <xf numFmtId="168" fontId="9" fillId="2" borderId="0" xfId="0" applyFont="true" applyBorder="false" applyAlignment="false" applyProtection="false">
      <alignment horizontal="general" vertical="bottom" textRotation="0" wrapText="false" indent="0" shrinkToFit="false"/>
      <protection locked="true" hidden="false"/>
    </xf>
    <xf numFmtId="167" fontId="9" fillId="2" borderId="0" xfId="0" applyFont="true" applyBorder="false" applyAlignment="false" applyProtection="false">
      <alignment horizontal="general" vertical="bottom" textRotation="0" wrapText="false" indent="0" shrinkToFit="false"/>
      <protection locked="true" hidden="false"/>
    </xf>
    <xf numFmtId="169" fontId="9" fillId="2" borderId="0" xfId="0" applyFont="true" applyBorder="false" applyAlignment="false" applyProtection="false">
      <alignment horizontal="general" vertical="bottom" textRotation="0" wrapText="false" indent="0" shrinkToFit="false"/>
      <protection locked="true" hidden="false"/>
    </xf>
    <xf numFmtId="170" fontId="9" fillId="2" borderId="0" xfId="0" applyFont="true" applyBorder="false" applyAlignment="false" applyProtection="false">
      <alignment horizontal="general" vertical="bottom" textRotation="0" wrapText="false" indent="0" shrinkToFit="false"/>
      <protection locked="true" hidden="false"/>
    </xf>
    <xf numFmtId="171" fontId="9" fillId="2" borderId="0" xfId="0" applyFont="true" applyBorder="false" applyAlignment="false" applyProtection="false">
      <alignment horizontal="general" vertical="bottom" textRotation="0" wrapText="false" indent="0" shrinkToFit="false"/>
      <protection locked="true" hidden="false"/>
    </xf>
    <xf numFmtId="172" fontId="9" fillId="2" borderId="0" xfId="0" applyFont="true" applyBorder="false" applyAlignment="false" applyProtection="false">
      <alignment horizontal="general" vertical="bottom" textRotation="0" wrapText="false" indent="0" shrinkToFit="false"/>
      <protection locked="true" hidden="false"/>
    </xf>
    <xf numFmtId="172" fontId="10" fillId="0" borderId="0" xfId="0" applyFont="true" applyBorder="false" applyAlignment="false" applyProtection="false">
      <alignment horizontal="general" vertical="bottom" textRotation="0" wrapText="false" indent="0" shrinkToFit="false"/>
      <protection locked="true" hidden="false"/>
    </xf>
    <xf numFmtId="164" fontId="8" fillId="0" borderId="2" xfId="0" applyFont="true" applyBorder="true" applyAlignment="true" applyProtection="false">
      <alignment horizontal="general" vertical="bottom" textRotation="0" wrapText="true" indent="0" shrinkToFit="false"/>
      <protection locked="true" hidden="false"/>
    </xf>
    <xf numFmtId="173" fontId="10" fillId="0" borderId="0" xfId="0" applyFont="true" applyBorder="false" applyAlignment="false" applyProtection="false">
      <alignment horizontal="general" vertical="bottom" textRotation="0" wrapText="false" indent="0" shrinkToFit="false"/>
      <protection locked="true" hidden="false"/>
    </xf>
    <xf numFmtId="169" fontId="10" fillId="0" borderId="0" xfId="0" applyFont="true" applyBorder="false" applyAlignment="false" applyProtection="false">
      <alignment horizontal="general" vertical="bottom" textRotation="0" wrapText="false" indent="0" shrinkToFit="false"/>
      <protection locked="true" hidden="false"/>
    </xf>
    <xf numFmtId="171" fontId="10" fillId="0" borderId="0" xfId="0" applyFont="true" applyBorder="false" applyAlignment="false" applyProtection="false">
      <alignment horizontal="general" vertical="bottom" textRotation="0" wrapText="false" indent="0" shrinkToFit="false"/>
      <protection locked="true" hidden="false"/>
    </xf>
    <xf numFmtId="171" fontId="8" fillId="0" borderId="0" xfId="0" applyFont="true" applyBorder="false" applyAlignment="false" applyProtection="false">
      <alignment horizontal="general" vertical="bottom" textRotation="0" wrapText="false" indent="0" shrinkToFit="false"/>
      <protection locked="true" hidden="false"/>
    </xf>
    <xf numFmtId="172" fontId="8" fillId="0" borderId="0" xfId="0" applyFont="true" applyBorder="false" applyAlignment="false" applyProtection="false">
      <alignment horizontal="general" vertical="bottom" textRotation="0" wrapText="false" indent="0" shrinkToFit="false"/>
      <protection locked="true" hidden="false"/>
    </xf>
    <xf numFmtId="172" fontId="0" fillId="0" borderId="0" xfId="0" applyFont="false" applyBorder="false" applyAlignment="false" applyProtection="false">
      <alignment horizontal="general" vertical="bottom" textRotation="0" wrapText="false" indent="0" shrinkToFit="false"/>
      <protection locked="true" hidden="false"/>
    </xf>
    <xf numFmtId="171" fontId="0" fillId="0" borderId="0" xfId="0" applyFont="false" applyBorder="false" applyAlignment="false" applyProtection="false">
      <alignment horizontal="general" vertical="bottom" textRotation="0" wrapText="false" indent="0" shrinkToFit="false"/>
      <protection locked="true" hidden="false"/>
    </xf>
    <xf numFmtId="167" fontId="0" fillId="0" borderId="0" xfId="0" applyFont="false" applyBorder="false" applyAlignment="false" applyProtection="false">
      <alignment horizontal="general" vertical="bottom" textRotation="0" wrapText="false" indent="0" shrinkToFit="false"/>
      <protection locked="true" hidden="false"/>
    </xf>
    <xf numFmtId="174" fontId="0" fillId="0" borderId="0" xfId="0" applyFont="false" applyBorder="false" applyAlignment="false" applyProtection="false">
      <alignment horizontal="general" vertical="bottom" textRotation="0" wrapText="false" indent="0" shrinkToFit="false"/>
      <protection locked="true" hidden="false"/>
    </xf>
    <xf numFmtId="175" fontId="0" fillId="0" borderId="0" xfId="0" applyFont="fals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2CC"/>
      <rgbColor rgb="FFDCE9F7"/>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555555"/>
      <rgbColor rgb="FFAAAAAA"/>
      <rgbColor rgb="FF1F3864"/>
      <rgbColor rgb="FF339966"/>
      <rgbColor rgb="FF003300"/>
      <rgbColor rgb="FF333300"/>
      <rgbColor rgb="FF993300"/>
      <rgbColor rgb="FF993366"/>
      <rgbColor rgb="FF1F4E7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18"/>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108"/>
  </cols>
  <sheetData>
    <row r="1" customFormat="false" ht="17.35" hidden="false" customHeight="false" outlineLevel="0" collapsed="false">
      <c r="A1" s="1" t="s">
        <v>0</v>
      </c>
    </row>
    <row r="2" customFormat="false" ht="15" hidden="false" customHeight="false" outlineLevel="0" collapsed="false">
      <c r="A2" s="2" t="s">
        <v>1</v>
      </c>
    </row>
    <row r="4" customFormat="false" ht="15" hidden="false" customHeight="false" outlineLevel="0" collapsed="false">
      <c r="A4" s="3" t="s">
        <v>2</v>
      </c>
    </row>
    <row r="5" customFormat="false" ht="25.5" hidden="false" customHeight="true" outlineLevel="0" collapsed="false">
      <c r="A5" s="4" t="s">
        <v>3</v>
      </c>
    </row>
    <row r="6" customFormat="false" ht="25.5" hidden="false" customHeight="true" outlineLevel="0" collapsed="false">
      <c r="A6" s="4" t="s">
        <v>4</v>
      </c>
    </row>
    <row r="8" customFormat="false" ht="15" hidden="false" customHeight="false" outlineLevel="0" collapsed="false">
      <c r="A8" s="3" t="s">
        <v>5</v>
      </c>
    </row>
    <row r="9" customFormat="false" ht="39" hidden="false" customHeight="true" outlineLevel="0" collapsed="false">
      <c r="A9" s="4" t="s">
        <v>6</v>
      </c>
    </row>
    <row r="10" customFormat="false" ht="25.5" hidden="false" customHeight="true" outlineLevel="0" collapsed="false">
      <c r="A10" s="4" t="s">
        <v>7</v>
      </c>
    </row>
    <row r="11" customFormat="false" ht="25.5" hidden="false" customHeight="true" outlineLevel="0" collapsed="false">
      <c r="A11" s="4" t="s">
        <v>8</v>
      </c>
    </row>
    <row r="13" customFormat="false" ht="15" hidden="false" customHeight="false" outlineLevel="0" collapsed="false">
      <c r="A13" s="3" t="s">
        <v>9</v>
      </c>
    </row>
    <row r="14" customFormat="false" ht="39" hidden="false" customHeight="true" outlineLevel="0" collapsed="false">
      <c r="A14" s="4" t="s">
        <v>10</v>
      </c>
    </row>
    <row r="16" customFormat="false" ht="15" hidden="false" customHeight="false" outlineLevel="0" collapsed="false">
      <c r="A16" s="3" t="s">
        <v>11</v>
      </c>
    </row>
    <row r="17" customFormat="false" ht="55.2" hidden="false" customHeight="false" outlineLevel="0" collapsed="false">
      <c r="A17" s="4" t="s">
        <v>12</v>
      </c>
    </row>
    <row r="18" customFormat="false" ht="41.75" hidden="false" customHeight="false" outlineLevel="0" collapsed="false">
      <c r="A18" s="4" t="s">
        <v>13</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33"/>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20"/>
    <col collapsed="false" customWidth="true" hidden="false" outlineLevel="0" max="2" min="2" style="0" width="15"/>
    <col collapsed="false" customWidth="true" hidden="false" outlineLevel="0" max="3" min="3" style="0" width="17"/>
    <col collapsed="false" customWidth="true" hidden="false" outlineLevel="0" max="4" min="4" style="0" width="20"/>
    <col collapsed="false" customWidth="true" hidden="false" outlineLevel="0" max="5" min="5" style="0" width="22"/>
    <col collapsed="false" customWidth="true" hidden="false" outlineLevel="0" max="6" min="6" style="0" width="20"/>
    <col collapsed="false" customWidth="true" hidden="false" outlineLevel="0" max="8" min="7" style="0" width="14"/>
  </cols>
  <sheetData>
    <row r="1" customFormat="false" ht="16.15" hidden="false" customHeight="false" outlineLevel="0" collapsed="false">
      <c r="A1" s="5" t="s">
        <v>14</v>
      </c>
    </row>
    <row r="2" customFormat="false" ht="53.7" hidden="false" customHeight="false" outlineLevel="0" collapsed="false">
      <c r="A2" s="6" t="s">
        <v>15</v>
      </c>
    </row>
    <row r="4" customFormat="false" ht="28.35" hidden="false" customHeight="false" outlineLevel="0" collapsed="false">
      <c r="A4" s="7" t="s">
        <v>16</v>
      </c>
      <c r="B4" s="7" t="s">
        <v>17</v>
      </c>
      <c r="C4" s="7" t="s">
        <v>18</v>
      </c>
      <c r="D4" s="7" t="s">
        <v>19</v>
      </c>
      <c r="E4" s="7" t="s">
        <v>20</v>
      </c>
      <c r="F4" s="7" t="s">
        <v>21</v>
      </c>
      <c r="G4" s="8" t="s">
        <v>22</v>
      </c>
      <c r="H4" s="8" t="s">
        <v>23</v>
      </c>
    </row>
    <row r="5" customFormat="false" ht="15" hidden="false" customHeight="false" outlineLevel="0" collapsed="false">
      <c r="A5" s="0" t="s">
        <v>24</v>
      </c>
      <c r="B5" s="9"/>
      <c r="C5" s="10"/>
      <c r="D5" s="10"/>
      <c r="E5" s="10"/>
      <c r="F5" s="11" t="str">
        <f aca="false">IF(N(C5)=0,"",(D5-E5)/C5)</f>
        <v/>
      </c>
      <c r="G5" s="12" t="str">
        <f aca="false">IF(AND(N(C5)&gt;0,N(B5)&gt;0,ISNUMBER(F5)),IF(F5&gt;0,LN(B5/$B$21),""),"")</f>
        <v/>
      </c>
      <c r="H5" s="12" t="str">
        <f aca="false">IF(ISNUMBER(G5),LN(F5),"")</f>
        <v/>
      </c>
    </row>
    <row r="6" customFormat="false" ht="15" hidden="false" customHeight="false" outlineLevel="0" collapsed="false">
      <c r="A6" s="0" t="s">
        <v>25</v>
      </c>
      <c r="B6" s="9"/>
      <c r="C6" s="10"/>
      <c r="D6" s="10"/>
      <c r="E6" s="10"/>
      <c r="F6" s="11" t="str">
        <f aca="false">IF(N(C6)=0,"",(D6-E6)/C6)</f>
        <v/>
      </c>
      <c r="G6" s="12" t="str">
        <f aca="false">IF(AND(N(C6)&gt;0,N(B6)&gt;0,ISNUMBER(F6)),IF(F6&gt;0,LN(B6/$B$21),""),"")</f>
        <v/>
      </c>
      <c r="H6" s="12" t="str">
        <f aca="false">IF(ISNUMBER(G6),LN(F6),"")</f>
        <v/>
      </c>
    </row>
    <row r="7" customFormat="false" ht="15" hidden="false" customHeight="false" outlineLevel="0" collapsed="false">
      <c r="A7" s="0" t="s">
        <v>26</v>
      </c>
      <c r="B7" s="9"/>
      <c r="C7" s="10"/>
      <c r="D7" s="10"/>
      <c r="E7" s="10"/>
      <c r="F7" s="11" t="str">
        <f aca="false">IF(N(C7)=0,"",(D7-E7)/C7)</f>
        <v/>
      </c>
      <c r="G7" s="12" t="str">
        <f aca="false">IF(AND(N(C7)&gt;0,N(B7)&gt;0,ISNUMBER(F7)),IF(F7&gt;0,LN(B7/$B$21),""),"")</f>
        <v/>
      </c>
      <c r="H7" s="12" t="str">
        <f aca="false">IF(ISNUMBER(G7),LN(F7),"")</f>
        <v/>
      </c>
    </row>
    <row r="8" customFormat="false" ht="15" hidden="false" customHeight="false" outlineLevel="0" collapsed="false">
      <c r="A8" s="0" t="s">
        <v>27</v>
      </c>
      <c r="B8" s="9"/>
      <c r="C8" s="10"/>
      <c r="D8" s="10"/>
      <c r="E8" s="10"/>
      <c r="F8" s="11" t="str">
        <f aca="false">IF(N(C8)=0,"",(D8-E8)/C8)</f>
        <v/>
      </c>
      <c r="G8" s="12" t="str">
        <f aca="false">IF(AND(N(C8)&gt;0,N(B8)&gt;0,ISNUMBER(F8)),IF(F8&gt;0,LN(B8/$B$21),""),"")</f>
        <v/>
      </c>
      <c r="H8" s="12" t="str">
        <f aca="false">IF(ISNUMBER(G8),LN(F8),"")</f>
        <v/>
      </c>
    </row>
    <row r="9" customFormat="false" ht="15" hidden="false" customHeight="false" outlineLevel="0" collapsed="false">
      <c r="A9" s="0" t="s">
        <v>28</v>
      </c>
      <c r="B9" s="9"/>
      <c r="C9" s="10"/>
      <c r="D9" s="10"/>
      <c r="E9" s="10"/>
      <c r="F9" s="11" t="str">
        <f aca="false">IF(N(C9)=0,"",(D9-E9)/C9)</f>
        <v/>
      </c>
      <c r="G9" s="12" t="str">
        <f aca="false">IF(AND(N(C9)&gt;0,N(B9)&gt;0,ISNUMBER(F9)),IF(F9&gt;0,LN(B9/$B$21),""),"")</f>
        <v/>
      </c>
      <c r="H9" s="12" t="str">
        <f aca="false">IF(ISNUMBER(G9),LN(F9),"")</f>
        <v/>
      </c>
    </row>
    <row r="10" customFormat="false" ht="15" hidden="false" customHeight="false" outlineLevel="0" collapsed="false">
      <c r="A10" s="0" t="s">
        <v>29</v>
      </c>
      <c r="B10" s="9"/>
      <c r="C10" s="10"/>
      <c r="D10" s="10"/>
      <c r="E10" s="10"/>
      <c r="F10" s="11" t="str">
        <f aca="false">IF(N(C10)=0,"",(D10-E10)/C10)</f>
        <v/>
      </c>
      <c r="G10" s="12" t="str">
        <f aca="false">IF(AND(N(C10)&gt;0,N(B10)&gt;0,ISNUMBER(F10)),IF(F10&gt;0,LN(B10/$B$21),""),"")</f>
        <v/>
      </c>
      <c r="H10" s="12" t="str">
        <f aca="false">IF(ISNUMBER(G10),LN(F10),"")</f>
        <v/>
      </c>
    </row>
    <row r="11" customFormat="false" ht="15" hidden="false" customHeight="false" outlineLevel="0" collapsed="false">
      <c r="A11" s="0" t="s">
        <v>30</v>
      </c>
      <c r="B11" s="9"/>
      <c r="C11" s="10"/>
      <c r="D11" s="10"/>
      <c r="E11" s="10"/>
      <c r="F11" s="11" t="str">
        <f aca="false">IF(N(C11)=0,"",(D11-E11)/C11)</f>
        <v/>
      </c>
      <c r="G11" s="12" t="str">
        <f aca="false">IF(AND(N(C11)&gt;0,N(B11)&gt;0,ISNUMBER(F11)),IF(F11&gt;0,LN(B11/$B$21),""),"")</f>
        <v/>
      </c>
      <c r="H11" s="12" t="str">
        <f aca="false">IF(ISNUMBER(G11),LN(F11),"")</f>
        <v/>
      </c>
    </row>
    <row r="12" customFormat="false" ht="15" hidden="false" customHeight="false" outlineLevel="0" collapsed="false">
      <c r="A12" s="0" t="s">
        <v>31</v>
      </c>
      <c r="B12" s="9"/>
      <c r="C12" s="10"/>
      <c r="D12" s="10"/>
      <c r="E12" s="10"/>
      <c r="F12" s="11" t="str">
        <f aca="false">IF(N(C12)=0,"",(D12-E12)/C12)</f>
        <v/>
      </c>
      <c r="G12" s="12" t="str">
        <f aca="false">IF(AND(N(C12)&gt;0,N(B12)&gt;0,ISNUMBER(F12)),IF(F12&gt;0,LN(B12/$B$21),""),"")</f>
        <v/>
      </c>
      <c r="H12" s="12" t="str">
        <f aca="false">IF(ISNUMBER(G12),LN(F12),"")</f>
        <v/>
      </c>
    </row>
    <row r="13" customFormat="false" ht="15" hidden="false" customHeight="false" outlineLevel="0" collapsed="false">
      <c r="A13" s="0" t="s">
        <v>32</v>
      </c>
      <c r="B13" s="9"/>
      <c r="C13" s="10"/>
      <c r="D13" s="10"/>
      <c r="E13" s="10"/>
      <c r="F13" s="11" t="str">
        <f aca="false">IF(N(C13)=0,"",(D13-E13)/C13)</f>
        <v/>
      </c>
      <c r="G13" s="12" t="str">
        <f aca="false">IF(AND(N(C13)&gt;0,N(B13)&gt;0,ISNUMBER(F13)),IF(F13&gt;0,LN(B13/$B$21),""),"")</f>
        <v/>
      </c>
      <c r="H13" s="12" t="str">
        <f aca="false">IF(ISNUMBER(G13),LN(F13),"")</f>
        <v/>
      </c>
    </row>
    <row r="14" customFormat="false" ht="15" hidden="false" customHeight="false" outlineLevel="0" collapsed="false">
      <c r="A14" s="0" t="s">
        <v>33</v>
      </c>
      <c r="B14" s="9"/>
      <c r="C14" s="10"/>
      <c r="D14" s="10"/>
      <c r="E14" s="10"/>
      <c r="F14" s="11" t="str">
        <f aca="false">IF(N(C14)=0,"",(D14-E14)/C14)</f>
        <v/>
      </c>
      <c r="G14" s="12" t="str">
        <f aca="false">IF(AND(N(C14)&gt;0,N(B14)&gt;0,ISNUMBER(F14)),IF(F14&gt;0,LN(B14/$B$21),""),"")</f>
        <v/>
      </c>
      <c r="H14" s="12" t="str">
        <f aca="false">IF(ISNUMBER(G14),LN(F14),"")</f>
        <v/>
      </c>
    </row>
    <row r="15" customFormat="false" ht="15" hidden="false" customHeight="false" outlineLevel="0" collapsed="false">
      <c r="A15" s="0" t="s">
        <v>34</v>
      </c>
      <c r="B15" s="9"/>
      <c r="C15" s="10"/>
      <c r="D15" s="10"/>
      <c r="E15" s="10"/>
      <c r="F15" s="11" t="str">
        <f aca="false">IF(N(C15)=0,"",(D15-E15)/C15)</f>
        <v/>
      </c>
      <c r="G15" s="12" t="str">
        <f aca="false">IF(AND(N(C15)&gt;0,N(B15)&gt;0,ISNUMBER(F15)),IF(F15&gt;0,LN(B15/$B$21),""),"")</f>
        <v/>
      </c>
      <c r="H15" s="12" t="str">
        <f aca="false">IF(ISNUMBER(G15),LN(F15),"")</f>
        <v/>
      </c>
    </row>
    <row r="16" customFormat="false" ht="15" hidden="false" customHeight="false" outlineLevel="0" collapsed="false">
      <c r="A16" s="0" t="s">
        <v>35</v>
      </c>
      <c r="B16" s="9"/>
      <c r="C16" s="10"/>
      <c r="D16" s="10"/>
      <c r="E16" s="10"/>
      <c r="F16" s="11" t="str">
        <f aca="false">IF(N(C16)=0,"",(D16-E16)/C16)</f>
        <v/>
      </c>
      <c r="G16" s="12" t="str">
        <f aca="false">IF(AND(N(C16)&gt;0,N(B16)&gt;0,ISNUMBER(F16)),IF(F16&gt;0,LN(B16/$B$21),""),"")</f>
        <v/>
      </c>
      <c r="H16" s="12" t="str">
        <f aca="false">IF(ISNUMBER(G16),LN(F16),"")</f>
        <v/>
      </c>
    </row>
    <row r="18" customFormat="false" ht="15" hidden="false" customHeight="false" outlineLevel="0" collapsed="false">
      <c r="A18" s="13" t="s">
        <v>36</v>
      </c>
      <c r="F18" s="11" t="str">
        <f aca="false">IF(SUM(C5:C16)=0,"—",SUMPRODUCT(C5:C16,IF(ISNUMBER(F5:F16),F5:F16,0))/SUM(C5:C16))</f>
        <v>—</v>
      </c>
    </row>
    <row r="20" customFormat="false" ht="15" hidden="false" customHeight="false" outlineLevel="0" collapsed="false">
      <c r="A20" s="3" t="s">
        <v>37</v>
      </c>
    </row>
    <row r="21" customFormat="false" ht="15" hidden="false" customHeight="false" outlineLevel="0" collapsed="false">
      <c r="A21" s="0" t="s">
        <v>17</v>
      </c>
      <c r="B21" s="9" t="n">
        <v>0.082</v>
      </c>
    </row>
    <row r="22" customFormat="false" ht="15" hidden="false" customHeight="false" outlineLevel="0" collapsed="false">
      <c r="A22" s="0" t="s">
        <v>38</v>
      </c>
      <c r="B22" s="9" t="n">
        <v>0.03</v>
      </c>
    </row>
    <row r="23" customFormat="false" ht="15" hidden="false" customHeight="false" outlineLevel="0" collapsed="false">
      <c r="A23" s="0" t="s">
        <v>39</v>
      </c>
      <c r="B23" s="14" t="n">
        <v>2.4</v>
      </c>
    </row>
    <row r="24" customFormat="false" ht="15" hidden="false" customHeight="false" outlineLevel="0" collapsed="false">
      <c r="A24" s="0" t="s">
        <v>40</v>
      </c>
      <c r="B24" s="9" t="n">
        <v>0.0665</v>
      </c>
    </row>
    <row r="26" customFormat="false" ht="15" hidden="false" customHeight="false" outlineLevel="0" collapsed="false">
      <c r="A26" s="2" t="s">
        <v>41</v>
      </c>
    </row>
    <row r="27" customFormat="false" ht="15" hidden="false" customHeight="false" outlineLevel="0" collapsed="false">
      <c r="A27" s="13" t="s">
        <v>42</v>
      </c>
    </row>
    <row r="28" customFormat="false" ht="15" hidden="false" customHeight="false" outlineLevel="0" collapsed="false">
      <c r="A28" s="15" t="s">
        <v>43</v>
      </c>
      <c r="B28" s="16" t="n">
        <f aca="false">COUNT(G5:G16)</f>
        <v>0</v>
      </c>
    </row>
    <row r="29" customFormat="false" ht="15" hidden="false" customHeight="false" outlineLevel="0" collapsed="false">
      <c r="A29" s="15" t="s">
        <v>44</v>
      </c>
      <c r="B29" s="16" t="n">
        <f aca="false">SUMPRODUCT((G5:G16&lt;&gt;"")/COUNTIF(G5:G16,G5:G16&amp;""))</f>
        <v>0</v>
      </c>
    </row>
    <row r="30" customFormat="false" ht="15" hidden="false" customHeight="false" outlineLevel="0" collapsed="false">
      <c r="A30" s="15" t="s">
        <v>45</v>
      </c>
      <c r="B30" s="17" t="str">
        <f aca="false">IF(B29&gt;=2,(B28*SUMPRODUCT(N(+G5:G16),N(+H5:H16))-SUM(G5:G16)*SUM(H5:H16))/(B28*SUMPRODUCT(N(+G5:G16),N(+G5:G16))-SUM(G5:G16)^2),"—")</f>
        <v>—</v>
      </c>
    </row>
    <row r="31" customFormat="false" ht="15" hidden="false" customHeight="false" outlineLevel="0" collapsed="false">
      <c r="A31" s="15" t="s">
        <v>46</v>
      </c>
      <c r="B31" s="18" t="str">
        <f aca="false">IF(B29&gt;=2,EXP((SUM(H5:H16)-B30*SUM(G5:G16))/B28),"—")</f>
        <v>—</v>
      </c>
    </row>
    <row r="32" customFormat="false" ht="15" hidden="false" customHeight="false" outlineLevel="0" collapsed="false">
      <c r="A32" s="13" t="s">
        <v>47</v>
      </c>
      <c r="B32" s="19" t="n">
        <f aca="false">IF(ISNUMBER(B30),B30,B23)</f>
        <v>2.4</v>
      </c>
      <c r="C32" s="2" t="s">
        <v>48</v>
      </c>
    </row>
    <row r="33" customFormat="false" ht="15" hidden="false" customHeight="false" outlineLevel="0" collapsed="false">
      <c r="A33" s="13" t="s">
        <v>49</v>
      </c>
      <c r="B33" s="20" t="n">
        <f aca="false">IF(ISNUMBER(B31),B31,B22)</f>
        <v>0.03</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X62"/>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52"/>
    <col collapsed="false" customWidth="true" hidden="false" outlineLevel="0" max="2" min="2" style="0" width="15"/>
    <col collapsed="false" customWidth="true" hidden="false" outlineLevel="0" max="3" min="3" style="0" width="16"/>
    <col collapsed="false" customWidth="true" hidden="false" outlineLevel="0" max="4" min="4" style="0" width="15"/>
    <col collapsed="false" customWidth="true" hidden="false" outlineLevel="0" max="6" min="5" style="0" width="17"/>
    <col collapsed="false" customWidth="true" hidden="false" outlineLevel="0" max="24" min="9" style="0" width="10"/>
  </cols>
  <sheetData>
    <row r="1" customFormat="false" ht="16.15" hidden="false" customHeight="false" outlineLevel="0" collapsed="false">
      <c r="A1" s="5" t="s">
        <v>50</v>
      </c>
    </row>
    <row r="2" customFormat="false" ht="15" hidden="false" customHeight="false" outlineLevel="0" collapsed="false">
      <c r="A2" s="2" t="s">
        <v>51</v>
      </c>
    </row>
    <row r="4" customFormat="false" ht="15" hidden="false" customHeight="false" outlineLevel="0" collapsed="false">
      <c r="A4" s="13" t="s">
        <v>52</v>
      </c>
    </row>
    <row r="5" customFormat="false" ht="15" hidden="false" customHeight="false" outlineLevel="0" collapsed="false">
      <c r="A5" s="15" t="s">
        <v>53</v>
      </c>
      <c r="B5" s="21" t="n">
        <v>590</v>
      </c>
    </row>
    <row r="6" customFormat="false" ht="15" hidden="false" customHeight="false" outlineLevel="0" collapsed="false">
      <c r="A6" s="15" t="s">
        <v>54</v>
      </c>
      <c r="B6" s="22" t="n">
        <v>58.7457627118644</v>
      </c>
    </row>
    <row r="7" customFormat="false" ht="15" hidden="false" customHeight="false" outlineLevel="0" collapsed="false">
      <c r="A7" s="15" t="s">
        <v>55</v>
      </c>
      <c r="B7" s="23" t="n">
        <v>32.6495672244663</v>
      </c>
    </row>
    <row r="8" customFormat="false" ht="15" hidden="false" customHeight="false" outlineLevel="0" collapsed="false">
      <c r="A8" s="15" t="s">
        <v>56</v>
      </c>
      <c r="B8" s="9" t="n">
        <v>0.796</v>
      </c>
    </row>
    <row r="9" customFormat="false" ht="15" hidden="false" customHeight="false" outlineLevel="0" collapsed="false">
      <c r="A9" s="15" t="s">
        <v>57</v>
      </c>
      <c r="B9" s="24" t="n">
        <v>0.5</v>
      </c>
    </row>
    <row r="10" customFormat="false" ht="15" hidden="false" customHeight="false" outlineLevel="0" collapsed="false">
      <c r="A10" s="15" t="s">
        <v>58</v>
      </c>
      <c r="B10" s="21" t="n">
        <v>8</v>
      </c>
    </row>
    <row r="11" customFormat="false" ht="15" hidden="false" customHeight="false" outlineLevel="0" collapsed="false">
      <c r="A11" s="15" t="s">
        <v>59</v>
      </c>
      <c r="B11" s="21" t="n">
        <v>5</v>
      </c>
    </row>
    <row r="12" customFormat="false" ht="15" hidden="false" customHeight="false" outlineLevel="0" collapsed="false">
      <c r="A12" s="15" t="s">
        <v>60</v>
      </c>
      <c r="B12" s="21" t="n">
        <v>6</v>
      </c>
    </row>
    <row r="13" customFormat="false" ht="15" hidden="false" customHeight="false" outlineLevel="0" collapsed="false">
      <c r="A13" s="15" t="s">
        <v>61</v>
      </c>
      <c r="B13" s="22" t="n">
        <v>1.62</v>
      </c>
    </row>
    <row r="14" customFormat="false" ht="15" hidden="false" customHeight="false" outlineLevel="0" collapsed="false">
      <c r="A14" s="15" t="s">
        <v>62</v>
      </c>
      <c r="B14" s="9" t="n">
        <v>0.091</v>
      </c>
    </row>
    <row r="15" customFormat="false" ht="15" hidden="false" customHeight="false" outlineLevel="0" collapsed="false">
      <c r="A15" s="15" t="s">
        <v>63</v>
      </c>
      <c r="B15" s="24" t="n">
        <v>0.75</v>
      </c>
    </row>
    <row r="16" customFormat="false" ht="15" hidden="false" customHeight="false" outlineLevel="0" collapsed="false">
      <c r="A16" s="15" t="s">
        <v>64</v>
      </c>
      <c r="B16" s="9" t="n">
        <v>0.082</v>
      </c>
    </row>
    <row r="17" customFormat="false" ht="15" hidden="false" customHeight="false" outlineLevel="0" collapsed="false">
      <c r="A17" s="15" t="s">
        <v>65</v>
      </c>
      <c r="B17" s="25" t="n">
        <v>427900</v>
      </c>
      <c r="C17" s="2" t="s">
        <v>66</v>
      </c>
    </row>
    <row r="18" customFormat="false" ht="15" hidden="false" customHeight="false" outlineLevel="0" collapsed="false">
      <c r="A18" s="15" t="s">
        <v>67</v>
      </c>
      <c r="B18" s="23" t="n">
        <v>126.236035088756</v>
      </c>
      <c r="C18" s="2" t="s">
        <v>68</v>
      </c>
    </row>
    <row r="19" customFormat="false" ht="15" hidden="false" customHeight="false" outlineLevel="0" collapsed="false">
      <c r="A19" s="15" t="s">
        <v>69</v>
      </c>
      <c r="B19" s="9" t="n">
        <v>0.072</v>
      </c>
    </row>
    <row r="20" customFormat="false" ht="15" hidden="false" customHeight="false" outlineLevel="0" collapsed="false">
      <c r="A20" s="15" t="s">
        <v>70</v>
      </c>
      <c r="B20" s="9" t="n">
        <v>0.021</v>
      </c>
    </row>
    <row r="21" customFormat="false" ht="15" hidden="false" customHeight="false" outlineLevel="0" collapsed="false">
      <c r="A21" s="15" t="s">
        <v>71</v>
      </c>
      <c r="B21" s="24" t="n">
        <v>0.44</v>
      </c>
    </row>
    <row r="22" customFormat="false" ht="15" hidden="false" customHeight="false" outlineLevel="0" collapsed="false">
      <c r="A22" s="15" t="s">
        <v>72</v>
      </c>
      <c r="B22" s="9" t="n">
        <v>0.013</v>
      </c>
    </row>
    <row r="23" customFormat="false" ht="15" hidden="false" customHeight="false" outlineLevel="0" collapsed="false">
      <c r="A23" s="15" t="s">
        <v>73</v>
      </c>
      <c r="B23" s="9" t="n">
        <v>0.019</v>
      </c>
    </row>
    <row r="24" customFormat="false" ht="15" hidden="false" customHeight="false" outlineLevel="0" collapsed="false">
      <c r="A24" s="15" t="s">
        <v>74</v>
      </c>
      <c r="B24" s="26" t="n">
        <v>0.0145</v>
      </c>
    </row>
    <row r="25" customFormat="false" ht="15" hidden="false" customHeight="false" outlineLevel="0" collapsed="false">
      <c r="A25" s="15" t="s">
        <v>75</v>
      </c>
      <c r="B25" s="9" t="n">
        <v>0.055</v>
      </c>
    </row>
    <row r="26" customFormat="false" ht="15" hidden="false" customHeight="false" outlineLevel="0" collapsed="false">
      <c r="A26" s="15" t="s">
        <v>76</v>
      </c>
      <c r="B26" s="26" t="n">
        <v>0.0605</v>
      </c>
    </row>
    <row r="27" customFormat="false" ht="15" hidden="false" customHeight="false" outlineLevel="0" collapsed="false">
      <c r="A27" s="15" t="s">
        <v>77</v>
      </c>
      <c r="B27" s="27" t="n">
        <f aca="false">'2. Your response curve'!B24</f>
        <v>0.0665</v>
      </c>
    </row>
    <row r="28" customFormat="false" ht="15" hidden="false" customHeight="false" outlineLevel="0" collapsed="false">
      <c r="A28" s="15" t="s">
        <v>78</v>
      </c>
      <c r="B28" s="18" t="n">
        <f aca="false">'2. Your response curve'!B21</f>
        <v>0.082</v>
      </c>
    </row>
    <row r="29" customFormat="false" ht="15" hidden="false" customHeight="false" outlineLevel="0" collapsed="false">
      <c r="A29" s="15" t="s">
        <v>79</v>
      </c>
      <c r="B29" s="18" t="n">
        <f aca="false">'2. Your response curve'!B33</f>
        <v>0.03</v>
      </c>
    </row>
    <row r="30" customFormat="false" ht="15" hidden="false" customHeight="false" outlineLevel="0" collapsed="false">
      <c r="A30" s="15" t="s">
        <v>80</v>
      </c>
      <c r="B30" s="17" t="n">
        <f aca="false">'2. Your response curve'!B32</f>
        <v>2.4</v>
      </c>
    </row>
    <row r="32" customFormat="false" ht="30" hidden="false" customHeight="true" outlineLevel="0" collapsed="false">
      <c r="A32" s="28" t="s">
        <v>17</v>
      </c>
      <c r="B32" s="28" t="s">
        <v>81</v>
      </c>
      <c r="C32" s="28" t="s">
        <v>82</v>
      </c>
      <c r="D32" s="28" t="s">
        <v>83</v>
      </c>
      <c r="E32" s="28" t="s">
        <v>84</v>
      </c>
      <c r="F32" s="28" t="s">
        <v>85</v>
      </c>
    </row>
    <row r="33" customFormat="false" ht="15" hidden="false" customHeight="false" outlineLevel="0" collapsed="false">
      <c r="A33" s="27" t="n">
        <f aca="false">I33</f>
        <v>0</v>
      </c>
      <c r="B33" s="17" t="n">
        <f aca="false">R33</f>
        <v>14.6691729323308</v>
      </c>
      <c r="C33" s="29" t="n">
        <f aca="false">T33</f>
        <v>32.0154382368016</v>
      </c>
      <c r="D33" s="30" t="n">
        <f aca="false">U33/($B$8*$B$5*$B$6)</f>
        <v>30.6807409076425</v>
      </c>
      <c r="E33" s="31" t="n">
        <f aca="false">X33</f>
        <v>368686.788468253</v>
      </c>
      <c r="F33" s="31" t="n">
        <f aca="false">E33-$E$37</f>
        <v>-141437.534896138</v>
      </c>
      <c r="G33" s="2" t="s">
        <v>86</v>
      </c>
      <c r="I33" s="27" t="n">
        <f aca="false">0</f>
        <v>0</v>
      </c>
      <c r="J33" s="27" t="n">
        <f aca="false">IF(I33&gt;0,MIN($B$15,$B$29*(I33/$B$28)^$B$30),0)</f>
        <v>0</v>
      </c>
      <c r="K33" s="15" t="n">
        <f aca="false">(1-$B$27-J33)*(1-$B$27)^($B$12-1)</f>
        <v>0.661737785447033</v>
      </c>
      <c r="L33" s="15" t="n">
        <f aca="false">1+(1-$B$27-J33)*(1-(1-$B$27)^($B$12-1))/$B$27</f>
        <v>5.08664984290175</v>
      </c>
      <c r="M33" s="15" t="n">
        <f aca="false">(1-$B$14)*(1-$B$27)^($B$11-1)</f>
        <v>0.690273454655712</v>
      </c>
      <c r="N33" s="15" t="n">
        <f aca="false">1+(1-$B$14)*(1-(1-$B$27)^($B$11-1))/$B$27</f>
        <v>4.28912098262087</v>
      </c>
      <c r="O33" s="15" t="n">
        <f aca="false">(1-(1-$B$9*MIN(1,($B$10/(52/12)))))+(1-(1-$B$9*MAX(0,MIN(1,($B$10/(52/12))-1))))*(1-$B$14)+(1-(1-$B$9*MAX(0,MIN(1,($B$10/(52/12))-2))))*(1-$B$14)*(1-$B$27)</f>
        <v>0.884576923076923</v>
      </c>
      <c r="P33" s="15" t="n">
        <f aca="false">IF(I33&lt;=0,0,MAX(0,ROUNDUP(LN($B$13)/LN(1+I33)-0.000000000001,0)-1))</f>
        <v>0</v>
      </c>
      <c r="Q33" s="15" t="n">
        <f aca="false">IF(I33&lt;=0,1/(1-K33),(1+I33)*(1-(K33*(1+I33))^P33)/(1-K33*(1+I33))+$B$13*K33^P33/(1-K33))</f>
        <v>2.95628644577272</v>
      </c>
      <c r="R33" s="17" t="n">
        <f aca="false">N33+M33*L33/(1-K33)</f>
        <v>14.6691729323308</v>
      </c>
      <c r="S33" s="15" t="n">
        <f aca="false">N33-O33+M33*L33*Q33</f>
        <v>13.7845960092539</v>
      </c>
      <c r="T33" s="17" t="n">
        <f aca="false">$B$8*$B$5/R33</f>
        <v>32.0154382368016</v>
      </c>
      <c r="U33" s="31" t="n">
        <f aca="false">T33*$B$6*$B$7*S33</f>
        <v>846462.005967676</v>
      </c>
      <c r="V33" s="31" t="n">
        <f aca="false">U33*(1+$B$19+$B$20+$B$22)</f>
        <v>936186.97860025</v>
      </c>
      <c r="W33" s="31" t="n">
        <f aca="false">$B$17+$B$18*T33*12+U33*($B$20*(1-$B$21)+$B$23)+V33*($B$24+$B$25)</f>
        <v>567500.190131996</v>
      </c>
      <c r="X33" s="31" t="n">
        <f aca="false">V33-W33</f>
        <v>368686.788468253</v>
      </c>
    </row>
    <row r="34" customFormat="false" ht="15" hidden="false" customHeight="false" outlineLevel="0" collapsed="false">
      <c r="A34" s="27" t="n">
        <f aca="false">I34</f>
        <v>0.02</v>
      </c>
      <c r="B34" s="17" t="n">
        <f aca="false">R34</f>
        <v>14.638094200121</v>
      </c>
      <c r="C34" s="29" t="n">
        <f aca="false">T34</f>
        <v>32.0834115137828</v>
      </c>
      <c r="D34" s="30" t="n">
        <f aca="false">U34/($B$8*$B$5*$B$6)</f>
        <v>32.0936290645108</v>
      </c>
      <c r="E34" s="31" t="n">
        <f aca="false">X34</f>
        <v>407501.078777732</v>
      </c>
      <c r="F34" s="31" t="n">
        <f aca="false">E34-$E$37</f>
        <v>-102623.244586658</v>
      </c>
      <c r="I34" s="27" t="n">
        <f aca="false">0.02</f>
        <v>0.02</v>
      </c>
      <c r="J34" s="27" t="n">
        <f aca="false">IF(I34&gt;0,MIN($B$15,$B$29*(I34/$B$28)^$B$30),0)</f>
        <v>0.00101493913457273</v>
      </c>
      <c r="K34" s="15" t="n">
        <f aca="false">(1-$B$27-J34)*(1-$B$27)^($B$12-1)</f>
        <v>0.661018317235704</v>
      </c>
      <c r="L34" s="15" t="n">
        <f aca="false">1+(1-$B$27-J34)*(1-(1-$B$27)^($B$12-1))/$B$27</f>
        <v>5.08220667112365</v>
      </c>
      <c r="M34" s="15" t="n">
        <f aca="false">(1-$B$14)*(1-$B$27)^($B$11-1)</f>
        <v>0.690273454655712</v>
      </c>
      <c r="N34" s="15" t="n">
        <f aca="false">1+(1-$B$14)*(1-(1-$B$27)^($B$11-1))/$B$27</f>
        <v>4.28912098262087</v>
      </c>
      <c r="O34" s="15" t="n">
        <f aca="false">(1-(1-$B$9*MIN(1,($B$10/(52/12)))))+(1-(1-$B$9*MAX(0,MIN(1,($B$10/(52/12))-1))))*(1-$B$14)+(1-(1-$B$9*MAX(0,MIN(1,($B$10/(52/12))-2))))*(1-$B$14)*(1-$B$27)</f>
        <v>0.884576923076923</v>
      </c>
      <c r="P34" s="15" t="n">
        <f aca="false">IF(I34&lt;=0,0,MAX(0,ROUNDUP(LN($B$13)/LN(1+I34)-0.000000000001,0)-1))</f>
        <v>24</v>
      </c>
      <c r="Q34" s="15" t="n">
        <f aca="false">IF(I34&lt;=0,1/(1-K34),(1+I34)*(1-(K34*(1+I34))^P34)/(1-K34*(1+I34))+$B$13*K34^P34/(1-K34))</f>
        <v>3.13111437953576</v>
      </c>
      <c r="R34" s="17" t="n">
        <f aca="false">N34+M34*L34/(1-K34)</f>
        <v>14.638094200121</v>
      </c>
      <c r="S34" s="15" t="n">
        <f aca="false">N34-O34+M34*L34*Q34</f>
        <v>14.3888451029149</v>
      </c>
      <c r="T34" s="17" t="n">
        <f aca="false">$B$8*$B$5/R34</f>
        <v>32.0834115137828</v>
      </c>
      <c r="U34" s="31" t="n">
        <f aca="false">T34*$B$6*$B$7*S34</f>
        <v>885442.685967252</v>
      </c>
      <c r="V34" s="31" t="n">
        <f aca="false">U34*(1+$B$19+$B$20+$B$22)</f>
        <v>979299.61067978</v>
      </c>
      <c r="W34" s="31" t="n">
        <f aca="false">$B$17+$B$18*T34*12+U34*($B$20*(1-$B$21)+$B$23)+V34*($B$24+$B$25)</f>
        <v>571798.531902048</v>
      </c>
      <c r="X34" s="31" t="n">
        <f aca="false">V34-W34</f>
        <v>407501.078777732</v>
      </c>
    </row>
    <row r="35" customFormat="false" ht="15" hidden="false" customHeight="false" outlineLevel="0" collapsed="false">
      <c r="A35" s="27" t="n">
        <f aca="false">I35</f>
        <v>0.04</v>
      </c>
      <c r="B35" s="17" t="n">
        <f aca="false">R35</f>
        <v>14.5066144096722</v>
      </c>
      <c r="C35" s="29" t="n">
        <f aca="false">T35</f>
        <v>32.3741975030969</v>
      </c>
      <c r="D35" s="30" t="n">
        <f aca="false">U35/($B$8*$B$5*$B$6)</f>
        <v>33.5441448606562</v>
      </c>
      <c r="E35" s="31" t="n">
        <f aca="false">X35</f>
        <v>447014.278627426</v>
      </c>
      <c r="F35" s="31" t="n">
        <f aca="false">E35-$E$37</f>
        <v>-63110.0447369646</v>
      </c>
      <c r="I35" s="27" t="n">
        <f aca="false">0.04</f>
        <v>0.04</v>
      </c>
      <c r="J35" s="27" t="n">
        <f aca="false">IF(I35&gt;0,MIN($B$15,$B$29*(I35/$B$28)^$B$30),0)</f>
        <v>0.00535688086808686</v>
      </c>
      <c r="K35" s="15" t="n">
        <f aca="false">(1-$B$27-J35)*(1-$B$27)^($B$12-1)</f>
        <v>0.65794040946144</v>
      </c>
      <c r="L35" s="15" t="n">
        <f aca="false">1+(1-$B$27-J35)*(1-(1-$B$27)^($B$12-1))/$B$27</f>
        <v>5.06319864166125</v>
      </c>
      <c r="M35" s="15" t="n">
        <f aca="false">(1-$B$14)*(1-$B$27)^($B$11-1)</f>
        <v>0.690273454655712</v>
      </c>
      <c r="N35" s="15" t="n">
        <f aca="false">1+(1-$B$14)*(1-(1-$B$27)^($B$11-1))/$B$27</f>
        <v>4.28912098262087</v>
      </c>
      <c r="O35" s="15" t="n">
        <f aca="false">(1-(1-$B$9*MIN(1,($B$10/(52/12)))))+(1-(1-$B$9*MAX(0,MIN(1,($B$10/(52/12))-1))))*(1-$B$14)+(1-(1-$B$9*MAX(0,MIN(1,($B$10/(52/12))-2))))*(1-$B$14)*(1-$B$27)</f>
        <v>0.884576923076923</v>
      </c>
      <c r="P35" s="15" t="n">
        <f aca="false">IF(I35&lt;=0,0,MAX(0,ROUNDUP(LN($B$13)/LN(1+I35)-0.000000000001,0)-1))</f>
        <v>12</v>
      </c>
      <c r="Q35" s="15" t="n">
        <f aca="false">IF(I35&lt;=0,1/(1-K35),(1+I35)*(1-(K35*(1+I35))^P35)/(1-K35*(1+I35))+$B$13*K35^P35/(1-K35))</f>
        <v>3.29029186073033</v>
      </c>
      <c r="R35" s="17" t="n">
        <f aca="false">N35+M35*L35/(1-K35)</f>
        <v>14.5066144096722</v>
      </c>
      <c r="S35" s="15" t="n">
        <f aca="false">N35-O35+M35*L35*Q35</f>
        <v>14.9040865335293</v>
      </c>
      <c r="T35" s="17" t="n">
        <f aca="false">$B$8*$B$5/R35</f>
        <v>32.3741975030969</v>
      </c>
      <c r="U35" s="31" t="n">
        <f aca="false">T35*$B$6*$B$7*S35</f>
        <v>925461.488452794</v>
      </c>
      <c r="V35" s="31" t="n">
        <f aca="false">U35*(1+$B$19+$B$20+$B$22)</f>
        <v>1023560.40622879</v>
      </c>
      <c r="W35" s="31" t="n">
        <f aca="false">$B$17+$B$18*T35*12+U35*($B$20*(1-$B$21)+$B$23)+V35*($B$24+$B$25)</f>
        <v>576546.127601364</v>
      </c>
      <c r="X35" s="31" t="n">
        <f aca="false">V35-W35</f>
        <v>447014.278627426</v>
      </c>
    </row>
    <row r="36" customFormat="false" ht="15" hidden="false" customHeight="false" outlineLevel="0" collapsed="false">
      <c r="A36" s="27" t="n">
        <f aca="false">I36</f>
        <v>0.06</v>
      </c>
      <c r="B36" s="17" t="n">
        <f aca="false">R36</f>
        <v>14.2467342660204</v>
      </c>
      <c r="C36" s="29" t="n">
        <f aca="false">T36</f>
        <v>32.9647476558982</v>
      </c>
      <c r="D36" s="30" t="n">
        <f aca="false">U36/($B$8*$B$5*$B$6)</f>
        <v>34.8402540886648</v>
      </c>
      <c r="E36" s="31" t="n">
        <f aca="false">X36</f>
        <v>481820.338593754</v>
      </c>
      <c r="F36" s="31" t="n">
        <f aca="false">E36-$E$37</f>
        <v>-28303.9847706368</v>
      </c>
      <c r="I36" s="27" t="n">
        <f aca="false">0.06</f>
        <v>0.06</v>
      </c>
      <c r="J36" s="27" t="n">
        <f aca="false">IF(I36&gt;0,MIN($B$15,$B$29*(I36/$B$28)^$B$30),0)</f>
        <v>0.0141752592340216</v>
      </c>
      <c r="K36" s="15" t="n">
        <f aca="false">(1-$B$27-J36)*(1-$B$27)^($B$12-1)</f>
        <v>0.651689253413119</v>
      </c>
      <c r="L36" s="15" t="n">
        <f aca="false">1+(1-$B$27-J36)*(1-(1-$B$27)^($B$12-1))/$B$27</f>
        <v>5.02459379477984</v>
      </c>
      <c r="M36" s="15" t="n">
        <f aca="false">(1-$B$14)*(1-$B$27)^($B$11-1)</f>
        <v>0.690273454655712</v>
      </c>
      <c r="N36" s="15" t="n">
        <f aca="false">1+(1-$B$14)*(1-(1-$B$27)^($B$11-1))/$B$27</f>
        <v>4.28912098262087</v>
      </c>
      <c r="O36" s="15" t="n">
        <f aca="false">(1-(1-$B$9*MIN(1,($B$10/(52/12)))))+(1-(1-$B$9*MAX(0,MIN(1,($B$10/(52/12))-1))))*(1-$B$14)+(1-(1-$B$9*MAX(0,MIN(1,($B$10/(52/12))-2))))*(1-$B$14)*(1-$B$27)</f>
        <v>0.884576923076923</v>
      </c>
      <c r="P36" s="15" t="n">
        <f aca="false">IF(I36&lt;=0,0,MAX(0,ROUNDUP(LN($B$13)/LN(1+I36)-0.000000000001,0)-1))</f>
        <v>8</v>
      </c>
      <c r="Q36" s="15" t="n">
        <f aca="false">IF(I36&lt;=0,1/(1-K36),(1+I36)*(1-(K36*(1+I36))^P36)/(1-K36*(1+I36))+$B$13*K36^P36/(1-K36))</f>
        <v>3.40165329547477</v>
      </c>
      <c r="R36" s="17" t="n">
        <f aca="false">N36+M36*L36/(1-K36)</f>
        <v>14.2467342660204</v>
      </c>
      <c r="S36" s="15" t="n">
        <f aca="false">N36-O36+M36*L36*Q36</f>
        <v>15.2026468941949</v>
      </c>
      <c r="T36" s="17" t="n">
        <f aca="false">$B$8*$B$5/R36</f>
        <v>32.9647476558982</v>
      </c>
      <c r="U36" s="31" t="n">
        <f aca="false">T36*$B$6*$B$7*S36</f>
        <v>961220.312543646</v>
      </c>
      <c r="V36" s="31" t="n">
        <f aca="false">U36*(1+$B$19+$B$20+$B$22)</f>
        <v>1063109.66567327</v>
      </c>
      <c r="W36" s="31" t="n">
        <f aca="false">$B$17+$B$18*T36*12+U36*($B$20*(1-$B$21)+$B$23)+V36*($B$24+$B$25)</f>
        <v>581289.327079518</v>
      </c>
      <c r="X36" s="31" t="n">
        <f aca="false">V36-W36</f>
        <v>481820.338593754</v>
      </c>
    </row>
    <row r="37" customFormat="false" ht="15" hidden="false" customHeight="false" outlineLevel="0" collapsed="false">
      <c r="A37" s="27" t="n">
        <f aca="false">I37</f>
        <v>0.082</v>
      </c>
      <c r="B37" s="17" t="n">
        <f aca="false">R37</f>
        <v>13.8030343468202</v>
      </c>
      <c r="C37" s="29" t="n">
        <f aca="false">T37</f>
        <v>34.0244027653378</v>
      </c>
      <c r="D37" s="30" t="n">
        <f aca="false">U37/($B$8*$B$5*$B$6)</f>
        <v>35.9261048018217</v>
      </c>
      <c r="E37" s="32" t="n">
        <f aca="false">X37</f>
        <v>510124.323364391</v>
      </c>
      <c r="F37" s="31" t="n">
        <f aca="false">E37-$E$37</f>
        <v>0</v>
      </c>
      <c r="I37" s="27" t="n">
        <f aca="false">$B$16</f>
        <v>0.082</v>
      </c>
      <c r="J37" s="27" t="n">
        <f aca="false">IF(I37&gt;0,MIN($B$15,$B$29*(I37/$B$28)^$B$30),0)</f>
        <v>0.03</v>
      </c>
      <c r="K37" s="15" t="n">
        <f aca="false">(1-$B$27-J37)*(1-$B$27)^($B$12-1)</f>
        <v>0.640471439905083</v>
      </c>
      <c r="L37" s="15" t="n">
        <f aca="false">1+(1-$B$27-J37)*(1-(1-$B$27)^($B$12-1))/$B$27</f>
        <v>4.95531669315665</v>
      </c>
      <c r="M37" s="15" t="n">
        <f aca="false">(1-$B$14)*(1-$B$27)^($B$11-1)</f>
        <v>0.690273454655712</v>
      </c>
      <c r="N37" s="15" t="n">
        <f aca="false">1+(1-$B$14)*(1-(1-$B$27)^($B$11-1))/$B$27</f>
        <v>4.28912098262087</v>
      </c>
      <c r="O37" s="15" t="n">
        <f aca="false">(1-(1-$B$9*MIN(1,($B$10/(52/12)))))+(1-(1-$B$9*MAX(0,MIN(1,($B$10/(52/12))-1))))*(1-$B$14)+(1-(1-$B$9*MAX(0,MIN(1,($B$10/(52/12))-2))))*(1-$B$14)*(1-$B$27)</f>
        <v>0.884576923076923</v>
      </c>
      <c r="P37" s="15" t="n">
        <f aca="false">IF(I37&lt;=0,0,MAX(0,ROUNDUP(LN($B$13)/LN(1+I37)-0.000000000001,0)-1))</f>
        <v>6</v>
      </c>
      <c r="Q37" s="15" t="n">
        <f aca="false">IF(I37&lt;=0,1/(1-K37),(1+I37)*(1-(K37*(1+I37))^P37)/(1-K37*(1+I37))+$B$13*K37^P37/(1-K37))</f>
        <v>3.44499589912979</v>
      </c>
      <c r="R37" s="17" t="n">
        <f aca="false">N37+M37*L37/(1-K37)</f>
        <v>13.8030343468202</v>
      </c>
      <c r="S37" s="15" t="n">
        <f aca="false">N37-O37+M37*L37*Q37</f>
        <v>15.1882337403666</v>
      </c>
      <c r="T37" s="17" t="n">
        <f aca="false">$B$8*$B$5/R37</f>
        <v>34.0244027653378</v>
      </c>
      <c r="U37" s="31" t="n">
        <f aca="false">T37*$B$6*$B$7*S37</f>
        <v>991178.238775188</v>
      </c>
      <c r="V37" s="31" t="n">
        <f aca="false">U37*(1+$B$19+$B$20+$B$22)</f>
        <v>1096243.13208536</v>
      </c>
      <c r="W37" s="31" t="n">
        <f aca="false">$B$17+$B$18*T37*12+U37*($B$20*(1-$B$21)+$B$23)+V37*($B$24+$B$25)</f>
        <v>586118.808720967</v>
      </c>
      <c r="X37" s="31" t="n">
        <f aca="false">V37-W37</f>
        <v>510124.323364391</v>
      </c>
    </row>
    <row r="38" customFormat="false" ht="15" hidden="false" customHeight="false" outlineLevel="0" collapsed="false">
      <c r="A38" s="27" t="n">
        <f aca="false">I38</f>
        <v>0.1</v>
      </c>
      <c r="B38" s="17" t="n">
        <f aca="false">R38</f>
        <v>13.3231943850283</v>
      </c>
      <c r="C38" s="29" t="n">
        <f aca="false">T38</f>
        <v>35.2498046960683</v>
      </c>
      <c r="D38" s="30" t="n">
        <f aca="false">U38/($B$8*$B$5*$B$6)</f>
        <v>36.5296505940543</v>
      </c>
      <c r="E38" s="31" t="n">
        <f aca="false">X38</f>
        <v>524892.395032916</v>
      </c>
      <c r="F38" s="31" t="n">
        <f aca="false">E38-$E$37</f>
        <v>14768.0716685253</v>
      </c>
      <c r="I38" s="27" t="n">
        <f aca="false">0.1</f>
        <v>0.1</v>
      </c>
      <c r="J38" s="27" t="n">
        <f aca="false">IF(I38&gt;0,MIN($B$15,$B$29*(I38/$B$28)^$B$30),0)</f>
        <v>0.0483023220271566</v>
      </c>
      <c r="K38" s="15" t="n">
        <f aca="false">(1-$B$27-J38)*(1-$B$27)^($B$12-1)</f>
        <v>0.627497323090097</v>
      </c>
      <c r="L38" s="15" t="n">
        <f aca="false">1+(1-$B$27-J38)*(1-(1-$B$27)^($B$12-1))/$B$27</f>
        <v>4.87519330650746</v>
      </c>
      <c r="M38" s="15" t="n">
        <f aca="false">(1-$B$14)*(1-$B$27)^($B$11-1)</f>
        <v>0.690273454655712</v>
      </c>
      <c r="N38" s="15" t="n">
        <f aca="false">1+(1-$B$14)*(1-(1-$B$27)^($B$11-1))/$B$27</f>
        <v>4.28912098262087</v>
      </c>
      <c r="O38" s="15" t="n">
        <f aca="false">(1-(1-$B$9*MIN(1,($B$10/(52/12)))))+(1-(1-$B$9*MAX(0,MIN(1,($B$10/(52/12))-1))))*(1-$B$14)+(1-(1-$B$9*MAX(0,MIN(1,($B$10/(52/12))-2))))*(1-$B$14)*(1-$B$27)</f>
        <v>0.884576923076923</v>
      </c>
      <c r="P38" s="15" t="n">
        <f aca="false">IF(I38&lt;=0,0,MAX(0,ROUNDUP(LN($B$13)/LN(1+I38)-0.000000000001,0)-1))</f>
        <v>5</v>
      </c>
      <c r="Q38" s="15" t="n">
        <f aca="false">IF(I38&lt;=0,1/(1-K38),(1+I38)*(1-(K38*(1+I38))^P38)/(1-K38*(1+I38))+$B$13*K38^P38/(1-K38))</f>
        <v>3.41790260723838</v>
      </c>
      <c r="R38" s="17" t="n">
        <f aca="false">N38+M38*L38/(1-K38)</f>
        <v>13.3231943850283</v>
      </c>
      <c r="S38" s="15" t="n">
        <f aca="false">N38-O38+M38*L38*Q38</f>
        <v>14.9065263969883</v>
      </c>
      <c r="T38" s="17" t="n">
        <f aca="false">$B$8*$B$5/R38</f>
        <v>35.2498046960683</v>
      </c>
      <c r="U38" s="31" t="n">
        <f aca="false">T38*$B$6*$B$7*S38</f>
        <v>1007829.68091358</v>
      </c>
      <c r="V38" s="31" t="n">
        <f aca="false">U38*(1+$B$19+$B$20+$B$22)</f>
        <v>1114659.62709042</v>
      </c>
      <c r="W38" s="31" t="n">
        <f aca="false">$B$17+$B$18*T38*12+U38*($B$20*(1-$B$21)+$B$23)+V38*($B$24+$B$25)</f>
        <v>589767.232057502</v>
      </c>
      <c r="X38" s="31" t="n">
        <f aca="false">V38-W38</f>
        <v>524892.395032916</v>
      </c>
    </row>
    <row r="39" customFormat="false" ht="15" hidden="false" customHeight="false" outlineLevel="0" collapsed="false">
      <c r="A39" s="27" t="n">
        <f aca="false">I39</f>
        <v>0.12</v>
      </c>
      <c r="B39" s="17" t="n">
        <f aca="false">R39</f>
        <v>12.6844762733298</v>
      </c>
      <c r="C39" s="29" t="n">
        <f aca="false">T39</f>
        <v>37.0247844593678</v>
      </c>
      <c r="D39" s="30" t="n">
        <f aca="false">U39/($B$8*$B$5*$B$6)</f>
        <v>36.8984585900892</v>
      </c>
      <c r="E39" s="31" t="n">
        <f aca="false">X39</f>
        <v>532362.219701935</v>
      </c>
      <c r="F39" s="31" t="n">
        <f aca="false">E39-$E$37</f>
        <v>22237.8963375438</v>
      </c>
      <c r="I39" s="27" t="n">
        <f aca="false">0.12</f>
        <v>0.12</v>
      </c>
      <c r="J39" s="27" t="n">
        <f aca="false">IF(I39&gt;0,MIN($B$15,$B$29*(I39/$B$28)^$B$30),0)</f>
        <v>0.0748174667861921</v>
      </c>
      <c r="K39" s="15" t="n">
        <f aca="false">(1-$B$27-J39)*(1-$B$27)^($B$12-1)</f>
        <v>0.608701315405414</v>
      </c>
      <c r="L39" s="15" t="n">
        <f aca="false">1+(1-$B$27-J39)*(1-(1-$B$27)^($B$12-1))/$B$27</f>
        <v>4.75911605726908</v>
      </c>
      <c r="M39" s="15" t="n">
        <f aca="false">(1-$B$14)*(1-$B$27)^($B$11-1)</f>
        <v>0.690273454655712</v>
      </c>
      <c r="N39" s="15" t="n">
        <f aca="false">1+(1-$B$14)*(1-(1-$B$27)^($B$11-1))/$B$27</f>
        <v>4.28912098262087</v>
      </c>
      <c r="O39" s="15" t="n">
        <f aca="false">(1-(1-$B$9*MIN(1,($B$10/(52/12)))))+(1-(1-$B$9*MAX(0,MIN(1,($B$10/(52/12))-1))))*(1-$B$14)+(1-(1-$B$9*MAX(0,MIN(1,($B$10/(52/12))-2))))*(1-$B$14)*(1-$B$27)</f>
        <v>0.884576923076923</v>
      </c>
      <c r="P39" s="15" t="n">
        <f aca="false">IF(I39&lt;=0,0,MAX(0,ROUNDUP(LN($B$13)/LN(1+I39)-0.000000000001,0)-1))</f>
        <v>4</v>
      </c>
      <c r="Q39" s="15" t="n">
        <f aca="false">IF(I39&lt;=0,1/(1-K39),(1+I39)*(1-(K39*(1+I39))^P39)/(1-K39*(1+I39))+$B$13*K39^P39/(1-K39))</f>
        <v>3.3273478405358</v>
      </c>
      <c r="R39" s="17" t="n">
        <f aca="false">N39+M39*L39/(1-K39)</f>
        <v>12.6844762733298</v>
      </c>
      <c r="S39" s="15" t="n">
        <f aca="false">N39-O39+M39*L39*Q39</f>
        <v>14.3351861080014</v>
      </c>
      <c r="T39" s="17" t="n">
        <f aca="false">$B$8*$B$5/R39</f>
        <v>37.0247844593678</v>
      </c>
      <c r="U39" s="31" t="n">
        <f aca="false">T39*$B$6*$B$7*S39</f>
        <v>1018004.85748706</v>
      </c>
      <c r="V39" s="31" t="n">
        <f aca="false">U39*(1+$B$19+$B$20+$B$22)</f>
        <v>1125913.37238069</v>
      </c>
      <c r="W39" s="31" t="n">
        <f aca="false">$B$17+$B$18*T39*12+U39*($B$20*(1-$B$21)+$B$23)+V39*($B$24+$B$25)</f>
        <v>593551.152678756</v>
      </c>
      <c r="X39" s="31" t="n">
        <f aca="false">V39-W39</f>
        <v>532362.219701935</v>
      </c>
    </row>
    <row r="40" customFormat="false" ht="15" hidden="false" customHeight="false" outlineLevel="0" collapsed="false">
      <c r="A40" s="27" t="n">
        <f aca="false">I40</f>
        <v>0.128180927925918</v>
      </c>
      <c r="B40" s="17" t="n">
        <f aca="false">R40</f>
        <v>12.3969242729843</v>
      </c>
      <c r="C40" s="29" t="n">
        <f aca="false">T40</f>
        <v>37.8835902888792</v>
      </c>
      <c r="D40" s="30" t="n">
        <f aca="false">U40/($B$8*$B$5*$B$6)</f>
        <v>37.0082925913448</v>
      </c>
      <c r="E40" s="32" t="n">
        <f aca="false">X40</f>
        <v>534086.592372447</v>
      </c>
      <c r="F40" s="31" t="n">
        <f aca="false">E40-$E$37</f>
        <v>23962.2690080563</v>
      </c>
      <c r="I40" s="27" t="n">
        <f aca="false">'4. Search'!B430</f>
        <v>0.128180927925918</v>
      </c>
      <c r="J40" s="27" t="n">
        <f aca="false">IF(I40&gt;0,MIN($B$15,$B$29*(I40/$B$28)^$B$30),0)</f>
        <v>0.087648441032305</v>
      </c>
      <c r="K40" s="15" t="n">
        <f aca="false">(1-$B$27-J40)*(1-$B$27)^($B$12-1)</f>
        <v>0.59960571767349</v>
      </c>
      <c r="L40" s="15" t="n">
        <f aca="false">1+(1-$B$27-J40)*(1-(1-$B$27)^($B$12-1))/$B$27</f>
        <v>4.70294498186774</v>
      </c>
      <c r="M40" s="15" t="n">
        <f aca="false">(1-$B$14)*(1-$B$27)^($B$11-1)</f>
        <v>0.690273454655712</v>
      </c>
      <c r="N40" s="15" t="n">
        <f aca="false">1+(1-$B$14)*(1-(1-$B$27)^($B$11-1))/$B$27</f>
        <v>4.28912098262087</v>
      </c>
      <c r="O40" s="15" t="n">
        <f aca="false">(1-(1-$B$9*MIN(1,($B$10/(52/12)))))+(1-(1-$B$9*MAX(0,MIN(1,($B$10/(52/12))-1))))*(1-$B$14)+(1-(1-$B$9*MAX(0,MIN(1,($B$10/(52/12))-2))))*(1-$B$14)*(1-$B$27)</f>
        <v>0.884576923076923</v>
      </c>
      <c r="P40" s="15" t="n">
        <f aca="false">IF(I40&lt;=0,0,MAX(0,ROUNDUP(LN($B$13)/LN(1+I40)-0.000000000001,0)-1))</f>
        <v>3</v>
      </c>
      <c r="Q40" s="15" t="n">
        <f aca="false">IF(I40&lt;=0,1/(1-K40),(1+I40)*(1-(K40*(1+I40))^P40)/(1-K40*(1+I40))+$B$13*K40^P40/(1-K40))</f>
        <v>3.27983039066424</v>
      </c>
      <c r="R40" s="17" t="n">
        <f aca="false">N40+M40*L40/(1-K40)</f>
        <v>12.3969242729843</v>
      </c>
      <c r="S40" s="15" t="n">
        <f aca="false">N40-O40+M40*L40*Q40</f>
        <v>14.0519167550727</v>
      </c>
      <c r="T40" s="17" t="n">
        <f aca="false">$B$8*$B$5/R40</f>
        <v>37.8835902888792</v>
      </c>
      <c r="U40" s="31" t="n">
        <f aca="false">T40*$B$6*$B$7*S40</f>
        <v>1021035.10728794</v>
      </c>
      <c r="V40" s="31" t="n">
        <f aca="false">U40*(1+$B$19+$B$20+$B$22)</f>
        <v>1129264.82866047</v>
      </c>
      <c r="W40" s="31" t="n">
        <f aca="false">$B$17+$B$18*T40*12+U40*($B$20*(1-$B$21)+$B$23)+V40*($B$24+$B$25)</f>
        <v>595178.23628802</v>
      </c>
      <c r="X40" s="31" t="n">
        <f aca="false">V40-W40</f>
        <v>534086.592372447</v>
      </c>
    </row>
    <row r="41" customFormat="false" ht="15" hidden="false" customHeight="false" outlineLevel="0" collapsed="false">
      <c r="A41" s="27" t="n">
        <f aca="false">I41</f>
        <v>0.16</v>
      </c>
      <c r="B41" s="17" t="n">
        <f aca="false">R41</f>
        <v>11.1807790735687</v>
      </c>
      <c r="C41" s="29" t="n">
        <f aca="false">T41</f>
        <v>42.0042285881695</v>
      </c>
      <c r="D41" s="30" t="n">
        <f aca="false">U41/($B$8*$B$5*$B$6)</f>
        <v>36.906548312232</v>
      </c>
      <c r="E41" s="31" t="n">
        <f aca="false">X41</f>
        <v>525042.023422695</v>
      </c>
      <c r="F41" s="31" t="n">
        <f aca="false">E41-$E$37</f>
        <v>14917.7000583039</v>
      </c>
      <c r="I41" s="27" t="n">
        <f aca="false">0.16</f>
        <v>0.16</v>
      </c>
      <c r="J41" s="27" t="n">
        <f aca="false">IF(I41&gt;0,MIN($B$15,$B$29*(I41/$B$28)^$B$30),0)</f>
        <v>0.149229941031144</v>
      </c>
      <c r="K41" s="15" t="n">
        <f aca="false">(1-$B$27-J41)*(1-$B$27)^($B$12-1)</f>
        <v>0.555951935741259</v>
      </c>
      <c r="L41" s="15" t="n">
        <f aca="false">1+(1-$B$27-J41)*(1-(1-$B$27)^($B$12-1))/$B$27</f>
        <v>4.43335523650522</v>
      </c>
      <c r="M41" s="15" t="n">
        <f aca="false">(1-$B$14)*(1-$B$27)^($B$11-1)</f>
        <v>0.690273454655712</v>
      </c>
      <c r="N41" s="15" t="n">
        <f aca="false">1+(1-$B$14)*(1-(1-$B$27)^($B$11-1))/$B$27</f>
        <v>4.28912098262087</v>
      </c>
      <c r="O41" s="15" t="n">
        <f aca="false">(1-(1-$B$9*MIN(1,($B$10/(52/12)))))+(1-(1-$B$9*MAX(0,MIN(1,($B$10/(52/12))-1))))*(1-$B$14)+(1-(1-$B$9*MAX(0,MIN(1,($B$10/(52/12))-2))))*(1-$B$14)*(1-$B$27)</f>
        <v>0.884576923076923</v>
      </c>
      <c r="P41" s="15" t="n">
        <f aca="false">IF(I41&lt;=0,0,MAX(0,ROUNDUP(LN($B$13)/LN(1+I41)-0.000000000001,0)-1))</f>
        <v>3</v>
      </c>
      <c r="Q41" s="15" t="n">
        <f aca="false">IF(I41&lt;=0,1/(1-K41),(1+I41)*(1-(K41*(1+I41))^P41)/(1-K41*(1+I41))+$B$13*K41^P41/(1-K41))</f>
        <v>3.01743248835169</v>
      </c>
      <c r="R41" s="17" t="n">
        <f aca="false">N41+M41*L41/(1-K41)</f>
        <v>11.1807790735687</v>
      </c>
      <c r="S41" s="15" t="n">
        <f aca="false">N41-O41+M41*L41*Q41</f>
        <v>12.6385737431103</v>
      </c>
      <c r="T41" s="17" t="n">
        <f aca="false">$B$8*$B$5/R41</f>
        <v>42.0042285881695</v>
      </c>
      <c r="U41" s="31" t="n">
        <f aca="false">T41*$B$6*$B$7*S41</f>
        <v>1018228.04774356</v>
      </c>
      <c r="V41" s="31" t="n">
        <f aca="false">U41*(1+$B$19+$B$20+$B$22)</f>
        <v>1126160.22080438</v>
      </c>
      <c r="W41" s="31" t="n">
        <f aca="false">$B$17+$B$18*T41*12+U41*($B$20*(1-$B$21)+$B$23)+V41*($B$24+$B$25)</f>
        <v>601118.197381684</v>
      </c>
      <c r="X41" s="31" t="n">
        <f aca="false">V41-W41</f>
        <v>525042.023422695</v>
      </c>
    </row>
    <row r="42" customFormat="false" ht="15" hidden="false" customHeight="false" outlineLevel="0" collapsed="false">
      <c r="A42" s="27" t="n">
        <f aca="false">I42</f>
        <v>0.2</v>
      </c>
      <c r="B42" s="17" t="n">
        <f aca="false">R42</f>
        <v>9.57017104035414</v>
      </c>
      <c r="C42" s="29" t="n">
        <f aca="false">T42</f>
        <v>49.0733131121365</v>
      </c>
      <c r="D42" s="30" t="n">
        <f aca="false">U42/($B$8*$B$5*$B$6)</f>
        <v>36.0653968383417</v>
      </c>
      <c r="E42" s="31" t="n">
        <f aca="false">X42</f>
        <v>491164.471684607</v>
      </c>
      <c r="F42" s="31" t="n">
        <f aca="false">E42-$E$37</f>
        <v>-18959.8516797832</v>
      </c>
      <c r="I42" s="27" t="n">
        <f aca="false">0.2</f>
        <v>0.2</v>
      </c>
      <c r="J42" s="27" t="n">
        <f aca="false">IF(I42&gt;0,MIN($B$15,$B$29*(I42/$B$28)^$B$30),0)</f>
        <v>0.254941184094132</v>
      </c>
      <c r="K42" s="15" t="n">
        <f aca="false">(1-$B$27-J42)*(1-$B$27)^($B$12-1)</f>
        <v>0.481015541653037</v>
      </c>
      <c r="L42" s="15" t="n">
        <f aca="false">1+(1-$B$27-J42)*(1-(1-$B$27)^($B$12-1))/$B$27</f>
        <v>3.97057555267415</v>
      </c>
      <c r="M42" s="15" t="n">
        <f aca="false">(1-$B$14)*(1-$B$27)^($B$11-1)</f>
        <v>0.690273454655712</v>
      </c>
      <c r="N42" s="15" t="n">
        <f aca="false">1+(1-$B$14)*(1-(1-$B$27)^($B$11-1))/$B$27</f>
        <v>4.28912098262087</v>
      </c>
      <c r="O42" s="15" t="n">
        <f aca="false">(1-(1-$B$9*MIN(1,($B$10/(52/12)))))+(1-(1-$B$9*MAX(0,MIN(1,($B$10/(52/12))-1))))*(1-$B$14)+(1-(1-$B$9*MAX(0,MIN(1,($B$10/(52/12))-2))))*(1-$B$14)*(1-$B$27)</f>
        <v>0.884576923076923</v>
      </c>
      <c r="P42" s="15" t="n">
        <f aca="false">IF(I42&lt;=0,0,MAX(0,ROUNDUP(LN($B$13)/LN(1+I42)-0.000000000001,0)-1))</f>
        <v>2</v>
      </c>
      <c r="Q42" s="15" t="n">
        <f aca="false">IF(I42&lt;=0,1/(1-K42),(1+I42)*(1-(K42*(1+I42))^P42)/(1-K42*(1+I42))+$B$13*K42^P42/(1-K42))</f>
        <v>2.6148979596718</v>
      </c>
      <c r="R42" s="17" t="n">
        <f aca="false">N42+M42*L42/(1-K42)</f>
        <v>9.57017104035414</v>
      </c>
      <c r="S42" s="15" t="n">
        <f aca="false">N42-O42+M42*L42*Q42</f>
        <v>10.571411682374</v>
      </c>
      <c r="T42" s="17" t="n">
        <f aca="false">$B$8*$B$5/R42</f>
        <v>49.0733131121365</v>
      </c>
      <c r="U42" s="31" t="n">
        <f aca="false">T42*$B$6*$B$7*S42</f>
        <v>995021.216915872</v>
      </c>
      <c r="V42" s="31" t="n">
        <f aca="false">U42*(1+$B$19+$B$20+$B$22)</f>
        <v>1100493.46590895</v>
      </c>
      <c r="W42" s="31" t="n">
        <f aca="false">$B$17+$B$18*T42*12+U42*($B$20*(1-$B$21)+$B$23)+V42*($B$24+$B$25)</f>
        <v>609328.994224347</v>
      </c>
      <c r="X42" s="31" t="n">
        <f aca="false">V42-W42</f>
        <v>491164.471684607</v>
      </c>
    </row>
    <row r="43" customFormat="false" ht="15" hidden="false" customHeight="false" outlineLevel="0" collapsed="false">
      <c r="A43" s="27" t="n">
        <f aca="false">I43</f>
        <v>0.25</v>
      </c>
      <c r="B43" s="17" t="n">
        <f aca="false">R43</f>
        <v>7.6817588384269</v>
      </c>
      <c r="C43" s="29" t="n">
        <f aca="false">T43</f>
        <v>61.1370403416849</v>
      </c>
      <c r="D43" s="30" t="n">
        <f aca="false">U43/($B$8*$B$5*$B$6)</f>
        <v>34.1887448164262</v>
      </c>
      <c r="E43" s="31" t="n">
        <f aca="false">X43</f>
        <v>421198.557278172</v>
      </c>
      <c r="F43" s="31" t="n">
        <f aca="false">E43-$E$37</f>
        <v>-88925.7660862188</v>
      </c>
      <c r="I43" s="27" t="n">
        <f aca="false">0.25</f>
        <v>0.25</v>
      </c>
      <c r="J43" s="27" t="n">
        <f aca="false">IF(I43&gt;0,MIN($B$15,$B$29*(I43/$B$28)^$B$30),0)</f>
        <v>0.435535971522992</v>
      </c>
      <c r="K43" s="15" t="n">
        <f aca="false">(1-$B$27-J43)*(1-$B$27)^($B$12-1)</f>
        <v>0.352995836568461</v>
      </c>
      <c r="L43" s="15" t="n">
        <f aca="false">1+(1-$B$27-J43)*(1-(1-$B$27)^($B$12-1))/$B$27</f>
        <v>3.17997281065483</v>
      </c>
      <c r="M43" s="15" t="n">
        <f aca="false">(1-$B$14)*(1-$B$27)^($B$11-1)</f>
        <v>0.690273454655712</v>
      </c>
      <c r="N43" s="15" t="n">
        <f aca="false">1+(1-$B$14)*(1-(1-$B$27)^($B$11-1))/$B$27</f>
        <v>4.28912098262087</v>
      </c>
      <c r="O43" s="15" t="n">
        <f aca="false">(1-(1-$B$9*MIN(1,($B$10/(52/12)))))+(1-(1-$B$9*MAX(0,MIN(1,($B$10/(52/12))-1))))*(1-$B$14)+(1-(1-$B$9*MAX(0,MIN(1,($B$10/(52/12))-2))))*(1-$B$14)*(1-$B$27)</f>
        <v>0.884576923076923</v>
      </c>
      <c r="P43" s="15" t="n">
        <f aca="false">IF(I43&lt;=0,0,MAX(0,ROUNDUP(LN($B$13)/LN(1+I43)-0.000000000001,0)-1))</f>
        <v>2</v>
      </c>
      <c r="Q43" s="15" t="n">
        <f aca="false">IF(I43&lt;=0,1/(1-K43),(1+I43)*(1-(K43*(1+I43))^P43)/(1-K43*(1+I43))+$B$13*K43^P43/(1-K43))</f>
        <v>2.11355061482357</v>
      </c>
      <c r="R43" s="17" t="n">
        <f aca="false">N43+M43*L43/(1-K43)</f>
        <v>7.6817588384269</v>
      </c>
      <c r="S43" s="15" t="n">
        <f aca="false">N43-O43+M43*L43*Q43</f>
        <v>8.04389506490915</v>
      </c>
      <c r="T43" s="17" t="n">
        <f aca="false">$B$8*$B$5/R43</f>
        <v>61.1370403416849</v>
      </c>
      <c r="U43" s="31" t="n">
        <f aca="false">T43*$B$6*$B$7*S43</f>
        <v>943245.588688516</v>
      </c>
      <c r="V43" s="31" t="n">
        <f aca="false">U43*(1+$B$19+$B$20+$B$22)</f>
        <v>1043229.6210895</v>
      </c>
      <c r="W43" s="31" t="n">
        <f aca="false">$B$17+$B$18*T43*12+U43*($B$20*(1-$B$21)+$B$23)+V43*($B$24+$B$25)</f>
        <v>622031.063811326</v>
      </c>
      <c r="X43" s="31" t="n">
        <f aca="false">V43-W43</f>
        <v>421198.557278172</v>
      </c>
    </row>
    <row r="45" customFormat="false" ht="15" hidden="false" customHeight="false" outlineLevel="0" collapsed="false">
      <c r="A45" s="13" t="s">
        <v>87</v>
      </c>
    </row>
    <row r="46" customFormat="false" ht="15" hidden="false" customHeight="false" outlineLevel="0" collapsed="false">
      <c r="A46" s="13" t="s">
        <v>88</v>
      </c>
      <c r="B46" s="33" t="n">
        <f aca="false">'4. Search'!B430</f>
        <v>0.128180927925918</v>
      </c>
    </row>
    <row r="47" customFormat="false" ht="15" hidden="false" customHeight="false" outlineLevel="0" collapsed="false">
      <c r="A47" s="15" t="s">
        <v>89</v>
      </c>
      <c r="B47" s="31" t="n">
        <f aca="false">'4. Search'!B431</f>
        <v>534086.592372447</v>
      </c>
    </row>
    <row r="48" customFormat="false" ht="15" hidden="false" customHeight="false" outlineLevel="0" collapsed="false">
      <c r="A48" s="13" t="s">
        <v>90</v>
      </c>
      <c r="B48" s="32" t="n">
        <f aca="false">B47-E37</f>
        <v>23962.2690080563</v>
      </c>
    </row>
    <row r="49" customFormat="false" ht="15" hidden="false" customHeight="false" outlineLevel="0" collapsed="false">
      <c r="A49" s="15" t="s">
        <v>91</v>
      </c>
      <c r="B49" s="31" t="n">
        <f aca="false">B48/B26</f>
        <v>396070.562116632</v>
      </c>
    </row>
    <row r="50" customFormat="false" ht="15" hidden="false" customHeight="false" outlineLevel="0" collapsed="false">
      <c r="A50" s="15" t="s">
        <v>92</v>
      </c>
      <c r="B50" s="31" t="n">
        <f aca="false">X50</f>
        <v>525842.197915043</v>
      </c>
      <c r="I50" s="27" t="n">
        <f aca="false">$B$46+0.03</f>
        <v>0.158180927925918</v>
      </c>
      <c r="J50" s="27" t="n">
        <f aca="false">IF(I50&gt;0,MIN($B$15,$B$29*(I50/$B$28)^$B$30),0)</f>
        <v>0.145190397523205</v>
      </c>
      <c r="K50" s="15" t="n">
        <f aca="false">(1-$B$27-J50)*(1-$B$27)^($B$12-1)</f>
        <v>0.558815480010312</v>
      </c>
      <c r="L50" s="15" t="n">
        <f aca="false">1+(1-$B$27-J50)*(1-(1-$B$27)^($B$12-1))/$B$27</f>
        <v>4.45103943558622</v>
      </c>
      <c r="M50" s="15" t="n">
        <f aca="false">(1-$B$14)*(1-$B$27)^($B$11-1)</f>
        <v>0.690273454655712</v>
      </c>
      <c r="N50" s="15" t="n">
        <f aca="false">1+(1-$B$14)*(1-(1-$B$27)^($B$11-1))/$B$27</f>
        <v>4.28912098262087</v>
      </c>
      <c r="O50" s="15" t="n">
        <f aca="false">(1-(1-$B$9*MIN(1,($B$10/(52/12)))))+(1-(1-$B$9*MAX(0,MIN(1,($B$10/(52/12))-1))))*(1-$B$14)+(1-(1-$B$9*MAX(0,MIN(1,($B$10/(52/12))-2))))*(1-$B$14)*(1-$B$27)</f>
        <v>0.884576923076923</v>
      </c>
      <c r="P50" s="15" t="n">
        <f aca="false">IF(I50&lt;=0,0,MAX(0,ROUNDUP(LN($B$13)/LN(1+I50)-0.000000000001,0)-1))</f>
        <v>3</v>
      </c>
      <c r="Q50" s="15" t="n">
        <f aca="false">IF(I50&lt;=0,1/(1-K50),(1+I50)*(1-(K50*(1+I50))^P50)/(1-K50*(1+I50))+$B$13*K50^P50/(1-K50))</f>
        <v>3.03367227684145</v>
      </c>
      <c r="R50" s="17" t="n">
        <f aca="false">N50+M50*L50/(1-K50)</f>
        <v>11.2531784887245</v>
      </c>
      <c r="S50" s="15" t="n">
        <f aca="false">N50-O50+M50*L50*Q50</f>
        <v>12.7253030241935</v>
      </c>
      <c r="T50" s="17" t="n">
        <f aca="false">$B$8*$B$5/R50</f>
        <v>41.7339865772654</v>
      </c>
      <c r="U50" s="31" t="n">
        <f aca="false">T50*$B$6*$B$7*S50</f>
        <v>1018619.48774915</v>
      </c>
      <c r="V50" s="31" t="n">
        <f aca="false">U50*(1+$B$19+$B$20+$B$22)</f>
        <v>1126593.15345056</v>
      </c>
      <c r="W50" s="31" t="n">
        <f aca="false">$B$17+$B$18*T50*12+U50*($B$20*(1-$B$21)+$B$23)+V50*($B$24+$B$25)</f>
        <v>600750.955535514</v>
      </c>
      <c r="X50" s="31" t="n">
        <f aca="false">V50-W50</f>
        <v>525842.197915043</v>
      </c>
    </row>
    <row r="51" customFormat="false" ht="15" hidden="false" customHeight="false" outlineLevel="0" collapsed="false">
      <c r="A51" s="15" t="s">
        <v>93</v>
      </c>
      <c r="B51" s="31" t="n">
        <f aca="false">B47-B50</f>
        <v>8244.39445740369</v>
      </c>
    </row>
    <row r="52" customFormat="false" ht="15" hidden="false" customHeight="false" outlineLevel="0" collapsed="false">
      <c r="A52" s="15" t="s">
        <v>94</v>
      </c>
      <c r="B52" s="27" t="n">
        <f aca="false">B51/B47</f>
        <v>0.0154364377895756</v>
      </c>
    </row>
    <row r="53" customFormat="false" ht="15" hidden="false" customHeight="false" outlineLevel="0" collapsed="false">
      <c r="A53" s="15" t="s">
        <v>95</v>
      </c>
      <c r="B53" s="17" t="n">
        <f aca="false">LN(B13)/LN(1+B46)</f>
        <v>4</v>
      </c>
      <c r="C53" s="2" t="s">
        <v>96</v>
      </c>
    </row>
    <row r="55" customFormat="false" ht="41.75" hidden="false" customHeight="false" outlineLevel="0" collapsed="false">
      <c r="A55" s="28" t="s">
        <v>97</v>
      </c>
      <c r="B55" s="28" t="s">
        <v>98</v>
      </c>
      <c r="C55" s="28" t="s">
        <v>99</v>
      </c>
      <c r="D55" s="28" t="s">
        <v>81</v>
      </c>
      <c r="E55" s="28" t="s">
        <v>84</v>
      </c>
    </row>
    <row r="56" customFormat="false" ht="15" hidden="false" customHeight="false" outlineLevel="0" collapsed="false">
      <c r="A56" s="15" t="s">
        <v>100</v>
      </c>
      <c r="B56" s="17" t="n">
        <f aca="false">'4. Search'!B4</f>
        <v>1.6</v>
      </c>
      <c r="C56" s="27" t="n">
        <f aca="false">'4. Search'!B142</f>
        <v>0.174460292350659</v>
      </c>
      <c r="D56" s="17" t="n">
        <f aca="false">'4. Search'!B144</f>
        <v>12.1238099723703</v>
      </c>
      <c r="E56" s="31" t="n">
        <f aca="false">'4. Search'!B143</f>
        <v>567607.342554796</v>
      </c>
    </row>
    <row r="57" customFormat="false" ht="15" hidden="false" customHeight="false" outlineLevel="0" collapsed="false">
      <c r="A57" s="15" t="s">
        <v>101</v>
      </c>
      <c r="B57" s="17" t="n">
        <f aca="false">'4. Search'!B148</f>
        <v>2</v>
      </c>
      <c r="C57" s="27" t="n">
        <f aca="false">'4. Search'!B286</f>
        <v>0.164273630260154</v>
      </c>
      <c r="D57" s="17" t="n">
        <f aca="false">'4. Search'!B288</f>
        <v>11.7189091557233</v>
      </c>
      <c r="E57" s="31" t="n">
        <f aca="false">'4. Search'!B287</f>
        <v>546085.586387159</v>
      </c>
    </row>
    <row r="58" customFormat="false" ht="15" hidden="false" customHeight="false" outlineLevel="0" collapsed="false">
      <c r="A58" s="15" t="s">
        <v>102</v>
      </c>
      <c r="B58" s="17" t="n">
        <f aca="false">'4. Search'!B292</f>
        <v>2.4</v>
      </c>
      <c r="C58" s="27" t="n">
        <f aca="false">'4. Search'!B430</f>
        <v>0.128180927925918</v>
      </c>
      <c r="D58" s="17" t="n">
        <f aca="false">'4. Search'!B432</f>
        <v>12.3969242729843</v>
      </c>
      <c r="E58" s="31" t="n">
        <f aca="false">'4. Search'!B431</f>
        <v>534086.592372447</v>
      </c>
    </row>
    <row r="59" customFormat="false" ht="15" hidden="false" customHeight="false" outlineLevel="0" collapsed="false">
      <c r="A59" s="15" t="s">
        <v>103</v>
      </c>
      <c r="B59" s="17" t="n">
        <f aca="false">'4. Search'!B436</f>
        <v>3</v>
      </c>
      <c r="C59" s="27" t="n">
        <f aca="false">'4. Search'!B574</f>
        <v>0.108395133112365</v>
      </c>
      <c r="D59" s="17" t="n">
        <f aca="false">'4. Search'!B576</f>
        <v>12.8123689090405</v>
      </c>
      <c r="E59" s="31" t="n">
        <f aca="false">'4. Search'!B575</f>
        <v>522209.151160918</v>
      </c>
    </row>
    <row r="60" customFormat="false" ht="15" hidden="false" customHeight="false" outlineLevel="0" collapsed="false">
      <c r="A60" s="15" t="s">
        <v>104</v>
      </c>
      <c r="B60" s="17" t="n">
        <f aca="false">'4. Search'!B580</f>
        <v>3.6</v>
      </c>
      <c r="C60" s="27" t="n">
        <f aca="false">'4. Search'!B718</f>
        <v>0.101293314754956</v>
      </c>
      <c r="D60" s="17" t="n">
        <f aca="false">'4. Search'!B720</f>
        <v>12.932914004512</v>
      </c>
      <c r="E60" s="31" t="n">
        <f aca="false">'4. Search'!B719</f>
        <v>517084.423566354</v>
      </c>
    </row>
    <row r="61" customFormat="false" ht="15" hidden="false" customHeight="false" outlineLevel="0" collapsed="false">
      <c r="A61" s="2" t="s">
        <v>105</v>
      </c>
    </row>
    <row r="62" customFormat="false" ht="15" hidden="false" customHeight="false" outlineLevel="0" collapsed="false">
      <c r="A62" s="15" t="str">
        <f aca="false">IF(MIN(C56:C60)&gt;B16,"The store is under-pushing under every belief tested.","Not every belief puts the optimum above the current increase.")</f>
        <v>The store is under-pushing under every belief tested.</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P72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30"/>
    <col collapsed="false" customWidth="true" hidden="false" outlineLevel="0" max="16" min="2" style="0" width="12"/>
  </cols>
  <sheetData>
    <row r="1" customFormat="false" ht="16.15" hidden="false" customHeight="false" outlineLevel="0" collapsed="false">
      <c r="A1" s="5" t="s">
        <v>106</v>
      </c>
    </row>
    <row r="2" customFormat="false" ht="15" hidden="false" customHeight="false" outlineLevel="0" collapsed="false">
      <c r="A2" s="2" t="s">
        <v>107</v>
      </c>
    </row>
    <row r="4" customFormat="false" ht="15" hidden="false" customHeight="false" outlineLevel="0" collapsed="false">
      <c r="A4" s="13" t="s">
        <v>108</v>
      </c>
      <c r="B4" s="19" t="n">
        <f aca="false">'3. The decision'!$B$30*0.666666666666667</f>
        <v>1.6</v>
      </c>
    </row>
    <row r="5" customFormat="false" ht="15" hidden="false" customHeight="false" outlineLevel="0" collapsed="false">
      <c r="A5" s="13"/>
    </row>
    <row r="6" customFormat="false" ht="15" hidden="false" customHeight="false" outlineLevel="0" collapsed="false">
      <c r="A6" s="28" t="s">
        <v>109</v>
      </c>
      <c r="B6" s="28" t="s">
        <v>110</v>
      </c>
      <c r="C6" s="28" t="s">
        <v>111</v>
      </c>
      <c r="D6" s="28" t="s">
        <v>112</v>
      </c>
      <c r="E6" s="28" t="s">
        <v>113</v>
      </c>
      <c r="F6" s="28" t="s">
        <v>114</v>
      </c>
      <c r="G6" s="28" t="s">
        <v>115</v>
      </c>
      <c r="H6" s="28" t="s">
        <v>116</v>
      </c>
      <c r="I6" s="28" t="s">
        <v>117</v>
      </c>
      <c r="J6" s="28" t="s">
        <v>118</v>
      </c>
      <c r="K6" s="28" t="s">
        <v>119</v>
      </c>
      <c r="L6" s="28" t="s">
        <v>120</v>
      </c>
      <c r="M6" s="28" t="s">
        <v>121</v>
      </c>
      <c r="N6" s="28" t="s">
        <v>122</v>
      </c>
      <c r="O6" s="28" t="s">
        <v>123</v>
      </c>
      <c r="P6" s="28" t="s">
        <v>124</v>
      </c>
    </row>
    <row r="7" customFormat="false" ht="15" hidden="false" customHeight="false" outlineLevel="0" collapsed="false">
      <c r="A7" s="27" t="n">
        <f aca="false">0*0.0025</f>
        <v>0</v>
      </c>
      <c r="B7" s="27" t="n">
        <f aca="false">IF(A7&gt;0,MIN('3. The decision'!$B$15,'3. The decision'!$B$29*(A7/'3. The decision'!$B$28)^$B$4),0)</f>
        <v>0</v>
      </c>
      <c r="C7" s="15" t="n">
        <f aca="false">(1-'3. The decision'!$B$27-B7)*(1-'3. The decision'!$B$27)^('3. The decision'!$B$12-1)</f>
        <v>0.661737785447033</v>
      </c>
      <c r="D7" s="15" t="n">
        <f aca="false">1+(1-'3. The decision'!$B$27-B7)*(1-(1-'3. The decision'!$B$27)^('3. The decision'!$B$12-1))/'3. The decision'!$B$27</f>
        <v>5.08664984290175</v>
      </c>
      <c r="E7" s="15" t="n">
        <f aca="false">(1-'3. The decision'!$B$14)*(1-'3. The decision'!$B$27)^('3. The decision'!$B$11-1)</f>
        <v>0.690273454655712</v>
      </c>
      <c r="F7" s="15" t="n">
        <f aca="false">1+(1-'3. The decision'!$B$14)*(1-(1-'3. The decision'!$B$27)^('3. The decision'!$B$11-1))/'3. The decision'!$B$27</f>
        <v>4.28912098262087</v>
      </c>
      <c r="G7" s="15" t="n">
        <f aca="false">(1-(1-'3. The decision'!$B$9*MIN(1,('3. The decision'!$B$10/(52/12)))))+(1-(1-'3. The decision'!$B$9*MAX(0,MIN(1,('3. The decision'!$B$10/(52/12))-1))))*(1-'3. The decision'!$B$14)+(1-(1-'3. The decision'!$B$9*MAX(0,MIN(1,('3. The decision'!$B$10/(52/12))-2))))*(1-'3. The decision'!$B$14)*(1-'3. The decision'!$B$27)</f>
        <v>0.884576923076923</v>
      </c>
      <c r="H7" s="15" t="n">
        <f aca="false">IF(A7&lt;=0,0,MAX(0,ROUNDUP(LN('3. The decision'!$B$13)/LN(1+A7)-0.000000000001,0)-1))</f>
        <v>0</v>
      </c>
      <c r="I7" s="15" t="n">
        <f aca="false">IF(A7&lt;=0,1/(1-C7),(1+A7)*(1-(C7*(1+A7))^H7)/(1-C7*(1+A7))+'3. The decision'!$B$13*C7^H7/(1-C7))</f>
        <v>2.95628644577272</v>
      </c>
      <c r="J7" s="17" t="n">
        <f aca="false">F7+E7*D7/(1-C7)</f>
        <v>14.6691729323308</v>
      </c>
      <c r="K7" s="15" t="n">
        <f aca="false">F7-G7+E7*D7*I7</f>
        <v>13.7845960092539</v>
      </c>
      <c r="L7" s="17" t="n">
        <f aca="false">'3. The decision'!$B$8*'3. The decision'!$B$5/J7</f>
        <v>32.0154382368016</v>
      </c>
      <c r="M7" s="31" t="n">
        <f aca="false">L7*'3. The decision'!$B$6*'3. The decision'!$B$7*K7</f>
        <v>846462.005967676</v>
      </c>
      <c r="N7" s="31" t="n">
        <f aca="false">M7*(1+'3. The decision'!$B$19+'3. The decision'!$B$20+'3. The decision'!$B$22)</f>
        <v>936186.97860025</v>
      </c>
      <c r="O7" s="31" t="n">
        <f aca="false">'3. The decision'!$B$17+'3. The decision'!$B$18*L7*12+M7*('3. The decision'!$B$20*(1-'3. The decision'!$B$21)+'3. The decision'!$B$23)+N7*('3. The decision'!$B$24+'3. The decision'!$B$25)</f>
        <v>567500.190131996</v>
      </c>
      <c r="P7" s="31" t="n">
        <f aca="false">N7-O7</f>
        <v>368686.788468253</v>
      </c>
    </row>
    <row r="8" customFormat="false" ht="15" hidden="false" customHeight="false" outlineLevel="0" collapsed="false">
      <c r="A8" s="27" t="n">
        <f aca="false">1*0.0025</f>
        <v>0.0025</v>
      </c>
      <c r="B8" s="27" t="n">
        <f aca="false">IF(A8&gt;0,MIN('3. The decision'!$B$15,'3. The decision'!$B$29*(A8/'3. The decision'!$B$28)^$B$4),0)</f>
        <v>0.000112647901253384</v>
      </c>
      <c r="C8" s="15" t="n">
        <f aca="false">(1-'3. The decision'!$B$27-B8)*(1-'3. The decision'!$B$27)^('3. The decision'!$B$12-1)</f>
        <v>0.661657931807279</v>
      </c>
      <c r="D8" s="15" t="n">
        <f aca="false">1+(1-'3. The decision'!$B$27-B8)*(1-(1-'3. The decision'!$B$27)^('3. The decision'!$B$12-1))/'3. The decision'!$B$27</f>
        <v>5.08615669611229</v>
      </c>
      <c r="E8" s="15" t="n">
        <f aca="false">(1-'3. The decision'!$B$14)*(1-'3. The decision'!$B$27)^('3. The decision'!$B$11-1)</f>
        <v>0.690273454655712</v>
      </c>
      <c r="F8" s="15" t="n">
        <f aca="false">1+(1-'3. The decision'!$B$14)*(1-(1-'3. The decision'!$B$27)^('3. The decision'!$B$11-1))/'3. The decision'!$B$27</f>
        <v>4.28912098262087</v>
      </c>
      <c r="G8" s="15" t="n">
        <f aca="false">(1-(1-'3. The decision'!$B$9*MIN(1,('3. The decision'!$B$10/(52/12)))))+(1-(1-'3. The decision'!$B$9*MAX(0,MIN(1,('3. The decision'!$B$10/(52/12))-1))))*(1-'3. The decision'!$B$14)+(1-(1-'3. The decision'!$B$9*MAX(0,MIN(1,('3. The decision'!$B$10/(52/12))-2))))*(1-'3. The decision'!$B$14)*(1-'3. The decision'!$B$27)</f>
        <v>0.884576923076923</v>
      </c>
      <c r="H8" s="15" t="n">
        <f aca="false">IF(A8&lt;=0,0,MAX(0,ROUNDUP(LN('3. The decision'!$B$13)/LN(1+A8)-0.000000000001,0)-1))</f>
        <v>193</v>
      </c>
      <c r="I8" s="15" t="n">
        <f aca="false">IF(A8&lt;=0,1/(1-C8),(1+A8)*(1-(C8*(1+A8))^H8)/(1-C8*(1+A8))+'3. The decision'!$B$13*C8^H8/(1-C8))</f>
        <v>2.97753477459467</v>
      </c>
      <c r="J8" s="17" t="n">
        <f aca="false">F8+E8*D8/(1-C8)</f>
        <v>14.6657169888436</v>
      </c>
      <c r="K8" s="15" t="n">
        <f aca="false">F8-G8+E8*D8*I8</f>
        <v>13.8581891317279</v>
      </c>
      <c r="L8" s="17" t="n">
        <f aca="false">'3. The decision'!$B$8*'3. The decision'!$B$5/J8</f>
        <v>32.0229826033915</v>
      </c>
      <c r="M8" s="31" t="n">
        <f aca="false">L8*'3. The decision'!$B$6*'3. The decision'!$B$7*K8</f>
        <v>851181.624288234</v>
      </c>
      <c r="N8" s="31" t="n">
        <f aca="false">M8*(1+'3. The decision'!$B$19+'3. The decision'!$B$20+'3. The decision'!$B$22)</f>
        <v>941406.876462787</v>
      </c>
      <c r="O8" s="31" t="n">
        <f aca="false">'3. The decision'!$B$17+'3. The decision'!$B$18*L8*12+M8*('3. The decision'!$B$20*(1-'3. The decision'!$B$21)+'3. The decision'!$B$23)+N8*('3. The decision'!$B$24+'3. The decision'!$B$25)</f>
        <v>568019.57694409</v>
      </c>
      <c r="P8" s="31" t="n">
        <f aca="false">N8-O8</f>
        <v>373387.299518697</v>
      </c>
    </row>
    <row r="9" customFormat="false" ht="15" hidden="false" customHeight="false" outlineLevel="0" collapsed="false">
      <c r="A9" s="27" t="n">
        <f aca="false">2*0.0025</f>
        <v>0.005</v>
      </c>
      <c r="B9" s="27" t="n">
        <f aca="false">IF(A9&gt;0,MIN('3. The decision'!$B$15,'3. The decision'!$B$29*(A9/'3. The decision'!$B$28)^$B$4),0)</f>
        <v>0.000341484580224763</v>
      </c>
      <c r="C9" s="15" t="n">
        <f aca="false">(1-'3. The decision'!$B$27-B9)*(1-'3. The decision'!$B$27)^('3. The decision'!$B$12-1)</f>
        <v>0.66149571447769</v>
      </c>
      <c r="D9" s="15" t="n">
        <f aca="false">1+(1-'3. The decision'!$B$27-B9)*(1-(1-'3. The decision'!$B$27)^('3. The decision'!$B$12-1))/'3. The decision'!$B$27</f>
        <v>5.08515490138474</v>
      </c>
      <c r="E9" s="15" t="n">
        <f aca="false">(1-'3. The decision'!$B$14)*(1-'3. The decision'!$B$27)^('3. The decision'!$B$11-1)</f>
        <v>0.690273454655712</v>
      </c>
      <c r="F9" s="15" t="n">
        <f aca="false">1+(1-'3. The decision'!$B$14)*(1-(1-'3. The decision'!$B$27)^('3. The decision'!$B$11-1))/'3. The decision'!$B$27</f>
        <v>4.28912098262087</v>
      </c>
      <c r="G9" s="15" t="n">
        <f aca="false">(1-(1-'3. The decision'!$B$9*MIN(1,('3. The decision'!$B$10/(52/12)))))+(1-(1-'3. The decision'!$B$9*MAX(0,MIN(1,('3. The decision'!$B$10/(52/12))-1))))*(1-'3. The decision'!$B$14)+(1-(1-'3. The decision'!$B$9*MAX(0,MIN(1,('3. The decision'!$B$10/(52/12))-2))))*(1-'3. The decision'!$B$14)*(1-'3. The decision'!$B$27)</f>
        <v>0.884576923076923</v>
      </c>
      <c r="H9" s="15" t="n">
        <f aca="false">IF(A9&lt;=0,0,MAX(0,ROUNDUP(LN('3. The decision'!$B$13)/LN(1+A9)-0.000000000001,0)-1))</f>
        <v>96</v>
      </c>
      <c r="I9" s="15" t="n">
        <f aca="false">IF(A9&lt;=0,1/(1-C9),(1+A9)*(1-(C9*(1+A9))^H9)/(1-C9*(1+A9))+'3. The decision'!$B$13*C9^H9/(1-C9))</f>
        <v>2.99823858450461</v>
      </c>
      <c r="J9" s="17" t="n">
        <f aca="false">F9+E9*D9/(1-C9)</f>
        <v>14.6587014912462</v>
      </c>
      <c r="K9" s="15" t="n">
        <f aca="false">F9-G9+E9*D9*I9</f>
        <v>13.9288035551647</v>
      </c>
      <c r="L9" s="17" t="n">
        <f aca="false">'3. The decision'!$B$8*'3. The decision'!$B$5/J9</f>
        <v>32.0383084600269</v>
      </c>
      <c r="M9" s="31" t="n">
        <f aca="false">L9*'3. The decision'!$B$6*'3. The decision'!$B$7*K9</f>
        <v>855928.263675979</v>
      </c>
      <c r="N9" s="31" t="n">
        <f aca="false">M9*(1+'3. The decision'!$B$19+'3. The decision'!$B$20+'3. The decision'!$B$22)</f>
        <v>946656.659625633</v>
      </c>
      <c r="O9" s="31" t="n">
        <f aca="false">'3. The decision'!$B$17+'3. The decision'!$B$18*L9*12+M9*('3. The decision'!$B$20*(1-'3. The decision'!$B$21)+'3. The decision'!$B$23)+N9*('3. The decision'!$B$24+'3. The decision'!$B$25)</f>
        <v>568553.659605987</v>
      </c>
      <c r="P9" s="31" t="n">
        <f aca="false">N9-O9</f>
        <v>378103.000019647</v>
      </c>
    </row>
    <row r="10" customFormat="false" ht="15" hidden="false" customHeight="false" outlineLevel="0" collapsed="false">
      <c r="A10" s="27" t="n">
        <f aca="false">3*0.0025</f>
        <v>0.0075</v>
      </c>
      <c r="B10" s="27" t="n">
        <f aca="false">IF(A10&gt;0,MIN('3. The decision'!$B$15,'3. The decision'!$B$29*(A10/'3. The decision'!$B$28)^$B$4),0)</f>
        <v>0.000653306700306864</v>
      </c>
      <c r="C10" s="15" t="n">
        <f aca="false">(1-'3. The decision'!$B$27-B10)*(1-'3. The decision'!$B$27)^('3. The decision'!$B$12-1)</f>
        <v>0.661274670579247</v>
      </c>
      <c r="D10" s="15" t="n">
        <f aca="false">1+(1-'3. The decision'!$B$27-B10)*(1-(1-'3. The decision'!$B$27)^('3. The decision'!$B$12-1))/'3. The decision'!$B$27</f>
        <v>5.08378981534506</v>
      </c>
      <c r="E10" s="15" t="n">
        <f aca="false">(1-'3. The decision'!$B$14)*(1-'3. The decision'!$B$27)^('3. The decision'!$B$11-1)</f>
        <v>0.690273454655712</v>
      </c>
      <c r="F10" s="15" t="n">
        <f aca="false">1+(1-'3. The decision'!$B$14)*(1-(1-'3. The decision'!$B$27)^('3. The decision'!$B$11-1))/'3. The decision'!$B$27</f>
        <v>4.28912098262087</v>
      </c>
      <c r="G10" s="15" t="n">
        <f aca="false">(1-(1-'3. The decision'!$B$9*MIN(1,('3. The decision'!$B$10/(52/12)))))+(1-(1-'3. The decision'!$B$9*MAX(0,MIN(1,('3. The decision'!$B$10/(52/12))-1))))*(1-'3. The decision'!$B$14)+(1-(1-'3. The decision'!$B$9*MAX(0,MIN(1,('3. The decision'!$B$10/(52/12))-2))))*(1-'3. The decision'!$B$14)*(1-'3. The decision'!$B$27)</f>
        <v>0.884576923076923</v>
      </c>
      <c r="H10" s="15" t="n">
        <f aca="false">IF(A10&lt;=0,0,MAX(0,ROUNDUP(LN('3. The decision'!$B$13)/LN(1+A10)-0.000000000001,0)-1))</f>
        <v>64</v>
      </c>
      <c r="I10" s="15" t="n">
        <f aca="false">IF(A10&lt;=0,1/(1-C10),(1+A10)*(1-(C10*(1+A10))^H10)/(1-C10*(1+A10))+'3. The decision'!$B$13*C10^H10/(1-C10))</f>
        <v>3.01858396634559</v>
      </c>
      <c r="J10" s="17" t="n">
        <f aca="false">F10+E10*D10/(1-C10)</f>
        <v>14.6491527067992</v>
      </c>
      <c r="K10" s="15" t="n">
        <f aca="false">F10-G10+E10*D10*I10</f>
        <v>13.9973744858561</v>
      </c>
      <c r="L10" s="17" t="n">
        <f aca="false">'3. The decision'!$B$8*'3. The decision'!$B$5/J10</f>
        <v>32.0591920502012</v>
      </c>
      <c r="M10" s="31" t="n">
        <f aca="false">L10*'3. The decision'!$B$6*'3. The decision'!$B$7*K10</f>
        <v>860702.631475336</v>
      </c>
      <c r="N10" s="31" t="n">
        <f aca="false">M10*(1+'3. The decision'!$B$19+'3. The decision'!$B$20+'3. The decision'!$B$22)</f>
        <v>951937.110411721</v>
      </c>
      <c r="O10" s="31" t="n">
        <f aca="false">'3. The decision'!$B$17+'3. The decision'!$B$18*L10*12+M10*('3. The decision'!$B$20*(1-'3. The decision'!$B$21)+'3. The decision'!$B$23)+N10*('3. The decision'!$B$24+'3. The decision'!$B$25)</f>
        <v>569099.145628592</v>
      </c>
      <c r="P10" s="31" t="n">
        <f aca="false">N10-O10</f>
        <v>382837.964783129</v>
      </c>
    </row>
    <row r="11" customFormat="false" ht="15" hidden="false" customHeight="false" outlineLevel="0" collapsed="false">
      <c r="A11" s="27" t="n">
        <f aca="false">4*0.0025</f>
        <v>0.01</v>
      </c>
      <c r="B11" s="27" t="n">
        <f aca="false">IF(A11&gt;0,MIN('3. The decision'!$B$15,'3. The decision'!$B$29*(A11/'3. The decision'!$B$28)^$B$4),0)</f>
        <v>0.00103518767090904</v>
      </c>
      <c r="C11" s="15" t="n">
        <f aca="false">(1-'3. The decision'!$B$27-B11)*(1-'3. The decision'!$B$27)^('3. The decision'!$B$12-1)</f>
        <v>0.661003963490023</v>
      </c>
      <c r="D11" s="15" t="n">
        <f aca="false">1+(1-'3. The decision'!$B$27-B11)*(1-(1-'3. The decision'!$B$27)^('3. The decision'!$B$12-1))/'3. The decision'!$B$27</f>
        <v>5.08211802765516</v>
      </c>
      <c r="E11" s="15" t="n">
        <f aca="false">(1-'3. The decision'!$B$14)*(1-'3. The decision'!$B$27)^('3. The decision'!$B$11-1)</f>
        <v>0.690273454655712</v>
      </c>
      <c r="F11" s="15" t="n">
        <f aca="false">1+(1-'3. The decision'!$B$14)*(1-(1-'3. The decision'!$B$27)^('3. The decision'!$B$11-1))/'3. The decision'!$B$27</f>
        <v>4.28912098262087</v>
      </c>
      <c r="G11" s="15" t="n">
        <f aca="false">(1-(1-'3. The decision'!$B$9*MIN(1,('3. The decision'!$B$10/(52/12)))))+(1-(1-'3. The decision'!$B$9*MAX(0,MIN(1,('3. The decision'!$B$10/(52/12))-1))))*(1-'3. The decision'!$B$14)+(1-(1-'3. The decision'!$B$9*MAX(0,MIN(1,('3. The decision'!$B$10/(52/12))-2))))*(1-'3. The decision'!$B$14)*(1-'3. The decision'!$B$27)</f>
        <v>0.884576923076923</v>
      </c>
      <c r="H11" s="15" t="n">
        <f aca="false">IF(A11&lt;=0,0,MAX(0,ROUNDUP(LN('3. The decision'!$B$13)/LN(1+A11)-0.000000000001,0)-1))</f>
        <v>48</v>
      </c>
      <c r="I11" s="15" t="n">
        <f aca="false">IF(A11&lt;=0,1/(1-C11),(1+A11)*(1-(C11*(1+A11))^H11)/(1-C11*(1+A11))+'3. The decision'!$B$13*C11^H11/(1-C11))</f>
        <v>3.03863583123816</v>
      </c>
      <c r="J11" s="17" t="n">
        <f aca="false">F11+E11*D11/(1-C11)</f>
        <v>14.6374755062713</v>
      </c>
      <c r="K11" s="15" t="n">
        <f aca="false">F11-G11+E11*D11*I11</f>
        <v>14.0642340361952</v>
      </c>
      <c r="L11" s="17" t="n">
        <f aca="false">'3. The decision'!$B$8*'3. The decision'!$B$5/J11</f>
        <v>32.0847676089218</v>
      </c>
      <c r="M11" s="31" t="n">
        <f aca="false">L11*'3. The decision'!$B$6*'3. The decision'!$B$7*K11</f>
        <v>865503.759056505</v>
      </c>
      <c r="N11" s="31" t="n">
        <f aca="false">M11*(1+'3. The decision'!$B$19+'3. The decision'!$B$20+'3. The decision'!$B$22)</f>
        <v>957247.157516494</v>
      </c>
      <c r="O11" s="31" t="n">
        <f aca="false">'3. The decision'!$B$17+'3. The decision'!$B$18*L11*12+M11*('3. The decision'!$B$20*(1-'3. The decision'!$B$21)+'3. The decision'!$B$23)+N11*('3. The decision'!$B$24+'3. The decision'!$B$25)</f>
        <v>569654.619272307</v>
      </c>
      <c r="P11" s="31" t="n">
        <f aca="false">N11-O11</f>
        <v>387592.538244187</v>
      </c>
    </row>
    <row r="12" customFormat="false" ht="15" hidden="false" customHeight="false" outlineLevel="0" collapsed="false">
      <c r="A12" s="27" t="n">
        <f aca="false">5*0.0025</f>
        <v>0.0125</v>
      </c>
      <c r="B12" s="27" t="n">
        <f aca="false">IF(A12&gt;0,MIN('3. The decision'!$B$15,'3. The decision'!$B$29*(A12/'3. The decision'!$B$28)^$B$4),0)</f>
        <v>0.00147936422374871</v>
      </c>
      <c r="C12" s="15" t="n">
        <f aca="false">(1-'3. The decision'!$B$27-B12)*(1-'3. The decision'!$B$27)^('3. The decision'!$B$12-1)</f>
        <v>0.660689096421545</v>
      </c>
      <c r="D12" s="15" t="n">
        <f aca="false">1+(1-'3. The decision'!$B$27-B12)*(1-(1-'3. The decision'!$B$27)^('3. The decision'!$B$12-1))/'3. The decision'!$B$27</f>
        <v>5.08017352413092</v>
      </c>
      <c r="E12" s="15" t="n">
        <f aca="false">(1-'3. The decision'!$B$14)*(1-'3. The decision'!$B$27)^('3. The decision'!$B$11-1)</f>
        <v>0.690273454655712</v>
      </c>
      <c r="F12" s="15" t="n">
        <f aca="false">1+(1-'3. The decision'!$B$14)*(1-(1-'3. The decision'!$B$27)^('3. The decision'!$B$11-1))/'3. The decision'!$B$27</f>
        <v>4.28912098262087</v>
      </c>
      <c r="G12" s="15" t="n">
        <f aca="false">(1-(1-'3. The decision'!$B$9*MIN(1,('3. The decision'!$B$10/(52/12)))))+(1-(1-'3. The decision'!$B$9*MAX(0,MIN(1,('3. The decision'!$B$10/(52/12))-1))))*(1-'3. The decision'!$B$14)+(1-(1-'3. The decision'!$B$9*MAX(0,MIN(1,('3. The decision'!$B$10/(52/12))-2))))*(1-'3. The decision'!$B$14)*(1-'3. The decision'!$B$27)</f>
        <v>0.884576923076923</v>
      </c>
      <c r="H12" s="15" t="n">
        <f aca="false">IF(A12&lt;=0,0,MAX(0,ROUNDUP(LN('3. The decision'!$B$13)/LN(1+A12)-0.000000000001,0)-1))</f>
        <v>38</v>
      </c>
      <c r="I12" s="15" t="n">
        <f aca="false">IF(A12&lt;=0,1/(1-C12),(1+A12)*(1-(C12*(1+A12))^H12)/(1-C12*(1+A12))+'3. The decision'!$B$13*C12^H12/(1-C12))</f>
        <v>3.05842921131595</v>
      </c>
      <c r="J12" s="17" t="n">
        <f aca="false">F12+E12*D12/(1-C12)</f>
        <v>14.6239168638311</v>
      </c>
      <c r="K12" s="15" t="n">
        <f aca="false">F12-G12+E12*D12*I12</f>
        <v>14.1295650828225</v>
      </c>
      <c r="L12" s="17" t="n">
        <f aca="false">'3. The decision'!$B$8*'3. The decision'!$B$5/J12</f>
        <v>32.1145151721662</v>
      </c>
      <c r="M12" s="31" t="n">
        <f aca="false">L12*'3. The decision'!$B$6*'3. The decision'!$B$7*K12</f>
        <v>870330.372898592</v>
      </c>
      <c r="N12" s="31" t="n">
        <f aca="false">M12*(1+'3. The decision'!$B$19+'3. The decision'!$B$20+'3. The decision'!$B$22)</f>
        <v>962585.392425842</v>
      </c>
      <c r="O12" s="31" t="n">
        <f aca="false">'3. The decision'!$B$17+'3. The decision'!$B$18*L12*12+M12*('3. The decision'!$B$20*(1-'3. The decision'!$B$21)+'3. The decision'!$B$23)+N12*('3. The decision'!$B$24+'3. The decision'!$B$25)</f>
        <v>570219.15581354</v>
      </c>
      <c r="P12" s="31" t="n">
        <f aca="false">N12-O12</f>
        <v>392366.236612302</v>
      </c>
    </row>
    <row r="13" customFormat="false" ht="15" hidden="false" customHeight="false" outlineLevel="0" collapsed="false">
      <c r="A13" s="27" t="n">
        <f aca="false">6*0.0025</f>
        <v>0.015</v>
      </c>
      <c r="B13" s="27" t="n">
        <f aca="false">IF(A13&gt;0,MIN('3. The decision'!$B$15,'3. The decision'!$B$29*(A13/'3. The decision'!$B$28)^$B$4),0)</f>
        <v>0.00198045557733471</v>
      </c>
      <c r="C13" s="15" t="n">
        <f aca="false">(1-'3. The decision'!$B$27-B13)*(1-'3. The decision'!$B$27)^('3. The decision'!$B$12-1)</f>
        <v>0.660333883692431</v>
      </c>
      <c r="D13" s="15" t="n">
        <f aca="false">1+(1-'3. The decision'!$B$27-B13)*(1-(1-'3. The decision'!$B$27)^('3. The decision'!$B$12-1))/'3. The decision'!$B$27</f>
        <v>5.07797986060503</v>
      </c>
      <c r="E13" s="15" t="n">
        <f aca="false">(1-'3. The decision'!$B$14)*(1-'3. The decision'!$B$27)^('3. The decision'!$B$11-1)</f>
        <v>0.690273454655712</v>
      </c>
      <c r="F13" s="15" t="n">
        <f aca="false">1+(1-'3. The decision'!$B$14)*(1-(1-'3. The decision'!$B$27)^('3. The decision'!$B$11-1))/'3. The decision'!$B$27</f>
        <v>4.28912098262087</v>
      </c>
      <c r="G13" s="15" t="n">
        <f aca="false">(1-(1-'3. The decision'!$B$9*MIN(1,('3. The decision'!$B$10/(52/12)))))+(1-(1-'3. The decision'!$B$9*MAX(0,MIN(1,('3. The decision'!$B$10/(52/12))-1))))*(1-'3. The decision'!$B$14)+(1-(1-'3. The decision'!$B$9*MAX(0,MIN(1,('3. The decision'!$B$10/(52/12))-2))))*(1-'3. The decision'!$B$14)*(1-'3. The decision'!$B$27)</f>
        <v>0.884576923076923</v>
      </c>
      <c r="H13" s="15" t="n">
        <f aca="false">IF(A13&lt;=0,0,MAX(0,ROUNDUP(LN('3. The decision'!$B$13)/LN(1+A13)-0.000000000001,0)-1))</f>
        <v>32</v>
      </c>
      <c r="I13" s="15" t="n">
        <f aca="false">IF(A13&lt;=0,1/(1-C13),(1+A13)*(1-(C13*(1+A13))^H13)/(1-C13*(1+A13))+'3. The decision'!$B$13*C13^H13/(1-C13))</f>
        <v>3.07798545616996</v>
      </c>
      <c r="J13" s="17" t="n">
        <f aca="false">F13+E13*D13/(1-C13)</f>
        <v>14.6086510527854</v>
      </c>
      <c r="K13" s="15" t="n">
        <f aca="false">F13-G13+E13*D13*I13</f>
        <v>14.1934823704259</v>
      </c>
      <c r="L13" s="17" t="n">
        <f aca="false">'3. The decision'!$B$8*'3. The decision'!$B$5/J13</f>
        <v>32.1480743364361</v>
      </c>
      <c r="M13" s="31" t="n">
        <f aca="false">L13*'3. The decision'!$B$6*'3. The decision'!$B$7*K13</f>
        <v>875181.043609555</v>
      </c>
      <c r="N13" s="31" t="n">
        <f aca="false">M13*(1+'3. The decision'!$B$19+'3. The decision'!$B$20+'3. The decision'!$B$22)</f>
        <v>967950.234232168</v>
      </c>
      <c r="O13" s="31" t="n">
        <f aca="false">'3. The decision'!$B$17+'3. The decision'!$B$18*L13*12+M13*('3. The decision'!$B$20*(1-'3. The decision'!$B$21)+'3. The decision'!$B$23)+N13*('3. The decision'!$B$24+'3. The decision'!$B$25)</f>
        <v>570792.055460209</v>
      </c>
      <c r="P13" s="31" t="n">
        <f aca="false">N13-O13</f>
        <v>397158.178771959</v>
      </c>
    </row>
    <row r="14" customFormat="false" ht="15" hidden="false" customHeight="false" outlineLevel="0" collapsed="false">
      <c r="A14" s="27" t="n">
        <f aca="false">7*0.0025</f>
        <v>0.0175</v>
      </c>
      <c r="B14" s="27" t="n">
        <f aca="false">IF(A14&gt;0,MIN('3. The decision'!$B$15,'3. The decision'!$B$29*(A14/'3. The decision'!$B$28)^$B$4),0)</f>
        <v>0.00253442806328406</v>
      </c>
      <c r="C14" s="15" t="n">
        <f aca="false">(1-'3. The decision'!$B$27-B14)*(1-'3. The decision'!$B$27)^('3. The decision'!$B$12-1)</f>
        <v>0.6599411846822</v>
      </c>
      <c r="D14" s="15" t="n">
        <f aca="false">1+(1-'3. The decision'!$B$27-B14)*(1-(1-'3. The decision'!$B$27)^('3. The decision'!$B$12-1))/'3. The decision'!$B$27</f>
        <v>5.07555469555664</v>
      </c>
      <c r="E14" s="15" t="n">
        <f aca="false">(1-'3. The decision'!$B$14)*(1-'3. The decision'!$B$27)^('3. The decision'!$B$11-1)</f>
        <v>0.690273454655712</v>
      </c>
      <c r="F14" s="15" t="n">
        <f aca="false">1+(1-'3. The decision'!$B$14)*(1-(1-'3. The decision'!$B$27)^('3. The decision'!$B$11-1))/'3. The decision'!$B$27</f>
        <v>4.28912098262087</v>
      </c>
      <c r="G14" s="15" t="n">
        <f aca="false">(1-(1-'3. The decision'!$B$9*MIN(1,('3. The decision'!$B$10/(52/12)))))+(1-(1-'3. The decision'!$B$9*MAX(0,MIN(1,('3. The decision'!$B$10/(52/12))-1))))*(1-'3. The decision'!$B$14)+(1-(1-'3. The decision'!$B$9*MAX(0,MIN(1,('3. The decision'!$B$10/(52/12))-2))))*(1-'3. The decision'!$B$14)*(1-'3. The decision'!$B$27)</f>
        <v>0.884576923076923</v>
      </c>
      <c r="H14" s="15" t="n">
        <f aca="false">IF(A14&lt;=0,0,MAX(0,ROUNDUP(LN('3. The decision'!$B$13)/LN(1+A14)-0.000000000001,0)-1))</f>
        <v>27</v>
      </c>
      <c r="I14" s="15" t="n">
        <f aca="false">IF(A14&lt;=0,1/(1-C14),(1+A14)*(1-(C14*(1+A14))^H14)/(1-C14*(1+A14))+'3. The decision'!$B$13*C14^H14/(1-C14))</f>
        <v>3.0973171972166</v>
      </c>
      <c r="J14" s="17" t="n">
        <f aca="false">F14+E14*D14/(1-C14)</f>
        <v>14.5918113296472</v>
      </c>
      <c r="K14" s="15" t="n">
        <f aca="false">F14-G14+E14*D14*I14</f>
        <v>14.2560588939153</v>
      </c>
      <c r="L14" s="17" t="n">
        <f aca="false">'3. The decision'!$B$8*'3. The decision'!$B$5/J14</f>
        <v>32.1851749169619</v>
      </c>
      <c r="M14" s="31" t="n">
        <f aca="false">L14*'3. The decision'!$B$6*'3. The decision'!$B$7*K14</f>
        <v>880054.01840641</v>
      </c>
      <c r="N14" s="31" t="n">
        <f aca="false">M14*(1+'3. The decision'!$B$19+'3. The decision'!$B$20+'3. The decision'!$B$22)</f>
        <v>973339.744357489</v>
      </c>
      <c r="O14" s="31" t="n">
        <f aca="false">'3. The decision'!$B$17+'3. The decision'!$B$18*L14*12+M14*('3. The decision'!$B$20*(1-'3. The decision'!$B$21)+'3. The decision'!$B$23)+N14*('3. The decision'!$B$24+'3. The decision'!$B$25)</f>
        <v>571372.720280891</v>
      </c>
      <c r="P14" s="31" t="n">
        <f aca="false">N14-O14</f>
        <v>401967.024076598</v>
      </c>
    </row>
    <row r="15" customFormat="false" ht="15" hidden="false" customHeight="false" outlineLevel="0" collapsed="false">
      <c r="A15" s="27" t="n">
        <f aca="false">8*0.0025</f>
        <v>0.02</v>
      </c>
      <c r="B15" s="27" t="n">
        <f aca="false">IF(A15&gt;0,MIN('3. The decision'!$B$15,'3. The decision'!$B$29*(A15/'3. The decision'!$B$28)^$B$4),0)</f>
        <v>0.0031381022044883</v>
      </c>
      <c r="C15" s="15" t="n">
        <f aca="false">(1-'3. The decision'!$B$27-B15)*(1-'3. The decision'!$B$27)^('3. The decision'!$B$12-1)</f>
        <v>0.659513253252813</v>
      </c>
      <c r="D15" s="15" t="n">
        <f aca="false">1+(1-'3. The decision'!$B$27-B15)*(1-(1-'3. The decision'!$B$27)^('3. The decision'!$B$12-1))/'3. The decision'!$B$27</f>
        <v>5.0729119480105</v>
      </c>
      <c r="E15" s="15" t="n">
        <f aca="false">(1-'3. The decision'!$B$14)*(1-'3. The decision'!$B$27)^('3. The decision'!$B$11-1)</f>
        <v>0.690273454655712</v>
      </c>
      <c r="F15" s="15" t="n">
        <f aca="false">1+(1-'3. The decision'!$B$14)*(1-(1-'3. The decision'!$B$27)^('3. The decision'!$B$11-1))/'3. The decision'!$B$27</f>
        <v>4.28912098262087</v>
      </c>
      <c r="G15" s="15" t="n">
        <f aca="false">(1-(1-'3. The decision'!$B$9*MIN(1,('3. The decision'!$B$10/(52/12)))))+(1-(1-'3. The decision'!$B$9*MAX(0,MIN(1,('3. The decision'!$B$10/(52/12))-1))))*(1-'3. The decision'!$B$14)+(1-(1-'3. The decision'!$B$9*MAX(0,MIN(1,('3. The decision'!$B$10/(52/12))-2))))*(1-'3. The decision'!$B$14)*(1-'3. The decision'!$B$27)</f>
        <v>0.884576923076923</v>
      </c>
      <c r="H15" s="15" t="n">
        <f aca="false">IF(A15&lt;=0,0,MAX(0,ROUNDUP(LN('3. The decision'!$B$13)/LN(1+A15)-0.000000000001,0)-1))</f>
        <v>24</v>
      </c>
      <c r="I15" s="15" t="n">
        <f aca="false">IF(A15&lt;=0,1/(1-C15),(1+A15)*(1-(C15*(1+A15))^H15)/(1-C15*(1+A15))+'3. The decision'!$B$13*C15^H15/(1-C15))</f>
        <v>3.11642878744341</v>
      </c>
      <c r="J15" s="17" t="n">
        <f aca="false">F15+E15*D15/(1-C15)</f>
        <v>14.5735049974779</v>
      </c>
      <c r="K15" s="15" t="n">
        <f aca="false">F15-G15+E15*D15*I15</f>
        <v>14.3173316984071</v>
      </c>
      <c r="L15" s="17" t="n">
        <f aca="false">'3. The decision'!$B$8*'3. The decision'!$B$5/J15</f>
        <v>32.2256039354483</v>
      </c>
      <c r="M15" s="31" t="n">
        <f aca="false">L15*'3. The decision'!$B$6*'3. The decision'!$B$7*K15</f>
        <v>884946.727381731</v>
      </c>
      <c r="N15" s="31" t="n">
        <f aca="false">M15*(1+'3. The decision'!$B$19+'3. The decision'!$B$20+'3. The decision'!$B$22)</f>
        <v>978751.080484194</v>
      </c>
      <c r="O15" s="31" t="n">
        <f aca="false">'3. The decision'!$B$17+'3. The decision'!$B$18*L15*12+M15*('3. The decision'!$B$20*(1-'3. The decision'!$B$21)+'3. The decision'!$B$23)+N15*('3. The decision'!$B$24+'3. The decision'!$B$25)</f>
        <v>571960.551057733</v>
      </c>
      <c r="P15" s="31" t="n">
        <f aca="false">N15-O15</f>
        <v>406790.529426461</v>
      </c>
    </row>
    <row r="16" customFormat="false" ht="15" hidden="false" customHeight="false" outlineLevel="0" collapsed="false">
      <c r="A16" s="27" t="n">
        <f aca="false">9*0.0025</f>
        <v>0.0225</v>
      </c>
      <c r="B16" s="27" t="n">
        <f aca="false">IF(A16&gt;0,MIN('3. The decision'!$B$15,'3. The decision'!$B$29*(A16/'3. The decision'!$B$28)^$B$4),0)</f>
        <v>0.00378888234860053</v>
      </c>
      <c r="C16" s="15" t="n">
        <f aca="false">(1-'3. The decision'!$B$27-B16)*(1-'3. The decision'!$B$27)^('3. The decision'!$B$12-1)</f>
        <v>0.659051929405596</v>
      </c>
      <c r="D16" s="15" t="n">
        <f aca="false">1+(1-'3. The decision'!$B$27-B16)*(1-(1-'3. The decision'!$B$27)^('3. The decision'!$B$12-1))/'3. The decision'!$B$27</f>
        <v>5.07006298113991</v>
      </c>
      <c r="E16" s="15" t="n">
        <f aca="false">(1-'3. The decision'!$B$14)*(1-'3. The decision'!$B$27)^('3. The decision'!$B$11-1)</f>
        <v>0.690273454655712</v>
      </c>
      <c r="F16" s="15" t="n">
        <f aca="false">1+(1-'3. The decision'!$B$14)*(1-(1-'3. The decision'!$B$27)^('3. The decision'!$B$11-1))/'3. The decision'!$B$27</f>
        <v>4.28912098262087</v>
      </c>
      <c r="G16" s="15" t="n">
        <f aca="false">(1-(1-'3. The decision'!$B$9*MIN(1,('3. The decision'!$B$10/(52/12)))))+(1-(1-'3. The decision'!$B$9*MAX(0,MIN(1,('3. The decision'!$B$10/(52/12))-1))))*(1-'3. The decision'!$B$14)+(1-(1-'3. The decision'!$B$9*MAX(0,MIN(1,('3. The decision'!$B$10/(52/12))-2))))*(1-'3. The decision'!$B$14)*(1-'3. The decision'!$B$27)</f>
        <v>0.884576923076923</v>
      </c>
      <c r="H16" s="15" t="n">
        <f aca="false">IF(A16&lt;=0,0,MAX(0,ROUNDUP(LN('3. The decision'!$B$13)/LN(1+A16)-0.000000000001,0)-1))</f>
        <v>21</v>
      </c>
      <c r="I16" s="15" t="n">
        <f aca="false">IF(A16&lt;=0,1/(1-C16),(1+A16)*(1-(C16*(1+A16))^H16)/(1-C16*(1+A16))+'3. The decision'!$B$13*C16^H16/(1-C16))</f>
        <v>3.13531510353876</v>
      </c>
      <c r="J16" s="17" t="n">
        <f aca="false">F16+E16*D16/(1-C16)</f>
        <v>14.5538216545211</v>
      </c>
      <c r="K16" s="15" t="n">
        <f aca="false">F16-G16+E16*D16*I16</f>
        <v>14.3773000398145</v>
      </c>
      <c r="L16" s="17" t="n">
        <f aca="false">'3. The decision'!$B$8*'3. The decision'!$B$5/J16</f>
        <v>32.2691875129655</v>
      </c>
      <c r="M16" s="31" t="n">
        <f aca="false">L16*'3. The decision'!$B$6*'3. The decision'!$B$7*K16</f>
        <v>889855.199810574</v>
      </c>
      <c r="N16" s="31" t="n">
        <f aca="false">M16*(1+'3. The decision'!$B$19+'3. The decision'!$B$20+'3. The decision'!$B$22)</f>
        <v>984179.850990495</v>
      </c>
      <c r="O16" s="31" t="n">
        <f aca="false">'3. The decision'!$B$17+'3. The decision'!$B$18*L16*12+M16*('3. The decision'!$B$20*(1-'3. The decision'!$B$21)+'3. The decision'!$B$23)+N16*('3. The decision'!$B$24+'3. The decision'!$B$25)</f>
        <v>572554.857036081</v>
      </c>
      <c r="P16" s="31" t="n">
        <f aca="false">N16-O16</f>
        <v>411624.993954414</v>
      </c>
    </row>
    <row r="17" customFormat="false" ht="15" hidden="false" customHeight="false" outlineLevel="0" collapsed="false">
      <c r="A17" s="27" t="n">
        <f aca="false">10*0.0025</f>
        <v>0.025</v>
      </c>
      <c r="B17" s="27" t="n">
        <f aca="false">IF(A17&gt;0,MIN('3. The decision'!$B$15,'3. The decision'!$B$29*(A17/'3. The decision'!$B$28)^$B$4),0)</f>
        <v>0.00448459372367744</v>
      </c>
      <c r="C17" s="15" t="n">
        <f aca="false">(1-'3. The decision'!$B$27-B17)*(1-'3. The decision'!$B$27)^('3. The decision'!$B$12-1)</f>
        <v>0.658558754788934</v>
      </c>
      <c r="D17" s="15" t="n">
        <f aca="false">1+(1-'3. The decision'!$B$27-B17)*(1-(1-'3. The decision'!$B$27)^('3. The decision'!$B$12-1))/'3. The decision'!$B$27</f>
        <v>5.06701731559983</v>
      </c>
      <c r="E17" s="15" t="n">
        <f aca="false">(1-'3. The decision'!$B$14)*(1-'3. The decision'!$B$27)^('3. The decision'!$B$11-1)</f>
        <v>0.690273454655712</v>
      </c>
      <c r="F17" s="15" t="n">
        <f aca="false">1+(1-'3. The decision'!$B$14)*(1-(1-'3. The decision'!$B$27)^('3. The decision'!$B$11-1))/'3. The decision'!$B$27</f>
        <v>4.28912098262087</v>
      </c>
      <c r="G17" s="15" t="n">
        <f aca="false">(1-(1-'3. The decision'!$B$9*MIN(1,('3. The decision'!$B$10/(52/12)))))+(1-(1-'3. The decision'!$B$9*MAX(0,MIN(1,('3. The decision'!$B$10/(52/12))-1))))*(1-'3. The decision'!$B$14)+(1-(1-'3. The decision'!$B$9*MAX(0,MIN(1,('3. The decision'!$B$10/(52/12))-2))))*(1-'3. The decision'!$B$14)*(1-'3. The decision'!$B$27)</f>
        <v>0.884576923076923</v>
      </c>
      <c r="H17" s="15" t="n">
        <f aca="false">IF(A17&lt;=0,0,MAX(0,ROUNDUP(LN('3. The decision'!$B$13)/LN(1+A17)-0.000000000001,0)-1))</f>
        <v>19</v>
      </c>
      <c r="I17" s="15" t="n">
        <f aca="false">IF(A17&lt;=0,1/(1-C17),(1+A17)*(1-(C17*(1+A17))^H17)/(1-C17*(1+A17))+'3. The decision'!$B$13*C17^H17/(1-C17))</f>
        <v>3.15396026612801</v>
      </c>
      <c r="J17" s="17" t="n">
        <f aca="false">F17+E17*D17/(1-C17)</f>
        <v>14.5328381559146</v>
      </c>
      <c r="K17" s="15" t="n">
        <f aca="false">F17-G17+E17*D17*I17</f>
        <v>14.4359223692518</v>
      </c>
      <c r="L17" s="17" t="n">
        <f aca="false">'3. The decision'!$B$8*'3. The decision'!$B$5/J17</f>
        <v>32.3157799571905</v>
      </c>
      <c r="M17" s="31" t="n">
        <f aca="false">L17*'3. The decision'!$B$6*'3. The decision'!$B$7*K17</f>
        <v>894773.587768528</v>
      </c>
      <c r="N17" s="31" t="n">
        <f aca="false">M17*(1+'3. The decision'!$B$19+'3. The decision'!$B$20+'3. The decision'!$B$22)</f>
        <v>989619.588071992</v>
      </c>
      <c r="O17" s="31" t="n">
        <f aca="false">'3. The decision'!$B$17+'3. The decision'!$B$18*L17*12+M17*('3. The decision'!$B$20*(1-'3. The decision'!$B$21)+'3. The decision'!$B$23)+N17*('3. The decision'!$B$24+'3. The decision'!$B$25)</f>
        <v>573154.78812192</v>
      </c>
      <c r="P17" s="31" t="n">
        <f aca="false">N17-O17</f>
        <v>416464.799950072</v>
      </c>
    </row>
    <row r="18" customFormat="false" ht="15" hidden="false" customHeight="false" outlineLevel="0" collapsed="false">
      <c r="A18" s="27" t="n">
        <f aca="false">11*0.0025</f>
        <v>0.0275</v>
      </c>
      <c r="B18" s="27" t="n">
        <f aca="false">IF(A18&gt;0,MIN('3. The decision'!$B$15,'3. The decision'!$B$29*(A18/'3. The decision'!$B$28)^$B$4),0)</f>
        <v>0.00522337734436208</v>
      </c>
      <c r="C18" s="15" t="n">
        <f aca="false">(1-'3. The decision'!$B$27-B18)*(1-'3. The decision'!$B$27)^('3. The decision'!$B$12-1)</f>
        <v>0.658035047196993</v>
      </c>
      <c r="D18" s="15" t="n">
        <f aca="false">1+(1-'3. The decision'!$B$27-B18)*(1-(1-'3. The decision'!$B$27)^('3. The decision'!$B$12-1))/'3. The decision'!$B$27</f>
        <v>5.06378308960368</v>
      </c>
      <c r="E18" s="15" t="n">
        <f aca="false">(1-'3. The decision'!$B$14)*(1-'3. The decision'!$B$27)^('3. The decision'!$B$11-1)</f>
        <v>0.690273454655712</v>
      </c>
      <c r="F18" s="15" t="n">
        <f aca="false">1+(1-'3. The decision'!$B$14)*(1-(1-'3. The decision'!$B$27)^('3. The decision'!$B$11-1))/'3. The decision'!$B$27</f>
        <v>4.28912098262087</v>
      </c>
      <c r="G18" s="15" t="n">
        <f aca="false">(1-(1-'3. The decision'!$B$9*MIN(1,('3. The decision'!$B$10/(52/12)))))+(1-(1-'3. The decision'!$B$9*MAX(0,MIN(1,('3. The decision'!$B$10/(52/12))-1))))*(1-'3. The decision'!$B$14)+(1-(1-'3. The decision'!$B$9*MAX(0,MIN(1,('3. The decision'!$B$10/(52/12))-2))))*(1-'3. The decision'!$B$14)*(1-'3. The decision'!$B$27)</f>
        <v>0.884576923076923</v>
      </c>
      <c r="H18" s="15" t="n">
        <f aca="false">IF(A18&lt;=0,0,MAX(0,ROUNDUP(LN('3. The decision'!$B$13)/LN(1+A18)-0.000000000001,0)-1))</f>
        <v>17</v>
      </c>
      <c r="I18" s="15" t="n">
        <f aca="false">IF(A18&lt;=0,1/(1-C18),(1+A18)*(1-(C18*(1+A18))^H18)/(1-C18*(1+A18))+'3. The decision'!$B$13*C18^H18/(1-C18))</f>
        <v>3.17233984586948</v>
      </c>
      <c r="J18" s="17" t="n">
        <f aca="false">F18+E18*D18/(1-C18)</f>
        <v>14.5106218067169</v>
      </c>
      <c r="K18" s="15" t="n">
        <f aca="false">F18-G18+E18*D18*I18</f>
        <v>14.4931250438413</v>
      </c>
      <c r="L18" s="17" t="n">
        <f aca="false">'3. The decision'!$B$8*'3. The decision'!$B$5/J18</f>
        <v>32.3652567240506</v>
      </c>
      <c r="M18" s="31" t="n">
        <f aca="false">L18*'3. The decision'!$B$6*'3. The decision'!$B$7*K18</f>
        <v>899694.511670284</v>
      </c>
      <c r="N18" s="31" t="n">
        <f aca="false">M18*(1+'3. The decision'!$B$19+'3. The decision'!$B$20+'3. The decision'!$B$22)</f>
        <v>995062.129907333</v>
      </c>
      <c r="O18" s="31" t="n">
        <f aca="false">'3. The decision'!$B$17+'3. The decision'!$B$18*L18*12+M18*('3. The decision'!$B$20*(1-'3. The decision'!$B$21)+'3. The decision'!$B$23)+N18*('3. The decision'!$B$24+'3. The decision'!$B$25)</f>
        <v>573759.361409224</v>
      </c>
      <c r="P18" s="31" t="n">
        <f aca="false">N18-O18</f>
        <v>421302.76849811</v>
      </c>
    </row>
    <row r="19" customFormat="false" ht="15" hidden="false" customHeight="false" outlineLevel="0" collapsed="false">
      <c r="A19" s="27" t="n">
        <f aca="false">12*0.0025</f>
        <v>0.03</v>
      </c>
      <c r="B19" s="27" t="n">
        <f aca="false">IF(A19&gt;0,MIN('3. The decision'!$B$15,'3. The decision'!$B$29*(A19/'3. The decision'!$B$28)^$B$4),0)</f>
        <v>0.00600361865560828</v>
      </c>
      <c r="C19" s="15" t="n">
        <f aca="false">(1-'3. The decision'!$B$27-B19)*(1-'3. The decision'!$B$27)^('3. The decision'!$B$12-1)</f>
        <v>0.657481951152625</v>
      </c>
      <c r="D19" s="15" t="n">
        <f aca="false">1+(1-'3. The decision'!$B$27-B19)*(1-(1-'3. The decision'!$B$27)^('3. The decision'!$B$12-1))/'3. The decision'!$B$27</f>
        <v>5.06036737130477</v>
      </c>
      <c r="E19" s="15" t="n">
        <f aca="false">(1-'3. The decision'!$B$14)*(1-'3. The decision'!$B$27)^('3. The decision'!$B$11-1)</f>
        <v>0.690273454655712</v>
      </c>
      <c r="F19" s="15" t="n">
        <f aca="false">1+(1-'3. The decision'!$B$14)*(1-(1-'3. The decision'!$B$27)^('3. The decision'!$B$11-1))/'3. The decision'!$B$27</f>
        <v>4.28912098262087</v>
      </c>
      <c r="G19" s="15" t="n">
        <f aca="false">(1-(1-'3. The decision'!$B$9*MIN(1,('3. The decision'!$B$10/(52/12)))))+(1-(1-'3. The decision'!$B$9*MAX(0,MIN(1,('3. The decision'!$B$10/(52/12))-1))))*(1-'3. The decision'!$B$14)+(1-(1-'3. The decision'!$B$9*MAX(0,MIN(1,('3. The decision'!$B$10/(52/12))-2))))*(1-'3. The decision'!$B$14)*(1-'3. The decision'!$B$27)</f>
        <v>0.884576923076923</v>
      </c>
      <c r="H19" s="15" t="n">
        <f aca="false">IF(A19&lt;=0,0,MAX(0,ROUNDUP(LN('3. The decision'!$B$13)/LN(1+A19)-0.000000000001,0)-1))</f>
        <v>16</v>
      </c>
      <c r="I19" s="15" t="n">
        <f aca="false">IF(A19&lt;=0,1/(1-C19),(1+A19)*(1-(C19*(1+A19))^H19)/(1-C19*(1+A19))+'3. The decision'!$B$13*C19^H19/(1-C19))</f>
        <v>3.19041709618947</v>
      </c>
      <c r="J19" s="17" t="n">
        <f aca="false">F19+E19*D19/(1-C19)</f>
        <v>14.4872325243985</v>
      </c>
      <c r="K19" s="15" t="n">
        <f aca="false">F19-G19+E19*D19*I19</f>
        <v>14.5487898745019</v>
      </c>
      <c r="L19" s="17" t="n">
        <f aca="false">'3. The decision'!$B$8*'3. The decision'!$B$5/J19</f>
        <v>32.4175096388534</v>
      </c>
      <c r="M19" s="31" t="n">
        <f aca="false">L19*'3. The decision'!$B$6*'3. The decision'!$B$7*K19</f>
        <v>904608.14938113</v>
      </c>
      <c r="N19" s="31" t="n">
        <f aca="false">M19*(1+'3. The decision'!$B$19+'3. The decision'!$B$20+'3. The decision'!$B$22)</f>
        <v>1000496.61321553</v>
      </c>
      <c r="O19" s="31" t="n">
        <f aca="false">'3. The decision'!$B$17+'3. The decision'!$B$18*L19*12+M19*('3. The decision'!$B$20*(1-'3. The decision'!$B$21)+'3. The decision'!$B$23)+N19*('3. The decision'!$B$24+'3. The decision'!$B$25)</f>
        <v>574367.355904567</v>
      </c>
      <c r="P19" s="31" t="n">
        <f aca="false">N19-O19</f>
        <v>426129.257310962</v>
      </c>
    </row>
    <row r="20" customFormat="false" ht="15" hidden="false" customHeight="false" outlineLevel="0" collapsed="false">
      <c r="A20" s="27" t="n">
        <f aca="false">13*0.0025</f>
        <v>0.0325</v>
      </c>
      <c r="B20" s="27" t="n">
        <f aca="false">IF(A20&gt;0,MIN('3. The decision'!$B$15,'3. The decision'!$B$29*(A20/'3. The decision'!$B$28)^$B$4),0)</f>
        <v>0.00682389708657906</v>
      </c>
      <c r="C20" s="15" t="n">
        <f aca="false">(1-'3. The decision'!$B$27-B20)*(1-'3. The decision'!$B$27)^('3. The decision'!$B$12-1)</f>
        <v>0.656900473667503</v>
      </c>
      <c r="D20" s="15" t="n">
        <f aca="false">1+(1-'3. The decision'!$B$27-B20)*(1-(1-'3. The decision'!$B$27)^('3. The decision'!$B$12-1))/'3. The decision'!$B$27</f>
        <v>5.05677637963786</v>
      </c>
      <c r="E20" s="15" t="n">
        <f aca="false">(1-'3. The decision'!$B$14)*(1-'3. The decision'!$B$27)^('3. The decision'!$B$11-1)</f>
        <v>0.690273454655712</v>
      </c>
      <c r="F20" s="15" t="n">
        <f aca="false">1+(1-'3. The decision'!$B$14)*(1-(1-'3. The decision'!$B$27)^('3. The decision'!$B$11-1))/'3. The decision'!$B$27</f>
        <v>4.28912098262087</v>
      </c>
      <c r="G20" s="15" t="n">
        <f aca="false">(1-(1-'3. The decision'!$B$9*MIN(1,('3. The decision'!$B$10/(52/12)))))+(1-(1-'3. The decision'!$B$9*MAX(0,MIN(1,('3. The decision'!$B$10/(52/12))-1))))*(1-'3. The decision'!$B$14)+(1-(1-'3. The decision'!$B$9*MAX(0,MIN(1,('3. The decision'!$B$10/(52/12))-2))))*(1-'3. The decision'!$B$14)*(1-'3. The decision'!$B$27)</f>
        <v>0.884576923076923</v>
      </c>
      <c r="H20" s="15" t="n">
        <f aca="false">IF(A20&lt;=0,0,MAX(0,ROUNDUP(LN('3. The decision'!$B$13)/LN(1+A20)-0.000000000001,0)-1))</f>
        <v>15</v>
      </c>
      <c r="I20" s="15" t="n">
        <f aca="false">IF(A20&lt;=0,1/(1-C20),(1+A20)*(1-(C20*(1+A20))^H20)/(1-C20*(1+A20))+'3. The decision'!$B$13*C20^H20/(1-C20))</f>
        <v>3.20816319840535</v>
      </c>
      <c r="J20" s="17" t="n">
        <f aca="false">F20+E20*D20/(1-C20)</f>
        <v>14.462724363266</v>
      </c>
      <c r="K20" s="15" t="n">
        <f aca="false">F20-G20+E20*D20*I20</f>
        <v>14.6028253843139</v>
      </c>
      <c r="L20" s="17" t="n">
        <f aca="false">'3. The decision'!$B$8*'3. The decision'!$B$5/J20</f>
        <v>32.4724435178232</v>
      </c>
      <c r="M20" s="31" t="n">
        <f aca="false">L20*'3. The decision'!$B$6*'3. The decision'!$B$7*K20</f>
        <v>909506.564293528</v>
      </c>
      <c r="N20" s="31" t="n">
        <f aca="false">M20*(1+'3. The decision'!$B$19+'3. The decision'!$B$20+'3. The decision'!$B$22)</f>
        <v>1005914.26010864</v>
      </c>
      <c r="O20" s="31" t="n">
        <f aca="false">'3. The decision'!$B$17+'3. The decision'!$B$18*L20*12+M20*('3. The decision'!$B$20*(1-'3. The decision'!$B$21)+'3. The decision'!$B$23)+N20*('3. The decision'!$B$24+'3. The decision'!$B$25)</f>
        <v>574977.773227222</v>
      </c>
      <c r="P20" s="31" t="n">
        <f aca="false">N20-O20</f>
        <v>430936.48688142</v>
      </c>
    </row>
    <row r="21" customFormat="false" ht="15" hidden="false" customHeight="false" outlineLevel="0" collapsed="false">
      <c r="A21" s="27" t="n">
        <f aca="false">14*0.0025</f>
        <v>0.035</v>
      </c>
      <c r="B21" s="27" t="n">
        <f aca="false">IF(A21&gt;0,MIN('3. The decision'!$B$15,'3. The decision'!$B$29*(A21/'3. The decision'!$B$28)^$B$4),0)</f>
        <v>0.00768294920429703</v>
      </c>
      <c r="C21" s="15" t="n">
        <f aca="false">(1-'3. The decision'!$B$27-B21)*(1-'3. The decision'!$B$27)^('3. The decision'!$B$12-1)</f>
        <v>0.656291510361706</v>
      </c>
      <c r="D21" s="15" t="n">
        <f aca="false">1+(1-'3. The decision'!$B$27-B21)*(1-(1-'3. The decision'!$B$27)^('3. The decision'!$B$12-1))/'3. The decision'!$B$27</f>
        <v>5.05301564562402</v>
      </c>
      <c r="E21" s="15" t="n">
        <f aca="false">(1-'3. The decision'!$B$14)*(1-'3. The decision'!$B$27)^('3. The decision'!$B$11-1)</f>
        <v>0.690273454655712</v>
      </c>
      <c r="F21" s="15" t="n">
        <f aca="false">1+(1-'3. The decision'!$B$14)*(1-(1-'3. The decision'!$B$27)^('3. The decision'!$B$11-1))/'3. The decision'!$B$27</f>
        <v>4.28912098262087</v>
      </c>
      <c r="G21" s="15" t="n">
        <f aca="false">(1-(1-'3. The decision'!$B$9*MIN(1,('3. The decision'!$B$10/(52/12)))))+(1-(1-'3. The decision'!$B$9*MAX(0,MIN(1,('3. The decision'!$B$10/(52/12))-1))))*(1-'3. The decision'!$B$14)+(1-(1-'3. The decision'!$B$9*MAX(0,MIN(1,('3. The decision'!$B$10/(52/12))-2))))*(1-'3. The decision'!$B$14)*(1-'3. The decision'!$B$27)</f>
        <v>0.884576923076923</v>
      </c>
      <c r="H21" s="15" t="n">
        <f aca="false">IF(A21&lt;=0,0,MAX(0,ROUNDUP(LN('3. The decision'!$B$13)/LN(1+A21)-0.000000000001,0)-1))</f>
        <v>14</v>
      </c>
      <c r="I21" s="15" t="n">
        <f aca="false">IF(A21&lt;=0,1/(1-C21),(1+A21)*(1-(C21*(1+A21))^H21)/(1-C21*(1+A21))+'3. The decision'!$B$13*C21^H21/(1-C21))</f>
        <v>3.22552710564707</v>
      </c>
      <c r="J21" s="17" t="n">
        <f aca="false">F21+E21*D21/(1-C21)</f>
        <v>14.4371466243641</v>
      </c>
      <c r="K21" s="15" t="n">
        <f aca="false">F21-G21+E21*D21*I21</f>
        <v>14.6550618600923</v>
      </c>
      <c r="L21" s="17" t="n">
        <f aca="false">'3. The decision'!$B$8*'3. The decision'!$B$5/J21</f>
        <v>32.5299737004427</v>
      </c>
      <c r="M21" s="31" t="n">
        <f aca="false">L21*'3. The decision'!$B$6*'3. The decision'!$B$7*K21</f>
        <v>914377.106277845</v>
      </c>
      <c r="N21" s="31" t="n">
        <f aca="false">M21*(1+'3. The decision'!$B$19+'3. The decision'!$B$20+'3. The decision'!$B$22)</f>
        <v>1011301.0795433</v>
      </c>
      <c r="O21" s="31" t="n">
        <f aca="false">'3. The decision'!$B$17+'3. The decision'!$B$18*L21*12+M21*('3. The decision'!$B$20*(1-'3. The decision'!$B$21)+'3. The decision'!$B$23)+N21*('3. The decision'!$B$24+'3. The decision'!$B$25)</f>
        <v>575589.12363519</v>
      </c>
      <c r="P21" s="31" t="n">
        <f aca="false">N21-O21</f>
        <v>435711.955908107</v>
      </c>
    </row>
    <row r="22" customFormat="false" ht="15" hidden="false" customHeight="false" outlineLevel="0" collapsed="false">
      <c r="A22" s="27" t="n">
        <f aca="false">15*0.0025</f>
        <v>0.0375</v>
      </c>
      <c r="B22" s="27" t="n">
        <f aca="false">IF(A22&gt;0,MIN('3. The decision'!$B$15,'3. The decision'!$B$29*(A22/'3. The decision'!$B$28)^$B$4),0)</f>
        <v>0.00857964106579628</v>
      </c>
      <c r="C22" s="15" t="n">
        <f aca="false">(1-'3. The decision'!$B$27-B22)*(1-'3. The decision'!$B$27)^('3. The decision'!$B$12-1)</f>
        <v>0.655655865062662</v>
      </c>
      <c r="D22" s="15" t="n">
        <f aca="false">1+(1-'3. The decision'!$B$27-B22)*(1-(1-'3. The decision'!$B$27)^('3. The decision'!$B$12-1))/'3. The decision'!$B$27</f>
        <v>5.04909013340664</v>
      </c>
      <c r="E22" s="15" t="n">
        <f aca="false">(1-'3. The decision'!$B$14)*(1-'3. The decision'!$B$27)^('3. The decision'!$B$11-1)</f>
        <v>0.690273454655712</v>
      </c>
      <c r="F22" s="15" t="n">
        <f aca="false">1+(1-'3. The decision'!$B$14)*(1-(1-'3. The decision'!$B$27)^('3. The decision'!$B$11-1))/'3. The decision'!$B$27</f>
        <v>4.28912098262087</v>
      </c>
      <c r="G22" s="15" t="n">
        <f aca="false">(1-(1-'3. The decision'!$B$9*MIN(1,('3. The decision'!$B$10/(52/12)))))+(1-(1-'3. The decision'!$B$9*MAX(0,MIN(1,('3. The decision'!$B$10/(52/12))-1))))*(1-'3. The decision'!$B$14)+(1-(1-'3. The decision'!$B$9*MAX(0,MIN(1,('3. The decision'!$B$10/(52/12))-2))))*(1-'3. The decision'!$B$14)*(1-'3. The decision'!$B$27)</f>
        <v>0.884576923076923</v>
      </c>
      <c r="H22" s="15" t="n">
        <f aca="false">IF(A22&lt;=0,0,MAX(0,ROUNDUP(LN('3. The decision'!$B$13)/LN(1+A22)-0.000000000001,0)-1))</f>
        <v>13</v>
      </c>
      <c r="I22" s="15" t="n">
        <f aca="false">IF(A22&lt;=0,1/(1-C22),(1+A22)*(1-(C22*(1+A22))^H22)/(1-C22*(1+A22))+'3. The decision'!$B$13*C22^H22/(1-C22))</f>
        <v>3.24245138230652</v>
      </c>
      <c r="J22" s="17" t="n">
        <f aca="false">F22+E22*D22/(1-C22)</f>
        <v>14.410544685362</v>
      </c>
      <c r="K22" s="15" t="n">
        <f aca="false">F22-G22+E22*D22*I22</f>
        <v>14.7053071079955</v>
      </c>
      <c r="L22" s="17" t="n">
        <f aca="false">'3. The decision'!$B$8*'3. The decision'!$B$5/J22</f>
        <v>32.5900241978398</v>
      </c>
      <c r="M22" s="31" t="n">
        <f aca="false">L22*'3. The decision'!$B$6*'3. The decision'!$B$7*K22</f>
        <v>919205.803131054</v>
      </c>
      <c r="N22" s="31" t="n">
        <f aca="false">M22*(1+'3. The decision'!$B$19+'3. The decision'!$B$20+'3. The decision'!$B$22)</f>
        <v>1016641.61826295</v>
      </c>
      <c r="O22" s="31" t="n">
        <f aca="false">'3. The decision'!$B$17+'3. The decision'!$B$18*L22*12+M22*('3. The decision'!$B$20*(1-'3. The decision'!$B$21)+'3. The decision'!$B$23)+N22*('3. The decision'!$B$24+'3. The decision'!$B$25)</f>
        <v>576199.788231769</v>
      </c>
      <c r="P22" s="31" t="n">
        <f aca="false">N22-O22</f>
        <v>440441.830031177</v>
      </c>
    </row>
    <row r="23" customFormat="false" ht="15" hidden="false" customHeight="false" outlineLevel="0" collapsed="false">
      <c r="A23" s="27" t="n">
        <f aca="false">16*0.0025</f>
        <v>0.04</v>
      </c>
      <c r="B23" s="27" t="n">
        <f aca="false">IF(A23&gt;0,MIN('3. The decision'!$B$15,'3. The decision'!$B$29*(A23/'3. The decision'!$B$28)^$B$4),0)</f>
        <v>0.00951294699749144</v>
      </c>
      <c r="C23" s="15" t="n">
        <f aca="false">(1-'3. The decision'!$B$27-B23)*(1-'3. The decision'!$B$27)^('3. The decision'!$B$12-1)</f>
        <v>0.654994264848003</v>
      </c>
      <c r="D23" s="15" t="n">
        <f aca="false">1+(1-'3. The decision'!$B$27-B23)*(1-(1-'3. The decision'!$B$27)^('3. The decision'!$B$12-1))/'3. The decision'!$B$27</f>
        <v>5.04500433315046</v>
      </c>
      <c r="E23" s="15" t="n">
        <f aca="false">(1-'3. The decision'!$B$14)*(1-'3. The decision'!$B$27)^('3. The decision'!$B$11-1)</f>
        <v>0.690273454655712</v>
      </c>
      <c r="F23" s="15" t="n">
        <f aca="false">1+(1-'3. The decision'!$B$14)*(1-(1-'3. The decision'!$B$27)^('3. The decision'!$B$11-1))/'3. The decision'!$B$27</f>
        <v>4.28912098262087</v>
      </c>
      <c r="G23" s="15" t="n">
        <f aca="false">(1-(1-'3. The decision'!$B$9*MIN(1,('3. The decision'!$B$10/(52/12)))))+(1-(1-'3. The decision'!$B$9*MAX(0,MIN(1,('3. The decision'!$B$10/(52/12))-1))))*(1-'3. The decision'!$B$14)+(1-(1-'3. The decision'!$B$9*MAX(0,MIN(1,('3. The decision'!$B$10/(52/12))-2))))*(1-'3. The decision'!$B$14)*(1-'3. The decision'!$B$27)</f>
        <v>0.884576923076923</v>
      </c>
      <c r="H23" s="15" t="n">
        <f aca="false">IF(A23&lt;=0,0,MAX(0,ROUNDUP(LN('3. The decision'!$B$13)/LN(1+A23)-0.000000000001,0)-1))</f>
        <v>12</v>
      </c>
      <c r="I23" s="15" t="n">
        <f aca="false">IF(A23&lt;=0,1/(1-C23),(1+A23)*(1-(C23*(1+A23))^H23)/(1-C23*(1+A23))+'3. The decision'!$B$13*C23^H23/(1-C23))</f>
        <v>3.25888471796161</v>
      </c>
      <c r="J23" s="17" t="n">
        <f aca="false">F23+E23*D23/(1-C23)</f>
        <v>14.3829606350619</v>
      </c>
      <c r="K23" s="15" t="n">
        <f aca="false">F23-G23+E23*D23*I23</f>
        <v>14.7533903425865</v>
      </c>
      <c r="L23" s="17" t="n">
        <f aca="false">'3. The decision'!$B$8*'3. The decision'!$B$5/J23</f>
        <v>32.6525262716175</v>
      </c>
      <c r="M23" s="31" t="n">
        <f aca="false">L23*'3. The decision'!$B$6*'3. The decision'!$B$7*K23</f>
        <v>923980.054332469</v>
      </c>
      <c r="N23" s="31" t="n">
        <f aca="false">M23*(1+'3. The decision'!$B$19+'3. The decision'!$B$20+'3. The decision'!$B$22)</f>
        <v>1021921.94009171</v>
      </c>
      <c r="O23" s="31" t="n">
        <f aca="false">'3. The decision'!$B$17+'3. The decision'!$B$18*L23*12+M23*('3. The decision'!$B$20*(1-'3. The decision'!$B$21)+'3. The decision'!$B$23)+N23*('3. The decision'!$B$24+'3. The decision'!$B$25)</f>
        <v>576808.306733566</v>
      </c>
      <c r="P23" s="31" t="n">
        <f aca="false">N23-O23</f>
        <v>445113.633358145</v>
      </c>
    </row>
    <row r="24" customFormat="false" ht="15" hidden="false" customHeight="false" outlineLevel="0" collapsed="false">
      <c r="A24" s="27" t="n">
        <f aca="false">17*0.0025</f>
        <v>0.0425</v>
      </c>
      <c r="B24" s="27" t="n">
        <f aca="false">IF(A24&gt;0,MIN('3. The decision'!$B$15,'3. The decision'!$B$29*(A24/'3. The decision'!$B$28)^$B$4),0)</f>
        <v>0.0104819329903392</v>
      </c>
      <c r="C24" s="15" t="n">
        <f aca="false">(1-'3. The decision'!$B$27-B24)*(1-'3. The decision'!$B$27)^('3. The decision'!$B$12-1)</f>
        <v>0.654307371816363</v>
      </c>
      <c r="D24" s="15" t="n">
        <f aca="false">1+(1-'3. The decision'!$B$27-B24)*(1-(1-'3. The decision'!$B$27)^('3. The decision'!$B$12-1))/'3. The decision'!$B$27</f>
        <v>5.04076233373381</v>
      </c>
      <c r="E24" s="15" t="n">
        <f aca="false">(1-'3. The decision'!$B$14)*(1-'3. The decision'!$B$27)^('3. The decision'!$B$11-1)</f>
        <v>0.690273454655712</v>
      </c>
      <c r="F24" s="15" t="n">
        <f aca="false">1+(1-'3. The decision'!$B$14)*(1-(1-'3. The decision'!$B$27)^('3. The decision'!$B$11-1))/'3. The decision'!$B$27</f>
        <v>4.28912098262087</v>
      </c>
      <c r="G24" s="15" t="n">
        <f aca="false">(1-(1-'3. The decision'!$B$9*MIN(1,('3. The decision'!$B$10/(52/12)))))+(1-(1-'3. The decision'!$B$9*MAX(0,MIN(1,('3. The decision'!$B$10/(52/12))-1))))*(1-'3. The decision'!$B$14)+(1-(1-'3. The decision'!$B$9*MAX(0,MIN(1,('3. The decision'!$B$10/(52/12))-2))))*(1-'3. The decision'!$B$14)*(1-'3. The decision'!$B$27)</f>
        <v>0.884576923076923</v>
      </c>
      <c r="H24" s="15" t="n">
        <f aca="false">IF(A24&lt;=0,0,MAX(0,ROUNDUP(LN('3. The decision'!$B$13)/LN(1+A24)-0.000000000001,0)-1))</f>
        <v>11</v>
      </c>
      <c r="I24" s="15" t="n">
        <f aca="false">IF(A24&lt;=0,1/(1-C24),(1+A24)*(1-(C24*(1+A24))^H24)/(1-C24*(1+A24))+'3. The decision'!$B$13*C24^H24/(1-C24))</f>
        <v>3.27481079267742</v>
      </c>
      <c r="J24" s="17" t="n">
        <f aca="false">F24+E24*D24/(1-C24)</f>
        <v>14.354433767817</v>
      </c>
      <c r="K24" s="15" t="n">
        <f aca="false">F24-G24+E24*D24*I24</f>
        <v>14.7992627207476</v>
      </c>
      <c r="L24" s="17" t="n">
        <f aca="false">'3. The decision'!$B$8*'3. The decision'!$B$5/J24</f>
        <v>32.7174173218134</v>
      </c>
      <c r="M24" s="31" t="n">
        <f aca="false">L24*'3. The decision'!$B$6*'3. The decision'!$B$7*K24</f>
        <v>928694.918652497</v>
      </c>
      <c r="N24" s="31" t="n">
        <f aca="false">M24*(1+'3. The decision'!$B$19+'3. The decision'!$B$20+'3. The decision'!$B$22)</f>
        <v>1027136.58002966</v>
      </c>
      <c r="O24" s="31" t="n">
        <f aca="false">'3. The decision'!$B$17+'3. The decision'!$B$18*L24*12+M24*('3. The decision'!$B$20*(1-'3. The decision'!$B$21)+'3. The decision'!$B$23)+N24*('3. The decision'!$B$24+'3. The decision'!$B$25)</f>
        <v>577414.052502411</v>
      </c>
      <c r="P24" s="31" t="n">
        <f aca="false">N24-O24</f>
        <v>449722.52752725</v>
      </c>
    </row>
    <row r="25" customFormat="false" ht="15" hidden="false" customHeight="false" outlineLevel="0" collapsed="false">
      <c r="A25" s="27" t="n">
        <f aca="false">18*0.0025</f>
        <v>0.045</v>
      </c>
      <c r="B25" s="27" t="n">
        <f aca="false">IF(A25&gt;0,MIN('3. The decision'!$B$15,'3. The decision'!$B$29*(A25/'3. The decision'!$B$28)^$B$4),0)</f>
        <v>0.0114857434886653</v>
      </c>
      <c r="C25" s="15" t="n">
        <f aca="false">(1-'3. The decision'!$B$27-B25)*(1-'3. The decision'!$B$27)^('3. The decision'!$B$12-1)</f>
        <v>0.653595792452495</v>
      </c>
      <c r="D25" s="15" t="n">
        <f aca="false">1+(1-'3. The decision'!$B$27-B25)*(1-(1-'3. The decision'!$B$27)^('3. The decision'!$B$12-1))/'3. The decision'!$B$27</f>
        <v>5.03636788058406</v>
      </c>
      <c r="E25" s="15" t="n">
        <f aca="false">(1-'3. The decision'!$B$14)*(1-'3. The decision'!$B$27)^('3. The decision'!$B$11-1)</f>
        <v>0.690273454655712</v>
      </c>
      <c r="F25" s="15" t="n">
        <f aca="false">1+(1-'3. The decision'!$B$14)*(1-(1-'3. The decision'!$B$27)^('3. The decision'!$B$11-1))/'3. The decision'!$B$27</f>
        <v>4.28912098262087</v>
      </c>
      <c r="G25" s="15" t="n">
        <f aca="false">(1-(1-'3. The decision'!$B$9*MIN(1,('3. The decision'!$B$10/(52/12)))))+(1-(1-'3. The decision'!$B$9*MAX(0,MIN(1,('3. The decision'!$B$10/(52/12))-1))))*(1-'3. The decision'!$B$14)+(1-(1-'3. The decision'!$B$9*MAX(0,MIN(1,('3. The decision'!$B$10/(52/12))-2))))*(1-'3. The decision'!$B$14)*(1-'3. The decision'!$B$27)</f>
        <v>0.884576923076923</v>
      </c>
      <c r="H25" s="15" t="n">
        <f aca="false">IF(A25&lt;=0,0,MAX(0,ROUNDUP(LN('3. The decision'!$B$13)/LN(1+A25)-0.000000000001,0)-1))</f>
        <v>10</v>
      </c>
      <c r="I25" s="15" t="n">
        <f aca="false">IF(A25&lt;=0,1/(1-C25),(1+A25)*(1-(C25*(1+A25))^H25)/(1-C25*(1+A25))+'3. The decision'!$B$13*C25^H25/(1-C25))</f>
        <v>3.29030798045247</v>
      </c>
      <c r="J25" s="17" t="n">
        <f aca="false">F25+E25*D25/(1-C25)</f>
        <v>14.3250009751324</v>
      </c>
      <c r="K25" s="15" t="n">
        <f aca="false">F25-G25+E25*D25*I25</f>
        <v>14.8432045184121</v>
      </c>
      <c r="L25" s="17" t="n">
        <f aca="false">'3. The decision'!$B$8*'3. The decision'!$B$5/J25</f>
        <v>32.7846400021385</v>
      </c>
      <c r="M25" s="31" t="n">
        <f aca="false">L25*'3. The decision'!$B$6*'3. The decision'!$B$7*K25</f>
        <v>933366.192797724</v>
      </c>
      <c r="N25" s="31" t="n">
        <f aca="false">M25*(1+'3. The decision'!$B$19+'3. The decision'!$B$20+'3. The decision'!$B$22)</f>
        <v>1032303.00923428</v>
      </c>
      <c r="O25" s="31" t="n">
        <f aca="false">'3. The decision'!$B$17+'3. The decision'!$B$18*L25*12+M25*('3. The decision'!$B$20*(1-'3. The decision'!$B$21)+'3. The decision'!$B$23)+N25*('3. The decision'!$B$24+'3. The decision'!$B$25)</f>
        <v>578018.638820427</v>
      </c>
      <c r="P25" s="31" t="n">
        <f aca="false">N25-O25</f>
        <v>454284.370413856</v>
      </c>
    </row>
    <row r="26" customFormat="false" ht="15" hidden="false" customHeight="false" outlineLevel="0" collapsed="false">
      <c r="A26" s="27" t="n">
        <f aca="false">19*0.0025</f>
        <v>0.0475</v>
      </c>
      <c r="B26" s="27" t="n">
        <f aca="false">IF(A26&gt;0,MIN('3. The decision'!$B$15,'3. The decision'!$B$29*(A26/'3. The decision'!$B$28)^$B$4),0)</f>
        <v>0.0125235907253751</v>
      </c>
      <c r="C26" s="15" t="n">
        <f aca="false">(1-'3. The decision'!$B$27-B26)*(1-'3. The decision'!$B$27)^('3. The decision'!$B$12-1)</f>
        <v>0.652860085187307</v>
      </c>
      <c r="D26" s="15" t="n">
        <f aca="false">1+(1-'3. The decision'!$B$27-B26)*(1-(1-'3. The decision'!$B$27)^('3. The decision'!$B$12-1))/'3. The decision'!$B$27</f>
        <v>5.03182442236569</v>
      </c>
      <c r="E26" s="15" t="n">
        <f aca="false">(1-'3. The decision'!$B$14)*(1-'3. The decision'!$B$27)^('3. The decision'!$B$11-1)</f>
        <v>0.690273454655712</v>
      </c>
      <c r="F26" s="15" t="n">
        <f aca="false">1+(1-'3. The decision'!$B$14)*(1-(1-'3. The decision'!$B$27)^('3. The decision'!$B$11-1))/'3. The decision'!$B$27</f>
        <v>4.28912098262087</v>
      </c>
      <c r="G26" s="15" t="n">
        <f aca="false">(1-(1-'3. The decision'!$B$9*MIN(1,('3. The decision'!$B$10/(52/12)))))+(1-(1-'3. The decision'!$B$9*MAX(0,MIN(1,('3. The decision'!$B$10/(52/12))-1))))*(1-'3. The decision'!$B$14)+(1-(1-'3. The decision'!$B$9*MAX(0,MIN(1,('3. The decision'!$B$10/(52/12))-2))))*(1-'3. The decision'!$B$14)*(1-'3. The decision'!$B$27)</f>
        <v>0.884576923076923</v>
      </c>
      <c r="H26" s="15" t="n">
        <f aca="false">IF(A26&lt;=0,0,MAX(0,ROUNDUP(LN('3. The decision'!$B$13)/LN(1+A26)-0.000000000001,0)-1))</f>
        <v>10</v>
      </c>
      <c r="I26" s="15" t="n">
        <f aca="false">IF(A26&lt;=0,1/(1-C26),(1+A26)*(1-(C26*(1+A26))^H26)/(1-C26*(1+A26))+'3. The decision'!$B$13*C26^H26/(1-C26))</f>
        <v>3.30503028534854</v>
      </c>
      <c r="J26" s="17" t="n">
        <f aca="false">F26+E26*D26/(1-C26)</f>
        <v>14.2946970602709</v>
      </c>
      <c r="K26" s="15" t="n">
        <f aca="false">F26-G26+E26*D26*I26</f>
        <v>14.8840208547523</v>
      </c>
      <c r="L26" s="17" t="n">
        <f aca="false">'3. The decision'!$B$8*'3. The decision'!$B$5/J26</f>
        <v>32.8541415057522</v>
      </c>
      <c r="M26" s="31" t="n">
        <f aca="false">L26*'3. The decision'!$B$6*'3. The decision'!$B$7*K26</f>
        <v>937916.916462414</v>
      </c>
      <c r="N26" s="31" t="n">
        <f aca="false">M26*(1+'3. The decision'!$B$19+'3. The decision'!$B$20+'3. The decision'!$B$22)</f>
        <v>1037336.10960743</v>
      </c>
      <c r="O26" s="31" t="n">
        <f aca="false">'3. The decision'!$B$17+'3. The decision'!$B$18*L26*12+M26*('3. The decision'!$B$20*(1-'3. The decision'!$B$21)+'3. The decision'!$B$23)+N26*('3. The decision'!$B$24+'3. The decision'!$B$25)</f>
        <v>578613.702687273</v>
      </c>
      <c r="P26" s="31" t="n">
        <f aca="false">N26-O26</f>
        <v>458722.406920156</v>
      </c>
    </row>
    <row r="27" customFormat="false" ht="15" hidden="false" customHeight="false" outlineLevel="0" collapsed="false">
      <c r="A27" s="27" t="n">
        <f aca="false">20*0.0025</f>
        <v>0.05</v>
      </c>
      <c r="B27" s="27" t="n">
        <f aca="false">IF(A27&gt;0,MIN('3. The decision'!$B$15,'3. The decision'!$B$29*(A27/'3. The decision'!$B$28)^$B$4),0)</f>
        <v>0.0135947460020929</v>
      </c>
      <c r="C27" s="15" t="n">
        <f aca="false">(1-'3. The decision'!$B$27-B27)*(1-'3. The decision'!$B$27)^('3. The decision'!$B$12-1)</f>
        <v>0.652100766579181</v>
      </c>
      <c r="D27" s="15" t="n">
        <f aca="false">1+(1-'3. The decision'!$B$27-B27)*(1-(1-'3. The decision'!$B$27)^('3. The decision'!$B$12-1))/'3. The decision'!$B$27</f>
        <v>5.02713514915377</v>
      </c>
      <c r="E27" s="15" t="n">
        <f aca="false">(1-'3. The decision'!$B$14)*(1-'3. The decision'!$B$27)^('3. The decision'!$B$11-1)</f>
        <v>0.690273454655712</v>
      </c>
      <c r="F27" s="15" t="n">
        <f aca="false">1+(1-'3. The decision'!$B$14)*(1-(1-'3. The decision'!$B$27)^('3. The decision'!$B$11-1))/'3. The decision'!$B$27</f>
        <v>4.28912098262087</v>
      </c>
      <c r="G27" s="15" t="n">
        <f aca="false">(1-(1-'3. The decision'!$B$9*MIN(1,('3. The decision'!$B$10/(52/12)))))+(1-(1-'3. The decision'!$B$9*MAX(0,MIN(1,('3. The decision'!$B$10/(52/12))-1))))*(1-'3. The decision'!$B$14)+(1-(1-'3. The decision'!$B$9*MAX(0,MIN(1,('3. The decision'!$B$10/(52/12))-2))))*(1-'3. The decision'!$B$14)*(1-'3. The decision'!$B$27)</f>
        <v>0.884576923076923</v>
      </c>
      <c r="H27" s="15" t="n">
        <f aca="false">IF(A27&lt;=0,0,MAX(0,ROUNDUP(LN('3. The decision'!$B$13)/LN(1+A27)-0.000000000001,0)-1))</f>
        <v>9</v>
      </c>
      <c r="I27" s="15" t="n">
        <f aca="false">IF(A27&lt;=0,1/(1-C27),(1+A27)*(1-(C27*(1+A27))^H27)/(1-C27*(1+A27))+'3. The decision'!$B$13*C27^H27/(1-C27))</f>
        <v>3.31935409884384</v>
      </c>
      <c r="J27" s="17" t="n">
        <f aca="false">F27+E27*D27/(1-C27)</f>
        <v>14.2635549941788</v>
      </c>
      <c r="K27" s="15" t="n">
        <f aca="false">F27-G27+E27*D27*I27</f>
        <v>14.9230279014078</v>
      </c>
      <c r="L27" s="17" t="n">
        <f aca="false">'3. The decision'!$B$8*'3. The decision'!$B$5/J27</f>
        <v>32.9258729812918</v>
      </c>
      <c r="M27" s="31" t="n">
        <f aca="false">L27*'3. The decision'!$B$6*'3. The decision'!$B$7*K27</f>
        <v>942428.096460295</v>
      </c>
      <c r="N27" s="31" t="n">
        <f aca="false">M27*(1+'3. The decision'!$B$19+'3. The decision'!$B$20+'3. The decision'!$B$22)</f>
        <v>1042325.47468509</v>
      </c>
      <c r="O27" s="31" t="n">
        <f aca="false">'3. The decision'!$B$17+'3. The decision'!$B$18*L27*12+M27*('3. The decision'!$B$20*(1-'3. The decision'!$B$21)+'3. The decision'!$B$23)+N27*('3. The decision'!$B$24+'3. The decision'!$B$25)</f>
        <v>579207.888621663</v>
      </c>
      <c r="P27" s="31" t="n">
        <f aca="false">N27-O27</f>
        <v>463117.586063423</v>
      </c>
    </row>
    <row r="28" customFormat="false" ht="15" hidden="false" customHeight="false" outlineLevel="0" collapsed="false">
      <c r="A28" s="27" t="n">
        <f aca="false">21*0.0025</f>
        <v>0.0525</v>
      </c>
      <c r="B28" s="27" t="n">
        <f aca="false">IF(A28&gt;0,MIN('3. The decision'!$B$15,'3. The decision'!$B$29*(A28/'3. The decision'!$B$28)^$B$4),0)</f>
        <v>0.0146985324783358</v>
      </c>
      <c r="C28" s="15" t="n">
        <f aca="false">(1-'3. The decision'!$B$27-B28)*(1-'3. The decision'!$B$27)^('3. The decision'!$B$12-1)</f>
        <v>0.651318316425571</v>
      </c>
      <c r="D28" s="15" t="n">
        <f aca="false">1+(1-'3. The decision'!$B$27-B28)*(1-(1-'3. The decision'!$B$27)^('3. The decision'!$B$12-1))/'3. The decision'!$B$27</f>
        <v>5.0223030240014</v>
      </c>
      <c r="E28" s="15" t="n">
        <f aca="false">(1-'3. The decision'!$B$14)*(1-'3. The decision'!$B$27)^('3. The decision'!$B$11-1)</f>
        <v>0.690273454655712</v>
      </c>
      <c r="F28" s="15" t="n">
        <f aca="false">1+(1-'3. The decision'!$B$14)*(1-(1-'3. The decision'!$B$27)^('3. The decision'!$B$11-1))/'3. The decision'!$B$27</f>
        <v>4.28912098262087</v>
      </c>
      <c r="G28" s="15" t="n">
        <f aca="false">(1-(1-'3. The decision'!$B$9*MIN(1,('3. The decision'!$B$10/(52/12)))))+(1-(1-'3. The decision'!$B$9*MAX(0,MIN(1,('3. The decision'!$B$10/(52/12))-1))))*(1-'3. The decision'!$B$14)+(1-(1-'3. The decision'!$B$9*MAX(0,MIN(1,('3. The decision'!$B$10/(52/12))-2))))*(1-'3. The decision'!$B$14)*(1-'3. The decision'!$B$27)</f>
        <v>0.884576923076923</v>
      </c>
      <c r="H28" s="15" t="n">
        <f aca="false">IF(A28&lt;=0,0,MAX(0,ROUNDUP(LN('3. The decision'!$B$13)/LN(1+A28)-0.000000000001,0)-1))</f>
        <v>9</v>
      </c>
      <c r="I28" s="15" t="n">
        <f aca="false">IF(A28&lt;=0,1/(1-C28),(1+A28)*(1-(C28*(1+A28))^H28)/(1-C28*(1+A28))+'3. The decision'!$B$13*C28^H28/(1-C28))</f>
        <v>3.33283381018181</v>
      </c>
      <c r="J28" s="17" t="n">
        <f aca="false">F28+E28*D28/(1-C28)</f>
        <v>14.2316061259945</v>
      </c>
      <c r="K28" s="15" t="n">
        <f aca="false">F28-G28+E28*D28*I28</f>
        <v>14.9586871937859</v>
      </c>
      <c r="L28" s="17" t="n">
        <f aca="false">'3. The decision'!$B$8*'3. The decision'!$B$5/J28</f>
        <v>32.9997890499644</v>
      </c>
      <c r="M28" s="31" t="n">
        <f aca="false">L28*'3. The decision'!$B$6*'3. The decision'!$B$7*K28</f>
        <v>946800.808264019</v>
      </c>
      <c r="N28" s="31" t="n">
        <f aca="false">M28*(1+'3. The decision'!$B$19+'3. The decision'!$B$20+'3. The decision'!$B$22)</f>
        <v>1047161.69394</v>
      </c>
      <c r="O28" s="31" t="n">
        <f aca="false">'3. The decision'!$B$17+'3. The decision'!$B$18*L28*12+M28*('3. The decision'!$B$20*(1-'3. The decision'!$B$21)+'3. The decision'!$B$23)+N28*('3. The decision'!$B$24+'3. The decision'!$B$25)</f>
        <v>579790.480932226</v>
      </c>
      <c r="P28" s="31" t="n">
        <f aca="false">N28-O28</f>
        <v>467371.213007779</v>
      </c>
    </row>
    <row r="29" customFormat="false" ht="15" hidden="false" customHeight="false" outlineLevel="0" collapsed="false">
      <c r="A29" s="27" t="n">
        <f aca="false">22*0.0025</f>
        <v>0.055</v>
      </c>
      <c r="B29" s="27" t="n">
        <f aca="false">IF(A29&gt;0,MIN('3. The decision'!$B$15,'3. The decision'!$B$29*(A29/'3. The decision'!$B$28)^$B$4),0)</f>
        <v>0.0158343191479694</v>
      </c>
      <c r="C29" s="15" t="n">
        <f aca="false">(1-'3. The decision'!$B$27-B29)*(1-'3. The decision'!$B$27)^('3. The decision'!$B$12-1)</f>
        <v>0.650513182032959</v>
      </c>
      <c r="D29" s="15" t="n">
        <f aca="false">1+(1-'3. The decision'!$B$27-B29)*(1-(1-'3. The decision'!$B$27)^('3. The decision'!$B$12-1))/'3. The decision'!$B$27</f>
        <v>5.01733080930935</v>
      </c>
      <c r="E29" s="15" t="n">
        <f aca="false">(1-'3. The decision'!$B$14)*(1-'3. The decision'!$B$27)^('3. The decision'!$B$11-1)</f>
        <v>0.690273454655712</v>
      </c>
      <c r="F29" s="15" t="n">
        <f aca="false">1+(1-'3. The decision'!$B$14)*(1-(1-'3. The decision'!$B$27)^('3. The decision'!$B$11-1))/'3. The decision'!$B$27</f>
        <v>4.28912098262087</v>
      </c>
      <c r="G29" s="15" t="n">
        <f aca="false">(1-(1-'3. The decision'!$B$9*MIN(1,('3. The decision'!$B$10/(52/12)))))+(1-(1-'3. The decision'!$B$9*MAX(0,MIN(1,('3. The decision'!$B$10/(52/12))-1))))*(1-'3. The decision'!$B$14)+(1-(1-'3. The decision'!$B$9*MAX(0,MIN(1,('3. The decision'!$B$10/(52/12))-2))))*(1-'3. The decision'!$B$14)*(1-'3. The decision'!$B$27)</f>
        <v>0.884576923076923</v>
      </c>
      <c r="H29" s="15" t="n">
        <f aca="false">IF(A29&lt;=0,0,MAX(0,ROUNDUP(LN('3. The decision'!$B$13)/LN(1+A29)-0.000000000001,0)-1))</f>
        <v>9</v>
      </c>
      <c r="I29" s="15" t="n">
        <f aca="false">IF(A29&lt;=0,1/(1-C29),(1+A29)*(1-(C29*(1+A29))^H29)/(1-C29*(1+A29))+'3. The decision'!$B$13*C29^H29/(1-C29))</f>
        <v>3.34610499380709</v>
      </c>
      <c r="J29" s="17" t="n">
        <f aca="false">F29+E29*D29/(1-C29)</f>
        <v>14.1988803579205</v>
      </c>
      <c r="K29" s="15" t="n">
        <f aca="false">F29-G29+E29*D29*I29</f>
        <v>14.9932107741806</v>
      </c>
      <c r="L29" s="17" t="n">
        <f aca="false">'3. The decision'!$B$8*'3. The decision'!$B$5/J29</f>
        <v>33.0758474021527</v>
      </c>
      <c r="M29" s="31" t="n">
        <f aca="false">L29*'3. The decision'!$B$6*'3. The decision'!$B$7*K29</f>
        <v>951173.192266859</v>
      </c>
      <c r="N29" s="31" t="n">
        <f aca="false">M29*(1+'3. The decision'!$B$19+'3. The decision'!$B$20+'3. The decision'!$B$22)</f>
        <v>1051997.55064715</v>
      </c>
      <c r="O29" s="31" t="n">
        <f aca="false">'3. The decision'!$B$17+'3. The decision'!$B$18*L29*12+M29*('3. The decision'!$B$20*(1-'3. The decision'!$B$21)+'3. The decision'!$B$23)+N29*('3. The decision'!$B$24+'3. The decision'!$B$25)</f>
        <v>580376.283163087</v>
      </c>
      <c r="P29" s="31" t="n">
        <f aca="false">N29-O29</f>
        <v>471621.267484059</v>
      </c>
    </row>
    <row r="30" customFormat="false" ht="15" hidden="false" customHeight="false" outlineLevel="0" collapsed="false">
      <c r="A30" s="27" t="n">
        <f aca="false">23*0.0025</f>
        <v>0.0575</v>
      </c>
      <c r="B30" s="27" t="n">
        <f aca="false">IF(A30&gt;0,MIN('3. The decision'!$B$15,'3. The decision'!$B$29*(A30/'3. The decision'!$B$28)^$B$4),0)</f>
        <v>0.0170015157615337</v>
      </c>
      <c r="C30" s="15" t="n">
        <f aca="false">(1-'3. The decision'!$B$27-B30)*(1-'3. The decision'!$B$27)^('3. The decision'!$B$12-1)</f>
        <v>0.64968578181631</v>
      </c>
      <c r="D30" s="15" t="n">
        <f aca="false">1+(1-'3. The decision'!$B$27-B30)*(1-(1-'3. The decision'!$B$27)^('3. The decision'!$B$12-1))/'3. The decision'!$B$27</f>
        <v>5.01222108905498</v>
      </c>
      <c r="E30" s="15" t="n">
        <f aca="false">(1-'3. The decision'!$B$14)*(1-'3. The decision'!$B$27)^('3. The decision'!$B$11-1)</f>
        <v>0.690273454655712</v>
      </c>
      <c r="F30" s="15" t="n">
        <f aca="false">1+(1-'3. The decision'!$B$14)*(1-(1-'3. The decision'!$B$27)^('3. The decision'!$B$11-1))/'3. The decision'!$B$27</f>
        <v>4.28912098262087</v>
      </c>
      <c r="G30" s="15" t="n">
        <f aca="false">(1-(1-'3. The decision'!$B$9*MIN(1,('3. The decision'!$B$10/(52/12)))))+(1-(1-'3. The decision'!$B$9*MAX(0,MIN(1,('3. The decision'!$B$10/(52/12))-1))))*(1-'3. The decision'!$B$14)+(1-(1-'3. The decision'!$B$9*MAX(0,MIN(1,('3. The decision'!$B$10/(52/12))-2))))*(1-'3. The decision'!$B$14)*(1-'3. The decision'!$B$27)</f>
        <v>0.884576923076923</v>
      </c>
      <c r="H30" s="15" t="n">
        <f aca="false">IF(A30&lt;=0,0,MAX(0,ROUNDUP(LN('3. The decision'!$B$13)/LN(1+A30)-0.000000000001,0)-1))</f>
        <v>8</v>
      </c>
      <c r="I30" s="15" t="n">
        <f aca="false">IF(A30&lt;=0,1/(1-C30),(1+A30)*(1-(C30*(1+A30))^H30)/(1-C30*(1+A30))+'3. The decision'!$B$13*C30^H30/(1-C30))</f>
        <v>3.35809017700012</v>
      </c>
      <c r="J30" s="17" t="n">
        <f aca="false">F30+E30*D30/(1-C30)</f>
        <v>14.1654062917887</v>
      </c>
      <c r="K30" s="15" t="n">
        <f aca="false">F30-G30+E30*D30*I30</f>
        <v>15.0228750877923</v>
      </c>
      <c r="L30" s="17" t="n">
        <f aca="false">'3. The decision'!$B$8*'3. The decision'!$B$5/J30</f>
        <v>33.1540084573668</v>
      </c>
      <c r="M30" s="31" t="n">
        <f aca="false">L30*'3. The decision'!$B$6*'3. The decision'!$B$7*K30</f>
        <v>955307.254731895</v>
      </c>
      <c r="N30" s="31" t="n">
        <f aca="false">M30*(1+'3. The decision'!$B$19+'3. The decision'!$B$20+'3. The decision'!$B$22)</f>
        <v>1056569.82373348</v>
      </c>
      <c r="O30" s="31" t="n">
        <f aca="false">'3. The decision'!$B$17+'3. The decision'!$B$18*L30*12+M30*('3. The decision'!$B$20*(1-'3. The decision'!$B$21)+'3. The decision'!$B$23)+N30*('3. The decision'!$B$24+'3. The decision'!$B$25)</f>
        <v>580939.620804514</v>
      </c>
      <c r="P30" s="31" t="n">
        <f aca="false">N30-O30</f>
        <v>475630.202928962</v>
      </c>
    </row>
    <row r="31" customFormat="false" ht="15" hidden="false" customHeight="false" outlineLevel="0" collapsed="false">
      <c r="A31" s="27" t="n">
        <f aca="false">24*0.0025</f>
        <v>0.06</v>
      </c>
      <c r="B31" s="27" t="n">
        <f aca="false">IF(A31&gt;0,MIN('3. The decision'!$B$15,'3. The decision'!$B$29*(A31/'3. The decision'!$B$28)^$B$4),0)</f>
        <v>0.0181995685106327</v>
      </c>
      <c r="C31" s="15" t="n">
        <f aca="false">(1-'3. The decision'!$B$27-B31)*(1-'3. The decision'!$B$27)^('3. The decision'!$B$12-1)</f>
        <v>0.648836508358316</v>
      </c>
      <c r="D31" s="15" t="n">
        <f aca="false">1+(1-'3. The decision'!$B$27-B31)*(1-(1-'3. The decision'!$B$27)^('3. The decision'!$B$12-1))/'3. The decision'!$B$27</f>
        <v>5.00697628768498</v>
      </c>
      <c r="E31" s="15" t="n">
        <f aca="false">(1-'3. The decision'!$B$14)*(1-'3. The decision'!$B$27)^('3. The decision'!$B$11-1)</f>
        <v>0.690273454655712</v>
      </c>
      <c r="F31" s="15" t="n">
        <f aca="false">1+(1-'3. The decision'!$B$14)*(1-(1-'3. The decision'!$B$27)^('3. The decision'!$B$11-1))/'3. The decision'!$B$27</f>
        <v>4.28912098262087</v>
      </c>
      <c r="G31" s="15" t="n">
        <f aca="false">(1-(1-'3. The decision'!$B$9*MIN(1,('3. The decision'!$B$10/(52/12)))))+(1-(1-'3. The decision'!$B$9*MAX(0,MIN(1,('3. The decision'!$B$10/(52/12))-1))))*(1-'3. The decision'!$B$14)+(1-(1-'3. The decision'!$B$9*MAX(0,MIN(1,('3. The decision'!$B$10/(52/12))-2))))*(1-'3. The decision'!$B$14)*(1-'3. The decision'!$B$27)</f>
        <v>0.884576923076923</v>
      </c>
      <c r="H31" s="15" t="n">
        <f aca="false">IF(A31&lt;=0,0,MAX(0,ROUNDUP(LN('3. The decision'!$B$13)/LN(1+A31)-0.000000000001,0)-1))</f>
        <v>8</v>
      </c>
      <c r="I31" s="15" t="n">
        <f aca="false">IF(A31&lt;=0,1/(1-C31),(1+A31)*(1-(C31*(1+A31))^H31)/(1-C31*(1+A31))+'3. The decision'!$B$13*C31^H31/(1-C31))</f>
        <v>3.36984028405551</v>
      </c>
      <c r="J31" s="17" t="n">
        <f aca="false">F31+E31*D31/(1-C31)</f>
        <v>14.1312113528981</v>
      </c>
      <c r="K31" s="15" t="n">
        <f aca="false">F31-G31+E31*D31*I31</f>
        <v>15.0513281536867</v>
      </c>
      <c r="L31" s="17" t="n">
        <f aca="false">'3. The decision'!$B$8*'3. The decision'!$B$5/J31</f>
        <v>33.2342350752318</v>
      </c>
      <c r="M31" s="31" t="n">
        <f aca="false">L31*'3. The decision'!$B$6*'3. The decision'!$B$7*K31</f>
        <v>959432.636720083</v>
      </c>
      <c r="N31" s="31" t="n">
        <f aca="false">M31*(1+'3. The decision'!$B$19+'3. The decision'!$B$20+'3. The decision'!$B$22)</f>
        <v>1061132.49621241</v>
      </c>
      <c r="O31" s="31" t="n">
        <f aca="false">'3. The decision'!$B$17+'3. The decision'!$B$18*L31*12+M31*('3. The decision'!$B$20*(1-'3. The decision'!$B$21)+'3. The decision'!$B$23)+N31*('3. The decision'!$B$24+'3. The decision'!$B$25)</f>
        <v>581505.153173531</v>
      </c>
      <c r="P31" s="31" t="n">
        <f aca="false">N31-O31</f>
        <v>479627.34303888</v>
      </c>
    </row>
    <row r="32" customFormat="false" ht="15" hidden="false" customHeight="false" outlineLevel="0" collapsed="false">
      <c r="A32" s="27" t="n">
        <f aca="false">25*0.0025</f>
        <v>0.0625</v>
      </c>
      <c r="B32" s="27" t="n">
        <f aca="false">IF(A32&gt;0,MIN('3. The decision'!$B$15,'3. The decision'!$B$29*(A32/'3. The decision'!$B$28)^$B$4),0)</f>
        <v>0.019427956332581</v>
      </c>
      <c r="C32" s="15" t="n">
        <f aca="false">(1-'3. The decision'!$B$27-B32)*(1-'3. The decision'!$B$27)^('3. The decision'!$B$12-1)</f>
        <v>0.647965731028947</v>
      </c>
      <c r="D32" s="15" t="n">
        <f aca="false">1+(1-'3. The decision'!$B$27-B32)*(1-(1-'3. The decision'!$B$27)^('3. The decision'!$B$12-1))/'3. The decision'!$B$27</f>
        <v>5.00159868629281</v>
      </c>
      <c r="E32" s="15" t="n">
        <f aca="false">(1-'3. The decision'!$B$14)*(1-'3. The decision'!$B$27)^('3. The decision'!$B$11-1)</f>
        <v>0.690273454655712</v>
      </c>
      <c r="F32" s="15" t="n">
        <f aca="false">1+(1-'3. The decision'!$B$14)*(1-(1-'3. The decision'!$B$27)^('3. The decision'!$B$11-1))/'3. The decision'!$B$27</f>
        <v>4.28912098262087</v>
      </c>
      <c r="G32" s="15" t="n">
        <f aca="false">(1-(1-'3. The decision'!$B$9*MIN(1,('3. The decision'!$B$10/(52/12)))))+(1-(1-'3. The decision'!$B$9*MAX(0,MIN(1,('3. The decision'!$B$10/(52/12))-1))))*(1-'3. The decision'!$B$14)+(1-(1-'3. The decision'!$B$9*MAX(0,MIN(1,('3. The decision'!$B$10/(52/12))-2))))*(1-'3. The decision'!$B$14)*(1-'3. The decision'!$B$27)</f>
        <v>0.884576923076923</v>
      </c>
      <c r="H32" s="15" t="n">
        <f aca="false">IF(A32&lt;=0,0,MAX(0,ROUNDUP(LN('3. The decision'!$B$13)/LN(1+A32)-0.000000000001,0)-1))</f>
        <v>7</v>
      </c>
      <c r="I32" s="15" t="n">
        <f aca="false">IF(A32&lt;=0,1/(1-C32),(1+A32)*(1-(C32*(1+A32))^H32)/(1-C32*(1+A32))+'3. The decision'!$B$13*C32^H32/(1-C32))</f>
        <v>3.38118518380329</v>
      </c>
      <c r="J32" s="17" t="n">
        <f aca="false">F32+E32*D32/(1-C32)</f>
        <v>14.0963218954181</v>
      </c>
      <c r="K32" s="15" t="n">
        <f aca="false">F32-G32+E32*D32*I32</f>
        <v>15.0779871895044</v>
      </c>
      <c r="L32" s="17" t="n">
        <f aca="false">'3. The decision'!$B$8*'3. The decision'!$B$5/J32</f>
        <v>33.316492308015</v>
      </c>
      <c r="M32" s="31" t="n">
        <f aca="false">L32*'3. The decision'!$B$6*'3. The decision'!$B$7*K32</f>
        <v>963510.86567908</v>
      </c>
      <c r="N32" s="31" t="n">
        <f aca="false">M32*(1+'3. The decision'!$B$19+'3. The decision'!$B$20+'3. The decision'!$B$22)</f>
        <v>1065643.01744106</v>
      </c>
      <c r="O32" s="31" t="n">
        <f aca="false">'3. The decision'!$B$17+'3. The decision'!$B$18*L32*12+M32*('3. The decision'!$B$20*(1-'3. The decision'!$B$21)+'3. The decision'!$B$23)+N32*('3. The decision'!$B$24+'3. The decision'!$B$25)</f>
        <v>582068.686644788</v>
      </c>
      <c r="P32" s="31" t="n">
        <f aca="false">N32-O32</f>
        <v>483574.330796273</v>
      </c>
    </row>
    <row r="33" customFormat="false" ht="15" hidden="false" customHeight="false" outlineLevel="0" collapsed="false">
      <c r="A33" s="27" t="n">
        <f aca="false">26*0.0025</f>
        <v>0.065</v>
      </c>
      <c r="B33" s="27" t="n">
        <f aca="false">IF(A33&gt;0,MIN('3. The decision'!$B$15,'3. The decision'!$B$29*(A33/'3. The decision'!$B$28)^$B$4),0)</f>
        <v>0.0206861877245798</v>
      </c>
      <c r="C33" s="15" t="n">
        <f aca="false">(1-'3. The decision'!$B$27-B33)*(1-'3. The decision'!$B$27)^('3. The decision'!$B$12-1)</f>
        <v>0.647073798243814</v>
      </c>
      <c r="D33" s="15" t="n">
        <f aca="false">1+(1-'3. The decision'!$B$27-B33)*(1-(1-'3. The decision'!$B$27)^('3. The decision'!$B$12-1))/'3. The decision'!$B$27</f>
        <v>4.9960904365655</v>
      </c>
      <c r="E33" s="15" t="n">
        <f aca="false">(1-'3. The decision'!$B$14)*(1-'3. The decision'!$B$27)^('3. The decision'!$B$11-1)</f>
        <v>0.690273454655712</v>
      </c>
      <c r="F33" s="15" t="n">
        <f aca="false">1+(1-'3. The decision'!$B$14)*(1-(1-'3. The decision'!$B$27)^('3. The decision'!$B$11-1))/'3. The decision'!$B$27</f>
        <v>4.28912098262087</v>
      </c>
      <c r="G33" s="15" t="n">
        <f aca="false">(1-(1-'3. The decision'!$B$9*MIN(1,('3. The decision'!$B$10/(52/12)))))+(1-(1-'3. The decision'!$B$9*MAX(0,MIN(1,('3. The decision'!$B$10/(52/12))-1))))*(1-'3. The decision'!$B$14)+(1-(1-'3. The decision'!$B$9*MAX(0,MIN(1,('3. The decision'!$B$10/(52/12))-2))))*(1-'3. The decision'!$B$14)*(1-'3. The decision'!$B$27)</f>
        <v>0.884576923076923</v>
      </c>
      <c r="H33" s="15" t="n">
        <f aca="false">IF(A33&lt;=0,0,MAX(0,ROUNDUP(LN('3. The decision'!$B$13)/LN(1+A33)-0.000000000001,0)-1))</f>
        <v>7</v>
      </c>
      <c r="I33" s="15" t="n">
        <f aca="false">IF(A33&lt;=0,1/(1-C33),(1+A33)*(1-(C33*(1+A33))^H33)/(1-C33*(1+A33))+'3. The decision'!$B$13*C33^H33/(1-C33))</f>
        <v>3.39106328166653</v>
      </c>
      <c r="J33" s="17" t="n">
        <f aca="false">F33+E33*D33/(1-C33)</f>
        <v>14.0607632927118</v>
      </c>
      <c r="K33" s="15" t="n">
        <f aca="false">F33-G33+E33*D33*I33</f>
        <v>15.0991975380213</v>
      </c>
      <c r="L33" s="17" t="n">
        <f aca="false">'3. The decision'!$B$8*'3. The decision'!$B$5/J33</f>
        <v>33.4007471872762</v>
      </c>
      <c r="M33" s="31" t="n">
        <f aca="false">L33*'3. The decision'!$B$6*'3. The decision'!$B$7*K33</f>
        <v>967306.319082685</v>
      </c>
      <c r="N33" s="31" t="n">
        <f aca="false">M33*(1+'3. The decision'!$B$19+'3. The decision'!$B$20+'3. The decision'!$B$22)</f>
        <v>1069840.78890545</v>
      </c>
      <c r="O33" s="31" t="n">
        <f aca="false">'3. The decision'!$B$17+'3. The decision'!$B$18*L33*12+M33*('3. The decision'!$B$20*(1-'3. The decision'!$B$21)+'3. The decision'!$B$23)+N33*('3. The decision'!$B$24+'3. The decision'!$B$25)</f>
        <v>582604.811930996</v>
      </c>
      <c r="P33" s="31" t="n">
        <f aca="false">N33-O33</f>
        <v>487235.976974453</v>
      </c>
    </row>
    <row r="34" customFormat="false" ht="15" hidden="false" customHeight="false" outlineLevel="0" collapsed="false">
      <c r="A34" s="27" t="n">
        <f aca="false">27*0.0025</f>
        <v>0.0675</v>
      </c>
      <c r="B34" s="27" t="n">
        <f aca="false">IF(A34&gt;0,MIN('3. The decision'!$B$15,'3. The decision'!$B$29*(A34/'3. The decision'!$B$28)^$B$4),0)</f>
        <v>0.0219737979800203</v>
      </c>
      <c r="C34" s="15" t="n">
        <f aca="false">(1-'3. The decision'!$B$27-B34)*(1-'3. The decision'!$B$27)^('3. The decision'!$B$12-1)</f>
        <v>0.646161039423296</v>
      </c>
      <c r="D34" s="15" t="n">
        <f aca="false">1+(1-'3. The decision'!$B$27-B34)*(1-(1-'3. The decision'!$B$27)^('3. The decision'!$B$12-1))/'3. The decision'!$B$27</f>
        <v>4.99045357288247</v>
      </c>
      <c r="E34" s="15" t="n">
        <f aca="false">(1-'3. The decision'!$B$14)*(1-'3. The decision'!$B$27)^('3. The decision'!$B$11-1)</f>
        <v>0.690273454655712</v>
      </c>
      <c r="F34" s="15" t="n">
        <f aca="false">1+(1-'3. The decision'!$B$14)*(1-(1-'3. The decision'!$B$27)^('3. The decision'!$B$11-1))/'3. The decision'!$B$27</f>
        <v>4.28912098262087</v>
      </c>
      <c r="G34" s="15" t="n">
        <f aca="false">(1-(1-'3. The decision'!$B$9*MIN(1,('3. The decision'!$B$10/(52/12)))))+(1-(1-'3. The decision'!$B$9*MAX(0,MIN(1,('3. The decision'!$B$10/(52/12))-1))))*(1-'3. The decision'!$B$14)+(1-(1-'3. The decision'!$B$9*MAX(0,MIN(1,('3. The decision'!$B$10/(52/12))-2))))*(1-'3. The decision'!$B$14)*(1-'3. The decision'!$B$27)</f>
        <v>0.884576923076923</v>
      </c>
      <c r="H34" s="15" t="n">
        <f aca="false">IF(A34&lt;=0,0,MAX(0,ROUNDUP(LN('3. The decision'!$B$13)/LN(1+A34)-0.000000000001,0)-1))</f>
        <v>7</v>
      </c>
      <c r="I34" s="15" t="n">
        <f aca="false">IF(A34&lt;=0,1/(1-C34),(1+A34)*(1-(C34*(1+A34))^H34)/(1-C34*(1+A34))+'3. The decision'!$B$13*C34^H34/(1-C34))</f>
        <v>3.40074215171917</v>
      </c>
      <c r="J34" s="17" t="n">
        <f aca="false">F34+E34*D34/(1-C34)</f>
        <v>14.0245600152194</v>
      </c>
      <c r="K34" s="15" t="n">
        <f aca="false">F34-G34+E34*D34*I34</f>
        <v>15.1193445425613</v>
      </c>
      <c r="L34" s="17" t="n">
        <f aca="false">'3. The decision'!$B$8*'3. The decision'!$B$5/J34</f>
        <v>33.4869685387884</v>
      </c>
      <c r="M34" s="31" t="n">
        <f aca="false">L34*'3. The decision'!$B$6*'3. The decision'!$B$7*K34</f>
        <v>971097.360738141</v>
      </c>
      <c r="N34" s="31" t="n">
        <f aca="false">M34*(1+'3. The decision'!$B$19+'3. The decision'!$B$20+'3. The decision'!$B$22)</f>
        <v>1074033.68097638</v>
      </c>
      <c r="O34" s="31" t="n">
        <f aca="false">'3. The decision'!$B$17+'3. The decision'!$B$18*L34*12+M34*('3. The decision'!$B$20*(1-'3. The decision'!$B$21)+'3. The decision'!$B$23)+N34*('3. The decision'!$B$24+'3. The decision'!$B$25)</f>
        <v>583143.441269907</v>
      </c>
      <c r="P34" s="31" t="n">
        <f aca="false">N34-O34</f>
        <v>490890.239706477</v>
      </c>
    </row>
    <row r="35" customFormat="false" ht="15" hidden="false" customHeight="false" outlineLevel="0" collapsed="false">
      <c r="A35" s="27" t="n">
        <f aca="false">28*0.0025</f>
        <v>0.07</v>
      </c>
      <c r="B35" s="27" t="n">
        <f aca="false">IF(A35&gt;0,MIN('3. The decision'!$B$15,'3. The decision'!$B$29*(A35/'3. The decision'!$B$28)^$B$4),0)</f>
        <v>0.0232903467772218</v>
      </c>
      <c r="C35" s="15" t="n">
        <f aca="false">(1-'3. The decision'!$B$27-B35)*(1-'3. The decision'!$B$27)^('3. The decision'!$B$12-1)</f>
        <v>0.645227766701825</v>
      </c>
      <c r="D35" s="15" t="n">
        <f aca="false">1+(1-'3. The decision'!$B$27-B35)*(1-(1-'3. The decision'!$B$27)^('3. The decision'!$B$12-1))/'3. The decision'!$B$27</f>
        <v>4.98469002287148</v>
      </c>
      <c r="E35" s="15" t="n">
        <f aca="false">(1-'3. The decision'!$B$14)*(1-'3. The decision'!$B$27)^('3. The decision'!$B$11-1)</f>
        <v>0.690273454655712</v>
      </c>
      <c r="F35" s="15" t="n">
        <f aca="false">1+(1-'3. The decision'!$B$14)*(1-(1-'3. The decision'!$B$27)^('3. The decision'!$B$11-1))/'3. The decision'!$B$27</f>
        <v>4.28912098262087</v>
      </c>
      <c r="G35" s="15" t="n">
        <f aca="false">(1-(1-'3. The decision'!$B$9*MIN(1,('3. The decision'!$B$10/(52/12)))))+(1-(1-'3. The decision'!$B$9*MAX(0,MIN(1,('3. The decision'!$B$10/(52/12))-1))))*(1-'3. The decision'!$B$14)+(1-(1-'3. The decision'!$B$9*MAX(0,MIN(1,('3. The decision'!$B$10/(52/12))-2))))*(1-'3. The decision'!$B$14)*(1-'3. The decision'!$B$27)</f>
        <v>0.884576923076923</v>
      </c>
      <c r="H35" s="15" t="n">
        <f aca="false">IF(A35&lt;=0,0,MAX(0,ROUNDUP(LN('3. The decision'!$B$13)/LN(1+A35)-0.000000000001,0)-1))</f>
        <v>7</v>
      </c>
      <c r="I35" s="15" t="n">
        <f aca="false">IF(A35&lt;=0,1/(1-C35),(1+A35)*(1-(C35*(1+A35))^H35)/(1-C35*(1+A35))+'3. The decision'!$B$13*C35^H35/(1-C35))</f>
        <v>3.41022317452935</v>
      </c>
      <c r="J35" s="17" t="n">
        <f aca="false">F35+E35*D35/(1-C35)</f>
        <v>13.987735698005</v>
      </c>
      <c r="K35" s="15" t="n">
        <f aca="false">F35-G35+E35*D35*I35</f>
        <v>15.1384372387275</v>
      </c>
      <c r="L35" s="17" t="n">
        <f aca="false">'3. The decision'!$B$8*'3. The decision'!$B$5/J35</f>
        <v>33.5751268210611</v>
      </c>
      <c r="M35" s="31" t="n">
        <f aca="false">L35*'3. The decision'!$B$6*'3. The decision'!$B$7*K35</f>
        <v>974883.41517407</v>
      </c>
      <c r="N35" s="31" t="n">
        <f aca="false">M35*(1+'3. The decision'!$B$19+'3. The decision'!$B$20+'3. The decision'!$B$22)</f>
        <v>1078221.05718252</v>
      </c>
      <c r="O35" s="31" t="n">
        <f aca="false">'3. The decision'!$B$17+'3. The decision'!$B$18*L35*12+M35*('3. The decision'!$B$20*(1-'3. The decision'!$B$21)+'3. The decision'!$B$23)+N35*('3. The decision'!$B$24+'3. The decision'!$B$25)</f>
        <v>583684.467974854</v>
      </c>
      <c r="P35" s="31" t="n">
        <f aca="false">N35-O35</f>
        <v>494536.589207666</v>
      </c>
    </row>
    <row r="36" customFormat="false" ht="15" hidden="false" customHeight="false" outlineLevel="0" collapsed="false">
      <c r="A36" s="27" t="n">
        <f aca="false">29*0.0025</f>
        <v>0.0725</v>
      </c>
      <c r="B36" s="27" t="n">
        <f aca="false">IF(A36&gt;0,MIN('3. The decision'!$B$15,'3. The decision'!$B$29*(A36/'3. The decision'!$B$28)^$B$4),0)</f>
        <v>0.0246354160645318</v>
      </c>
      <c r="C36" s="15" t="n">
        <f aca="false">(1-'3. The decision'!$B$27-B36)*(1-'3. The decision'!$B$27)^('3. The decision'!$B$12-1)</f>
        <v>0.644274276427098</v>
      </c>
      <c r="D36" s="15" t="n">
        <f aca="false">1+(1-'3. The decision'!$B$27-B36)*(1-(1-'3. The decision'!$B$27)^('3. The decision'!$B$12-1))/'3. The decision'!$B$27</f>
        <v>4.97880161666722</v>
      </c>
      <c r="E36" s="15" t="n">
        <f aca="false">(1-'3. The decision'!$B$14)*(1-'3. The decision'!$B$27)^('3. The decision'!$B$11-1)</f>
        <v>0.690273454655712</v>
      </c>
      <c r="F36" s="15" t="n">
        <f aca="false">1+(1-'3. The decision'!$B$14)*(1-(1-'3. The decision'!$B$27)^('3. The decision'!$B$11-1))/'3. The decision'!$B$27</f>
        <v>4.28912098262087</v>
      </c>
      <c r="G36" s="15" t="n">
        <f aca="false">(1-(1-'3. The decision'!$B$9*MIN(1,('3. The decision'!$B$10/(52/12)))))+(1-(1-'3. The decision'!$B$9*MAX(0,MIN(1,('3. The decision'!$B$10/(52/12))-1))))*(1-'3. The decision'!$B$14)+(1-(1-'3. The decision'!$B$9*MAX(0,MIN(1,('3. The decision'!$B$10/(52/12))-2))))*(1-'3. The decision'!$B$14)*(1-'3. The decision'!$B$27)</f>
        <v>0.884576923076923</v>
      </c>
      <c r="H36" s="15" t="n">
        <f aca="false">IF(A36&lt;=0,0,MAX(0,ROUNDUP(LN('3. The decision'!$B$13)/LN(1+A36)-0.000000000001,0)-1))</f>
        <v>6</v>
      </c>
      <c r="I36" s="15" t="n">
        <f aca="false">IF(A36&lt;=0,1/(1-C36),(1+A36)*(1-(C36*(1+A36))^H36)/(1-C36*(1+A36))+'3. The decision'!$B$13*C36^H36/(1-C36))</f>
        <v>3.41863298206731</v>
      </c>
      <c r="J36" s="17" t="n">
        <f aca="false">F36+E36*D36/(1-C36)</f>
        <v>13.9503131996577</v>
      </c>
      <c r="K36" s="15" t="n">
        <f aca="false">F36-G36+E36*D36*I36</f>
        <v>15.1534782863064</v>
      </c>
      <c r="L36" s="17" t="n">
        <f aca="false">'3. The decision'!$B$8*'3. The decision'!$B$5/J36</f>
        <v>33.6651939837109</v>
      </c>
      <c r="M36" s="31" t="n">
        <f aca="false">L36*'3. The decision'!$B$6*'3. The decision'!$B$7*K36</f>
        <v>978469.804748437</v>
      </c>
      <c r="N36" s="31" t="n">
        <f aca="false">M36*(1+'3. The decision'!$B$19+'3. The decision'!$B$20+'3. The decision'!$B$22)</f>
        <v>1082187.60405177</v>
      </c>
      <c r="O36" s="31" t="n">
        <f aca="false">'3. The decision'!$B$17+'3. The decision'!$B$18*L36*12+M36*('3. The decision'!$B$20*(1-'3. The decision'!$B$21)+'3. The decision'!$B$23)+N36*('3. The decision'!$B$24+'3. The decision'!$B$25)</f>
        <v>584206.89698363</v>
      </c>
      <c r="P36" s="31" t="n">
        <f aca="false">N36-O36</f>
        <v>497980.707068142</v>
      </c>
    </row>
    <row r="37" customFormat="false" ht="15" hidden="false" customHeight="false" outlineLevel="0" collapsed="false">
      <c r="A37" s="27" t="n">
        <f aca="false">30*0.0025</f>
        <v>0.075</v>
      </c>
      <c r="B37" s="27" t="n">
        <f aca="false">IF(A37&gt;0,MIN('3. The decision'!$B$15,'3. The decision'!$B$29*(A37/'3. The decision'!$B$28)^$B$4),0)</f>
        <v>0.0260086081962807</v>
      </c>
      <c r="C37" s="15" t="n">
        <f aca="false">(1-'3. The decision'!$B$27-B37)*(1-'3. The decision'!$B$27)^('3. The decision'!$B$12-1)</f>
        <v>0.643300850481456</v>
      </c>
      <c r="D37" s="15" t="n">
        <f aca="false">1+(1-'3. The decision'!$B$27-B37)*(1-(1-'3. The decision'!$B$27)^('3. The decision'!$B$12-1))/'3. The decision'!$B$27</f>
        <v>4.97279009507163</v>
      </c>
      <c r="E37" s="15" t="n">
        <f aca="false">(1-'3. The decision'!$B$14)*(1-'3. The decision'!$B$27)^('3. The decision'!$B$11-1)</f>
        <v>0.690273454655712</v>
      </c>
      <c r="F37" s="15" t="n">
        <f aca="false">1+(1-'3. The decision'!$B$14)*(1-(1-'3. The decision'!$B$27)^('3. The decision'!$B$11-1))/'3. The decision'!$B$27</f>
        <v>4.28912098262087</v>
      </c>
      <c r="G37" s="15" t="n">
        <f aca="false">(1-(1-'3. The decision'!$B$9*MIN(1,('3. The decision'!$B$10/(52/12)))))+(1-(1-'3. The decision'!$B$9*MAX(0,MIN(1,('3. The decision'!$B$10/(52/12))-1))))*(1-'3. The decision'!$B$14)+(1-(1-'3. The decision'!$B$9*MAX(0,MIN(1,('3. The decision'!$B$10/(52/12))-2))))*(1-'3. The decision'!$B$14)*(1-'3. The decision'!$B$27)</f>
        <v>0.884576923076923</v>
      </c>
      <c r="H37" s="15" t="n">
        <f aca="false">IF(A37&lt;=0,0,MAX(0,ROUNDUP(LN('3. The decision'!$B$13)/LN(1+A37)-0.000000000001,0)-1))</f>
        <v>6</v>
      </c>
      <c r="I37" s="15" t="n">
        <f aca="false">IF(A37&lt;=0,1/(1-C37),(1+A37)*(1-(C37*(1+A37))^H37)/(1-C37*(1+A37))+'3. The decision'!$B$13*C37^H37/(1-C37))</f>
        <v>3.42582899844287</v>
      </c>
      <c r="J37" s="17" t="n">
        <f aca="false">F37+E37*D37/(1-C37)</f>
        <v>13.9123146539149</v>
      </c>
      <c r="K37" s="15" t="n">
        <f aca="false">F37-G37+E37*D37*I37</f>
        <v>15.1639932860071</v>
      </c>
      <c r="L37" s="17" t="n">
        <f aca="false">'3. The decision'!$B$8*'3. The decision'!$B$5/J37</f>
        <v>33.7571433426318</v>
      </c>
      <c r="M37" s="31" t="n">
        <f aca="false">L37*'3. The decision'!$B$6*'3. The decision'!$B$7*K37</f>
        <v>981823.102830506</v>
      </c>
      <c r="N37" s="31" t="n">
        <f aca="false">M37*(1+'3. The decision'!$B$19+'3. The decision'!$B$20+'3. The decision'!$B$22)</f>
        <v>1085896.35173054</v>
      </c>
      <c r="O37" s="31" t="n">
        <f aca="false">'3. The decision'!$B$17+'3. The decision'!$B$18*L37*12+M37*('3. The decision'!$B$20*(1-'3. The decision'!$B$21)+'3. The decision'!$B$23)+N37*('3. The decision'!$B$24+'3. The decision'!$B$25)</f>
        <v>584707.090266298</v>
      </c>
      <c r="P37" s="31" t="n">
        <f aca="false">N37-O37</f>
        <v>501189.261464241</v>
      </c>
    </row>
    <row r="38" customFormat="false" ht="15" hidden="false" customHeight="false" outlineLevel="0" collapsed="false">
      <c r="A38" s="27" t="n">
        <f aca="false">31*0.0025</f>
        <v>0.0775</v>
      </c>
      <c r="B38" s="27" t="n">
        <f aca="false">IF(A38&gt;0,MIN('3. The decision'!$B$15,'3. The decision'!$B$29*(A38/'3. The decision'!$B$28)^$B$4),0)</f>
        <v>0.0274095442823748</v>
      </c>
      <c r="C38" s="15" t="n">
        <f aca="false">(1-'3. The decision'!$B$27-B38)*(1-'3. The decision'!$B$27)^('3. The decision'!$B$12-1)</f>
        <v>0.642307757451821</v>
      </c>
      <c r="D38" s="15" t="n">
        <f aca="false">1+(1-'3. The decision'!$B$27-B38)*(1-(1-'3. The decision'!$B$27)^('3. The decision'!$B$12-1))/'3. The decision'!$B$27</f>
        <v>4.96665711677902</v>
      </c>
      <c r="E38" s="15" t="n">
        <f aca="false">(1-'3. The decision'!$B$14)*(1-'3. The decision'!$B$27)^('3. The decision'!$B$11-1)</f>
        <v>0.690273454655712</v>
      </c>
      <c r="F38" s="15" t="n">
        <f aca="false">1+(1-'3. The decision'!$B$14)*(1-(1-'3. The decision'!$B$27)^('3. The decision'!$B$11-1))/'3. The decision'!$B$27</f>
        <v>4.28912098262087</v>
      </c>
      <c r="G38" s="15" t="n">
        <f aca="false">(1-(1-'3. The decision'!$B$9*MIN(1,('3. The decision'!$B$10/(52/12)))))+(1-(1-'3. The decision'!$B$9*MAX(0,MIN(1,('3. The decision'!$B$10/(52/12))-1))))*(1-'3. The decision'!$B$14)+(1-(1-'3. The decision'!$B$9*MAX(0,MIN(1,('3. The decision'!$B$10/(52/12))-2))))*(1-'3. The decision'!$B$14)*(1-'3. The decision'!$B$27)</f>
        <v>0.884576923076923</v>
      </c>
      <c r="H38" s="15" t="n">
        <f aca="false">IF(A38&lt;=0,0,MAX(0,ROUNDUP(LN('3. The decision'!$B$13)/LN(1+A38)-0.000000000001,0)-1))</f>
        <v>6</v>
      </c>
      <c r="I38" s="15" t="n">
        <f aca="false">IF(A38&lt;=0,1/(1-C38),(1+A38)*(1-(C38*(1+A38))^H38)/(1-C38*(1+A38))+'3. The decision'!$B$13*C38^H38/(1-C38))</f>
        <v>3.43283927476241</v>
      </c>
      <c r="J38" s="17" t="n">
        <f aca="false">F38+E38*D38/(1-C38)</f>
        <v>13.8737615151246</v>
      </c>
      <c r="K38" s="15" t="n">
        <f aca="false">F38-G38+E38*D38*I38</f>
        <v>15.173523963309</v>
      </c>
      <c r="L38" s="17" t="n">
        <f aca="false">'3. The decision'!$B$8*'3. The decision'!$B$5/J38</f>
        <v>33.8509494694729</v>
      </c>
      <c r="M38" s="31" t="n">
        <f aca="false">L38*'3. The decision'!$B$6*'3. The decision'!$B$7*K38</f>
        <v>985170.242114157</v>
      </c>
      <c r="N38" s="31" t="n">
        <f aca="false">M38*(1+'3. The decision'!$B$19+'3. The decision'!$B$20+'3. The decision'!$B$22)</f>
        <v>1089598.28777826</v>
      </c>
      <c r="O38" s="31" t="n">
        <f aca="false">'3. The decision'!$B$17+'3. The decision'!$B$18*L38*12+M38*('3. The decision'!$B$20*(1-'3. The decision'!$B$21)+'3. The decision'!$B$23)+N38*('3. The decision'!$B$24+'3. The decision'!$B$25)</f>
        <v>585209.433388213</v>
      </c>
      <c r="P38" s="31" t="n">
        <f aca="false">N38-O38</f>
        <v>504388.854390045</v>
      </c>
    </row>
    <row r="39" customFormat="false" ht="15" hidden="false" customHeight="false" outlineLevel="0" collapsed="false">
      <c r="A39" s="27" t="n">
        <f aca="false">32*0.0025</f>
        <v>0.08</v>
      </c>
      <c r="B39" s="27" t="n">
        <f aca="false">IF(A39&gt;0,MIN('3. The decision'!$B$15,'3. The decision'!$B$29*(A39/'3. The decision'!$B$28)^$B$4),0)</f>
        <v>0.0288378627208663</v>
      </c>
      <c r="C39" s="15" t="n">
        <f aca="false">(1-'3. The decision'!$B$27-B39)*(1-'3. The decision'!$B$27)^('3. The decision'!$B$12-1)</f>
        <v>0.641295253669924</v>
      </c>
      <c r="D39" s="15" t="n">
        <f aca="false">1+(1-'3. The decision'!$B$27-B39)*(1-(1-'3. The decision'!$B$27)^('3. The decision'!$B$12-1))/'3. The decision'!$B$27</f>
        <v>4.96040426480015</v>
      </c>
      <c r="E39" s="15" t="n">
        <f aca="false">(1-'3. The decision'!$B$14)*(1-'3. The decision'!$B$27)^('3. The decision'!$B$11-1)</f>
        <v>0.690273454655712</v>
      </c>
      <c r="F39" s="15" t="n">
        <f aca="false">1+(1-'3. The decision'!$B$14)*(1-(1-'3. The decision'!$B$27)^('3. The decision'!$B$11-1))/'3. The decision'!$B$27</f>
        <v>4.28912098262087</v>
      </c>
      <c r="G39" s="15" t="n">
        <f aca="false">(1-(1-'3. The decision'!$B$9*MIN(1,('3. The decision'!$B$10/(52/12)))))+(1-(1-'3. The decision'!$B$9*MAX(0,MIN(1,('3. The decision'!$B$10/(52/12))-1))))*(1-'3. The decision'!$B$14)+(1-(1-'3. The decision'!$B$9*MAX(0,MIN(1,('3. The decision'!$B$10/(52/12))-2))))*(1-'3. The decision'!$B$14)*(1-'3. The decision'!$B$27)</f>
        <v>0.884576923076923</v>
      </c>
      <c r="H39" s="15" t="n">
        <f aca="false">IF(A39&lt;=0,0,MAX(0,ROUNDUP(LN('3. The decision'!$B$13)/LN(1+A39)-0.000000000001,0)-1))</f>
        <v>6</v>
      </c>
      <c r="I39" s="15" t="n">
        <f aca="false">IF(A39&lt;=0,1/(1-C39),(1+A39)*(1-(C39*(1+A39))^H39)/(1-C39*(1+A39))+'3. The decision'!$B$13*C39^H39/(1-C39))</f>
        <v>3.43966577384162</v>
      </c>
      <c r="J39" s="17" t="n">
        <f aca="false">F39+E39*D39/(1-C39)</f>
        <v>13.8346745984678</v>
      </c>
      <c r="K39" s="15" t="n">
        <f aca="false">F39-G39+E39*D39*I39</f>
        <v>15.1820813932826</v>
      </c>
      <c r="L39" s="17" t="n">
        <f aca="false">'3. The decision'!$B$8*'3. The decision'!$B$5/J39</f>
        <v>33.9465880933703</v>
      </c>
      <c r="M39" s="31" t="n">
        <f aca="false">L39*'3. The decision'!$B$6*'3. The decision'!$B$7*K39</f>
        <v>988510.807464727</v>
      </c>
      <c r="N39" s="31" t="n">
        <f aca="false">M39*(1+'3. The decision'!$B$19+'3. The decision'!$B$20+'3. The decision'!$B$22)</f>
        <v>1093292.95305599</v>
      </c>
      <c r="O39" s="31" t="n">
        <f aca="false">'3. The decision'!$B$17+'3. The decision'!$B$18*L39*12+M39*('3. The decision'!$B$20*(1-'3. The decision'!$B$21)+'3. The decision'!$B$23)+N39*('3. The decision'!$B$24+'3. The decision'!$B$25)</f>
        <v>585713.844903385</v>
      </c>
      <c r="P39" s="31" t="n">
        <f aca="false">N39-O39</f>
        <v>507579.108152603</v>
      </c>
    </row>
    <row r="40" customFormat="false" ht="15" hidden="false" customHeight="false" outlineLevel="0" collapsed="false">
      <c r="A40" s="27" t="n">
        <f aca="false">33*0.0025</f>
        <v>0.0825</v>
      </c>
      <c r="B40" s="27" t="n">
        <f aca="false">IF(A40&gt;0,MIN('3. The decision'!$B$15,'3. The decision'!$B$29*(A40/'3. The decision'!$B$28)^$B$4),0)</f>
        <v>0.0302932178880724</v>
      </c>
      <c r="C40" s="15" t="n">
        <f aca="false">(1-'3. The decision'!$B$27-B40)*(1-'3. The decision'!$B$27)^('3. The decision'!$B$12-1)</f>
        <v>0.640263584140855</v>
      </c>
      <c r="D40" s="15" t="n">
        <f aca="false">1+(1-'3. The decision'!$B$27-B40)*(1-(1-'3. The decision'!$B$27)^('3. The decision'!$B$12-1))/'3. The decision'!$B$27</f>
        <v>4.95403305219658</v>
      </c>
      <c r="E40" s="15" t="n">
        <f aca="false">(1-'3. The decision'!$B$14)*(1-'3. The decision'!$B$27)^('3. The decision'!$B$11-1)</f>
        <v>0.690273454655712</v>
      </c>
      <c r="F40" s="15" t="n">
        <f aca="false">1+(1-'3. The decision'!$B$14)*(1-(1-'3. The decision'!$B$27)^('3. The decision'!$B$11-1))/'3. The decision'!$B$27</f>
        <v>4.28912098262087</v>
      </c>
      <c r="G40" s="15" t="n">
        <f aca="false">(1-(1-'3. The decision'!$B$9*MIN(1,('3. The decision'!$B$10/(52/12)))))+(1-(1-'3. The decision'!$B$9*MAX(0,MIN(1,('3. The decision'!$B$10/(52/12))-1))))*(1-'3. The decision'!$B$14)+(1-(1-'3. The decision'!$B$9*MAX(0,MIN(1,('3. The decision'!$B$10/(52/12))-2))))*(1-'3. The decision'!$B$14)*(1-'3. The decision'!$B$27)</f>
        <v>0.884576923076923</v>
      </c>
      <c r="H40" s="15" t="n">
        <f aca="false">IF(A40&lt;=0,0,MAX(0,ROUNDUP(LN('3. The decision'!$B$13)/LN(1+A40)-0.000000000001,0)-1))</f>
        <v>6</v>
      </c>
      <c r="I40" s="15" t="n">
        <f aca="false">IF(A40&lt;=0,1/(1-C40),(1+A40)*(1-(C40*(1+A40))^H40)/(1-C40*(1+A40))+'3. The decision'!$B$13*C40^H40/(1-C40))</f>
        <v>3.44631034385738</v>
      </c>
      <c r="J40" s="17" t="n">
        <f aca="false">F40+E40*D40/(1-C40)</f>
        <v>13.7950741156984</v>
      </c>
      <c r="K40" s="15" t="n">
        <f aca="false">F40-G40+E40*D40*I40</f>
        <v>15.189676180495</v>
      </c>
      <c r="L40" s="17" t="n">
        <f aca="false">'3. The decision'!$B$8*'3. The decision'!$B$5/J40</f>
        <v>34.0440360132291</v>
      </c>
      <c r="M40" s="31" t="n">
        <f aca="false">L40*'3. The decision'!$B$6*'3. The decision'!$B$7*K40</f>
        <v>991844.370030669</v>
      </c>
      <c r="N40" s="31" t="n">
        <f aca="false">M40*(1+'3. The decision'!$B$19+'3. The decision'!$B$20+'3. The decision'!$B$22)</f>
        <v>1096979.87325392</v>
      </c>
      <c r="O40" s="31" t="n">
        <f aca="false">'3. The decision'!$B$17+'3. The decision'!$B$18*L40*12+M40*('3. The decision'!$B$20*(1-'3. The decision'!$B$21)+'3. The decision'!$B$23)+N40*('3. The decision'!$B$24+'3. The decision'!$B$25)</f>
        <v>586220.243510037</v>
      </c>
      <c r="P40" s="31" t="n">
        <f aca="false">N40-O40</f>
        <v>510759.629743883</v>
      </c>
    </row>
    <row r="41" customFormat="false" ht="15" hidden="false" customHeight="false" outlineLevel="0" collapsed="false">
      <c r="A41" s="27" t="n">
        <f aca="false">34*0.0025</f>
        <v>0.085</v>
      </c>
      <c r="B41" s="27" t="n">
        <f aca="false">IF(A41&gt;0,MIN('3. The decision'!$B$15,'3. The decision'!$B$29*(A41/'3. The decision'!$B$28)^$B$4),0)</f>
        <v>0.031775278965018</v>
      </c>
      <c r="C41" s="15" t="n">
        <f aca="false">(1-'3. The decision'!$B$27-B41)*(1-'3. The decision'!$B$27)^('3. The decision'!$B$12-1)</f>
        <v>0.639212983374968</v>
      </c>
      <c r="D41" s="15" t="n">
        <f aca="false">1+(1-'3. The decision'!$B$27-B41)*(1-(1-'3. The decision'!$B$27)^('3. The decision'!$B$12-1))/'3. The decision'!$B$27</f>
        <v>4.94754492721825</v>
      </c>
      <c r="E41" s="15" t="n">
        <f aca="false">(1-'3. The decision'!$B$14)*(1-'3. The decision'!$B$27)^('3. The decision'!$B$11-1)</f>
        <v>0.690273454655712</v>
      </c>
      <c r="F41" s="15" t="n">
        <f aca="false">1+(1-'3. The decision'!$B$14)*(1-(1-'3. The decision'!$B$27)^('3. The decision'!$B$11-1))/'3. The decision'!$B$27</f>
        <v>4.28912098262087</v>
      </c>
      <c r="G41" s="15" t="n">
        <f aca="false">(1-(1-'3. The decision'!$B$9*MIN(1,('3. The decision'!$B$10/(52/12)))))+(1-(1-'3. The decision'!$B$9*MAX(0,MIN(1,('3. The decision'!$B$10/(52/12))-1))))*(1-'3. The decision'!$B$14)+(1-(1-'3. The decision'!$B$9*MAX(0,MIN(1,('3. The decision'!$B$10/(52/12))-2))))*(1-'3. The decision'!$B$14)*(1-'3. The decision'!$B$27)</f>
        <v>0.884576923076923</v>
      </c>
      <c r="H41" s="15" t="n">
        <f aca="false">IF(A41&lt;=0,0,MAX(0,ROUNDUP(LN('3. The decision'!$B$13)/LN(1+A41)-0.000000000001,0)-1))</f>
        <v>5</v>
      </c>
      <c r="I41" s="15" t="n">
        <f aca="false">IF(A41&lt;=0,1/(1-C41),(1+A41)*(1-(C41*(1+A41))^H41)/(1-C41*(1+A41))+'3. The decision'!$B$13*C41^H41/(1-C41))</f>
        <v>3.45155096343375</v>
      </c>
      <c r="J41" s="17" t="n">
        <f aca="false">F41+E41*D41/(1-C41)</f>
        <v>13.7549797070347</v>
      </c>
      <c r="K41" s="15" t="n">
        <f aca="false">F41-G41+E41*D41*I41</f>
        <v>15.192139151128</v>
      </c>
      <c r="L41" s="17" t="n">
        <f aca="false">'3. The decision'!$B$8*'3. The decision'!$B$5/J41</f>
        <v>34.1432710191359</v>
      </c>
      <c r="M41" s="31" t="n">
        <f aca="false">L41*'3. The decision'!$B$6*'3. The decision'!$B$7*K41</f>
        <v>994896.792551041</v>
      </c>
      <c r="N41" s="31" t="n">
        <f aca="false">M41*(1+'3. The decision'!$B$19+'3. The decision'!$B$20+'3. The decision'!$B$22)</f>
        <v>1100355.85256145</v>
      </c>
      <c r="O41" s="31" t="n">
        <f aca="false">'3. The decision'!$B$17+'3. The decision'!$B$18*L41*12+M41*('3. The decision'!$B$20*(1-'3. The decision'!$B$21)+'3. The decision'!$B$23)+N41*('3. The decision'!$B$24+'3. The decision'!$B$25)</f>
        <v>586699.090992889</v>
      </c>
      <c r="P41" s="31" t="n">
        <f aca="false">N41-O41</f>
        <v>513656.761568562</v>
      </c>
    </row>
    <row r="42" customFormat="false" ht="15" hidden="false" customHeight="false" outlineLevel="0" collapsed="false">
      <c r="A42" s="27" t="n">
        <f aca="false">35*0.0025</f>
        <v>0.0875</v>
      </c>
      <c r="B42" s="27" t="n">
        <f aca="false">IF(A42&gt;0,MIN('3. The decision'!$B$15,'3. The decision'!$B$29*(A42/'3. The decision'!$B$28)^$B$4),0)</f>
        <v>0.0332837288823839</v>
      </c>
      <c r="C42" s="15" t="n">
        <f aca="false">(1-'3. The decision'!$B$27-B42)*(1-'3. The decision'!$B$27)^('3. The decision'!$B$12-1)</f>
        <v>0.638143676135787</v>
      </c>
      <c r="D42" s="15" t="n">
        <f aca="false">1+(1-'3. The decision'!$B$27-B42)*(1-(1-'3. The decision'!$B$27)^('3. The decision'!$B$12-1))/'3. The decision'!$B$27</f>
        <v>4.94094127792224</v>
      </c>
      <c r="E42" s="15" t="n">
        <f aca="false">(1-'3. The decision'!$B$14)*(1-'3. The decision'!$B$27)^('3. The decision'!$B$11-1)</f>
        <v>0.690273454655712</v>
      </c>
      <c r="F42" s="15" t="n">
        <f aca="false">1+(1-'3. The decision'!$B$14)*(1-(1-'3. The decision'!$B$27)^('3. The decision'!$B$11-1))/'3. The decision'!$B$27</f>
        <v>4.28912098262087</v>
      </c>
      <c r="G42" s="15" t="n">
        <f aca="false">(1-(1-'3. The decision'!$B$9*MIN(1,('3. The decision'!$B$10/(52/12)))))+(1-(1-'3. The decision'!$B$9*MAX(0,MIN(1,('3. The decision'!$B$10/(52/12))-1))))*(1-'3. The decision'!$B$14)+(1-(1-'3. The decision'!$B$9*MAX(0,MIN(1,('3. The decision'!$B$10/(52/12))-2))))*(1-'3. The decision'!$B$14)*(1-'3. The decision'!$B$27)</f>
        <v>0.884576923076923</v>
      </c>
      <c r="H42" s="15" t="n">
        <f aca="false">IF(A42&lt;=0,0,MAX(0,ROUNDUP(LN('3. The decision'!$B$13)/LN(1+A42)-0.000000000001,0)-1))</f>
        <v>5</v>
      </c>
      <c r="I42" s="15" t="n">
        <f aca="false">IF(A42&lt;=0,1/(1-C42),(1+A42)*(1-(C42*(1+A42))^H42)/(1-C42*(1+A42))+'3. The decision'!$B$13*C42^H42/(1-C42))</f>
        <v>3.45544631741082</v>
      </c>
      <c r="J42" s="17" t="n">
        <f aca="false">F42+E42*D42/(1-C42)</f>
        <v>13.714410469733</v>
      </c>
      <c r="K42" s="15" t="n">
        <f aca="false">F42-G42+E42*D42*I42</f>
        <v>15.1896913608114</v>
      </c>
      <c r="L42" s="17" t="n">
        <f aca="false">'3. The decision'!$B$8*'3. The decision'!$B$5/J42</f>
        <v>34.244271821707</v>
      </c>
      <c r="M42" s="31" t="n">
        <f aca="false">L42*'3. The decision'!$B$6*'3. The decision'!$B$7*K42</f>
        <v>997679.069045191</v>
      </c>
      <c r="N42" s="31" t="n">
        <f aca="false">M42*(1+'3. The decision'!$B$19+'3. The decision'!$B$20+'3. The decision'!$B$22)</f>
        <v>1103433.05036398</v>
      </c>
      <c r="O42" s="31" t="n">
        <f aca="false">'3. The decision'!$B$17+'3. The decision'!$B$18*L42*12+M42*('3. The decision'!$B$20*(1-'3. The decision'!$B$21)+'3. The decision'!$B$23)+N42*('3. The decision'!$B$24+'3. The decision'!$B$25)</f>
        <v>587151.538355414</v>
      </c>
      <c r="P42" s="31" t="n">
        <f aca="false">N42-O42</f>
        <v>516281.512008567</v>
      </c>
    </row>
    <row r="43" customFormat="false" ht="15" hidden="false" customHeight="false" outlineLevel="0" collapsed="false">
      <c r="A43" s="27" t="n">
        <f aca="false">36*0.0025</f>
        <v>0.09</v>
      </c>
      <c r="B43" s="27" t="n">
        <f aca="false">IF(A43&gt;0,MIN('3. The decision'!$B$15,'3. The decision'!$B$29*(A43/'3. The decision'!$B$28)^$B$4),0)</f>
        <v>0.0348182633689179</v>
      </c>
      <c r="C43" s="15" t="n">
        <f aca="false">(1-'3. The decision'!$B$27-B43)*(1-'3. The decision'!$B$27)^('3. The decision'!$B$12-1)</f>
        <v>0.637055878114565</v>
      </c>
      <c r="D43" s="15" t="n">
        <f aca="false">1+(1-'3. The decision'!$B$27-B43)*(1-(1-'3. The decision'!$B$27)^('3. The decision'!$B$12-1))/'3. The decision'!$B$27</f>
        <v>4.9342234363386</v>
      </c>
      <c r="E43" s="15" t="n">
        <f aca="false">(1-'3. The decision'!$B$14)*(1-'3. The decision'!$B$27)^('3. The decision'!$B$11-1)</f>
        <v>0.690273454655712</v>
      </c>
      <c r="F43" s="15" t="n">
        <f aca="false">1+(1-'3. The decision'!$B$14)*(1-(1-'3. The decision'!$B$27)^('3. The decision'!$B$11-1))/'3. The decision'!$B$27</f>
        <v>4.28912098262087</v>
      </c>
      <c r="G43" s="15" t="n">
        <f aca="false">(1-(1-'3. The decision'!$B$9*MIN(1,('3. The decision'!$B$10/(52/12)))))+(1-(1-'3. The decision'!$B$9*MAX(0,MIN(1,('3. The decision'!$B$10/(52/12))-1))))*(1-'3. The decision'!$B$14)+(1-(1-'3. The decision'!$B$9*MAX(0,MIN(1,('3. The decision'!$B$10/(52/12))-2))))*(1-'3. The decision'!$B$14)*(1-'3. The decision'!$B$27)</f>
        <v>0.884576923076923</v>
      </c>
      <c r="H43" s="15" t="n">
        <f aca="false">IF(A43&lt;=0,0,MAX(0,ROUNDUP(LN('3. The decision'!$B$13)/LN(1+A43)-0.000000000001,0)-1))</f>
        <v>5</v>
      </c>
      <c r="I43" s="15" t="n">
        <f aca="false">IF(A43&lt;=0,1/(1-C43),(1+A43)*(1-(C43*(1+A43))^H43)/(1-C43*(1+A43))+'3. The decision'!$B$13*C43^H43/(1-C43))</f>
        <v>3.45917804055492</v>
      </c>
      <c r="J43" s="17" t="n">
        <f aca="false">F43+E43*D43/(1-C43)</f>
        <v>13.6733849837878</v>
      </c>
      <c r="K43" s="15" t="n">
        <f aca="false">F43-G43+E43*D43*I43</f>
        <v>15.1863780584689</v>
      </c>
      <c r="L43" s="17" t="n">
        <f aca="false">'3. The decision'!$B$8*'3. The decision'!$B$5/J43</f>
        <v>34.3470179883651</v>
      </c>
      <c r="M43" s="31" t="n">
        <f aca="false">L43*'3. The decision'!$B$6*'3. The decision'!$B$7*K43</f>
        <v>1000454.22018631</v>
      </c>
      <c r="N43" s="31" t="n">
        <f aca="false">M43*(1+'3. The decision'!$B$19+'3. The decision'!$B$20+'3. The decision'!$B$22)</f>
        <v>1106502.36752606</v>
      </c>
      <c r="O43" s="31" t="n">
        <f aca="false">'3. The decision'!$B$17+'3. The decision'!$B$18*L43*12+M43*('3. The decision'!$B$20*(1-'3. The decision'!$B$21)+'3. The decision'!$B$23)+N43*('3. The decision'!$B$24+'3. The decision'!$B$25)</f>
        <v>587605.862771673</v>
      </c>
      <c r="P43" s="31" t="n">
        <f aca="false">N43-O43</f>
        <v>518896.504754391</v>
      </c>
    </row>
    <row r="44" customFormat="false" ht="15" hidden="false" customHeight="false" outlineLevel="0" collapsed="false">
      <c r="A44" s="27" t="n">
        <f aca="false">37*0.0025</f>
        <v>0.0925</v>
      </c>
      <c r="B44" s="27" t="n">
        <f aca="false">IF(A44&gt;0,MIN('3. The decision'!$B$15,'3. The decision'!$B$29*(A44/'3. The decision'!$B$28)^$B$4),0)</f>
        <v>0.0363785900905453</v>
      </c>
      <c r="C44" s="15" t="n">
        <f aca="false">(1-'3. The decision'!$B$27-B44)*(1-'3. The decision'!$B$27)^('3. The decision'!$B$12-1)</f>
        <v>0.635949796540549</v>
      </c>
      <c r="D44" s="15" t="n">
        <f aca="false">1+(1-'3. The decision'!$B$27-B44)*(1-(1-'3. The decision'!$B$27)^('3. The decision'!$B$12-1))/'3. The decision'!$B$27</f>
        <v>4.92739268223918</v>
      </c>
      <c r="E44" s="15" t="n">
        <f aca="false">(1-'3. The decision'!$B$14)*(1-'3. The decision'!$B$27)^('3. The decision'!$B$11-1)</f>
        <v>0.690273454655712</v>
      </c>
      <c r="F44" s="15" t="n">
        <f aca="false">1+(1-'3. The decision'!$B$14)*(1-(1-'3. The decision'!$B$27)^('3. The decision'!$B$11-1))/'3. The decision'!$B$27</f>
        <v>4.28912098262087</v>
      </c>
      <c r="G44" s="15" t="n">
        <f aca="false">(1-(1-'3. The decision'!$B$9*MIN(1,('3. The decision'!$B$10/(52/12)))))+(1-(1-'3. The decision'!$B$9*MAX(0,MIN(1,('3. The decision'!$B$10/(52/12))-1))))*(1-'3. The decision'!$B$14)+(1-(1-'3. The decision'!$B$9*MAX(0,MIN(1,('3. The decision'!$B$10/(52/12))-2))))*(1-'3. The decision'!$B$14)*(1-'3. The decision'!$B$27)</f>
        <v>0.884576923076923</v>
      </c>
      <c r="H44" s="15" t="n">
        <f aca="false">IF(A44&lt;=0,0,MAX(0,ROUNDUP(LN('3. The decision'!$B$13)/LN(1+A44)-0.000000000001,0)-1))</f>
        <v>5</v>
      </c>
      <c r="I44" s="15" t="n">
        <f aca="false">IF(A44&lt;=0,1/(1-C44),(1+A44)*(1-(C44*(1+A44))^H44)/(1-C44*(1+A44))+'3. The decision'!$B$13*C44^H44/(1-C44))</f>
        <v>3.46274864698709</v>
      </c>
      <c r="J44" s="17" t="n">
        <f aca="false">F44+E44*D44/(1-C44)</f>
        <v>13.631921335137</v>
      </c>
      <c r="K44" s="15" t="n">
        <f aca="false">F44-G44+E44*D44*I44</f>
        <v>15.1822122481086</v>
      </c>
      <c r="L44" s="17" t="n">
        <f aca="false">'3. The decision'!$B$8*'3. The decision'!$B$5/J44</f>
        <v>34.4514898856905</v>
      </c>
      <c r="M44" s="31" t="n">
        <f aca="false">L44*'3. The decision'!$B$6*'3. The decision'!$B$7*K44</f>
        <v>1003221.98856811</v>
      </c>
      <c r="N44" s="31" t="n">
        <f aca="false">M44*(1+'3. The decision'!$B$19+'3. The decision'!$B$20+'3. The decision'!$B$22)</f>
        <v>1109563.51935633</v>
      </c>
      <c r="O44" s="31" t="n">
        <f aca="false">'3. The decision'!$B$17+'3. The decision'!$B$18*L44*12+M44*('3. The decision'!$B$20*(1-'3. The decision'!$B$21)+'3. The decision'!$B$23)+N44*('3. The decision'!$B$24+'3. The decision'!$B$25)</f>
        <v>588062.006796459</v>
      </c>
      <c r="P44" s="31" t="n">
        <f aca="false">N44-O44</f>
        <v>521501.512559871</v>
      </c>
    </row>
    <row r="45" customFormat="false" ht="15" hidden="false" customHeight="false" outlineLevel="0" collapsed="false">
      <c r="A45" s="27" t="n">
        <f aca="false">38*0.0025</f>
        <v>0.095</v>
      </c>
      <c r="B45" s="27" t="n">
        <f aca="false">IF(A45&gt;0,MIN('3. The decision'!$B$15,'3. The decision'!$B$29*(A45/'3. The decision'!$B$28)^$B$4),0)</f>
        <v>0.037964427869294</v>
      </c>
      <c r="C45" s="15" t="n">
        <f aca="false">(1-'3. The decision'!$B$27-B45)*(1-'3. The decision'!$B$27)^('3. The decision'!$B$12-1)</f>
        <v>0.634825630734671</v>
      </c>
      <c r="D45" s="15" t="n">
        <f aca="false">1+(1-'3. The decision'!$B$27-B45)*(1-(1-'3. The decision'!$B$27)^('3. The decision'!$B$12-1))/'3. The decision'!$B$27</f>
        <v>4.92045024655692</v>
      </c>
      <c r="E45" s="15" t="n">
        <f aca="false">(1-'3. The decision'!$B$14)*(1-'3. The decision'!$B$27)^('3. The decision'!$B$11-1)</f>
        <v>0.690273454655712</v>
      </c>
      <c r="F45" s="15" t="n">
        <f aca="false">1+(1-'3. The decision'!$B$14)*(1-(1-'3. The decision'!$B$27)^('3. The decision'!$B$11-1))/'3. The decision'!$B$27</f>
        <v>4.28912098262087</v>
      </c>
      <c r="G45" s="15" t="n">
        <f aca="false">(1-(1-'3. The decision'!$B$9*MIN(1,('3. The decision'!$B$10/(52/12)))))+(1-(1-'3. The decision'!$B$9*MAX(0,MIN(1,('3. The decision'!$B$10/(52/12))-1))))*(1-'3. The decision'!$B$14)+(1-(1-'3. The decision'!$B$9*MAX(0,MIN(1,('3. The decision'!$B$10/(52/12))-2))))*(1-'3. The decision'!$B$14)*(1-'3. The decision'!$B$27)</f>
        <v>0.884576923076923</v>
      </c>
      <c r="H45" s="15" t="n">
        <f aca="false">IF(A45&lt;=0,0,MAX(0,ROUNDUP(LN('3. The decision'!$B$13)/LN(1+A45)-0.000000000001,0)-1))</f>
        <v>5</v>
      </c>
      <c r="I45" s="15" t="n">
        <f aca="false">IF(A45&lt;=0,1/(1-C45),(1+A45)*(1-(C45*(1+A45))^H45)/(1-C45*(1+A45))+'3. The decision'!$B$13*C45^H45/(1-C45))</f>
        <v>3.46616054667916</v>
      </c>
      <c r="J45" s="17" t="n">
        <f aca="false">F45+E45*D45/(1-C45)</f>
        <v>13.5900371366913</v>
      </c>
      <c r="K45" s="15" t="n">
        <f aca="false">F45-G45+E45*D45*I45</f>
        <v>15.1772065043744</v>
      </c>
      <c r="L45" s="17" t="n">
        <f aca="false">'3. The decision'!$B$8*'3. The decision'!$B$5/J45</f>
        <v>34.5576686271175</v>
      </c>
      <c r="M45" s="31" t="n">
        <f aca="false">L45*'3. The decision'!$B$6*'3. The decision'!$B$7*K45</f>
        <v>1005982.10403448</v>
      </c>
      <c r="N45" s="31" t="n">
        <f aca="false">M45*(1+'3. The decision'!$B$19+'3. The decision'!$B$20+'3. The decision'!$B$22)</f>
        <v>1112616.20706214</v>
      </c>
      <c r="O45" s="31" t="n">
        <f aca="false">'3. The decision'!$B$17+'3. The decision'!$B$18*L45*12+M45*('3. The decision'!$B$20*(1-'3. The decision'!$B$21)+'3. The decision'!$B$23)+N45*('3. The decision'!$B$24+'3. The decision'!$B$25)</f>
        <v>588519.9127437</v>
      </c>
      <c r="P45" s="31" t="n">
        <f aca="false">N45-O45</f>
        <v>524096.294318436</v>
      </c>
    </row>
    <row r="46" customFormat="false" ht="15" hidden="false" customHeight="false" outlineLevel="0" collapsed="false">
      <c r="A46" s="27" t="n">
        <f aca="false">39*0.0025</f>
        <v>0.0975</v>
      </c>
      <c r="B46" s="27" t="n">
        <f aca="false">IF(A46&gt;0,MIN('3. The decision'!$B$15,'3. The decision'!$B$29*(A46/'3. The decision'!$B$28)^$B$4),0)</f>
        <v>0.0395755059727104</v>
      </c>
      <c r="C46" s="15" t="n">
        <f aca="false">(1-'3. The decision'!$B$27-B46)*(1-'3. The decision'!$B$27)^('3. The decision'!$B$12-1)</f>
        <v>0.63368357261326</v>
      </c>
      <c r="D46" s="15" t="n">
        <f aca="false">1+(1-'3. The decision'!$B$27-B46)*(1-(1-'3. The decision'!$B$27)^('3. The decision'!$B$12-1))/'3. The decision'!$B$27</f>
        <v>4.91339731449668</v>
      </c>
      <c r="E46" s="15" t="n">
        <f aca="false">(1-'3. The decision'!$B$14)*(1-'3. The decision'!$B$27)^('3. The decision'!$B$11-1)</f>
        <v>0.690273454655712</v>
      </c>
      <c r="F46" s="15" t="n">
        <f aca="false">1+(1-'3. The decision'!$B$14)*(1-(1-'3. The decision'!$B$27)^('3. The decision'!$B$11-1))/'3. The decision'!$B$27</f>
        <v>4.28912098262087</v>
      </c>
      <c r="G46" s="15" t="n">
        <f aca="false">(1-(1-'3. The decision'!$B$9*MIN(1,('3. The decision'!$B$10/(52/12)))))+(1-(1-'3. The decision'!$B$9*MAX(0,MIN(1,('3. The decision'!$B$10/(52/12))-1))))*(1-'3. The decision'!$B$14)+(1-(1-'3. The decision'!$B$9*MAX(0,MIN(1,('3. The decision'!$B$10/(52/12))-2))))*(1-'3. The decision'!$B$14)*(1-'3. The decision'!$B$27)</f>
        <v>0.884576923076923</v>
      </c>
      <c r="H46" s="15" t="n">
        <f aca="false">IF(A46&lt;=0,0,MAX(0,ROUNDUP(LN('3. The decision'!$B$13)/LN(1+A46)-0.000000000001,0)-1))</f>
        <v>5</v>
      </c>
      <c r="I46" s="15" t="n">
        <f aca="false">IF(A46&lt;=0,1/(1-C46),(1+A46)*(1-(C46*(1+A46))^H46)/(1-C46*(1+A46))+'3. The decision'!$B$13*C46^H46/(1-C46))</f>
        <v>3.4694160501321</v>
      </c>
      <c r="J46" s="17" t="n">
        <f aca="false">F46+E46*D46/(1-C46)</f>
        <v>13.5477495474628</v>
      </c>
      <c r="K46" s="15" t="n">
        <f aca="false">F46-G46+E46*D46*I46</f>
        <v>15.171372994489</v>
      </c>
      <c r="L46" s="17" t="n">
        <f aca="false">'3. The decision'!$B$8*'3. The decision'!$B$5/J46</f>
        <v>34.6655360253506</v>
      </c>
      <c r="M46" s="31" t="n">
        <f aca="false">L46*'3. The decision'!$B$6*'3. The decision'!$B$7*K46</f>
        <v>1008734.28401448</v>
      </c>
      <c r="N46" s="31" t="n">
        <f aca="false">M46*(1+'3. The decision'!$B$19+'3. The decision'!$B$20+'3. The decision'!$B$22)</f>
        <v>1115660.11812002</v>
      </c>
      <c r="O46" s="31" t="n">
        <f aca="false">'3. The decision'!$B$17+'3. The decision'!$B$18*L46*12+M46*('3. The decision'!$B$20*(1-'3. The decision'!$B$21)+'3. The decision'!$B$23)+N46*('3. The decision'!$B$24+'3. The decision'!$B$25)</f>
        <v>588979.522650427</v>
      </c>
      <c r="P46" s="31" t="n">
        <f aca="false">N46-O46</f>
        <v>526680.59546959</v>
      </c>
    </row>
    <row r="47" customFormat="false" ht="15" hidden="false" customHeight="false" outlineLevel="0" collapsed="false">
      <c r="A47" s="27" t="n">
        <f aca="false">40*0.0025</f>
        <v>0.1</v>
      </c>
      <c r="B47" s="27" t="n">
        <f aca="false">IF(A47&gt;0,MIN('3. The decision'!$B$15,'3. The decision'!$B$29*(A47/'3. The decision'!$B$28)^$B$4),0)</f>
        <v>0.0412115634657464</v>
      </c>
      <c r="C47" s="15" t="n">
        <f aca="false">(1-'3. The decision'!$B$27-B47)*(1-'3. The decision'!$B$27)^('3. The decision'!$B$12-1)</f>
        <v>0.63252380714748</v>
      </c>
      <c r="D47" s="15" t="n">
        <f aca="false">1+(1-'3. The decision'!$B$27-B47)*(1-(1-'3. The decision'!$B$27)^('3. The decision'!$B$12-1))/'3. The decision'!$B$27</f>
        <v>4.90623502837253</v>
      </c>
      <c r="E47" s="15" t="n">
        <f aca="false">(1-'3. The decision'!$B$14)*(1-'3. The decision'!$B$27)^('3. The decision'!$B$11-1)</f>
        <v>0.690273454655712</v>
      </c>
      <c r="F47" s="15" t="n">
        <f aca="false">1+(1-'3. The decision'!$B$14)*(1-(1-'3. The decision'!$B$27)^('3. The decision'!$B$11-1))/'3. The decision'!$B$27</f>
        <v>4.28912098262087</v>
      </c>
      <c r="G47" s="15" t="n">
        <f aca="false">(1-(1-'3. The decision'!$B$9*MIN(1,('3. The decision'!$B$10/(52/12)))))+(1-(1-'3. The decision'!$B$9*MAX(0,MIN(1,('3. The decision'!$B$10/(52/12))-1))))*(1-'3. The decision'!$B$14)+(1-(1-'3. The decision'!$B$9*MAX(0,MIN(1,('3. The decision'!$B$10/(52/12))-2))))*(1-'3. The decision'!$B$14)*(1-'3. The decision'!$B$27)</f>
        <v>0.884576923076923</v>
      </c>
      <c r="H47" s="15" t="n">
        <f aca="false">IF(A47&lt;=0,0,MAX(0,ROUNDUP(LN('3. The decision'!$B$13)/LN(1+A47)-0.000000000001,0)-1))</f>
        <v>5</v>
      </c>
      <c r="I47" s="15" t="n">
        <f aca="false">IF(A47&lt;=0,1/(1-C47),(1+A47)*(1-(C47*(1+A47))^H47)/(1-C47*(1+A47))+'3. The decision'!$B$13*C47^H47/(1-C47))</f>
        <v>3.47251737267914</v>
      </c>
      <c r="J47" s="17" t="n">
        <f aca="false">F47+E47*D47/(1-C47)</f>
        <v>13.5050752900248</v>
      </c>
      <c r="K47" s="15" t="n">
        <f aca="false">F47-G47+E47*D47*I47</f>
        <v>15.1647234984109</v>
      </c>
      <c r="L47" s="17" t="n">
        <f aca="false">'3. The decision'!$B$8*'3. The decision'!$B$5/J47</f>
        <v>34.7750745489652</v>
      </c>
      <c r="M47" s="31" t="n">
        <f aca="false">L47*'3. The decision'!$B$6*'3. The decision'!$B$7*K47</f>
        <v>1011478.2338433</v>
      </c>
      <c r="N47" s="31" t="n">
        <f aca="false">M47*(1+'3. The decision'!$B$19+'3. The decision'!$B$20+'3. The decision'!$B$22)</f>
        <v>1118694.92663069</v>
      </c>
      <c r="O47" s="31" t="n">
        <f aca="false">'3. The decision'!$B$17+'3. The decision'!$B$18*L47*12+M47*('3. The decision'!$B$20*(1-'3. The decision'!$B$21)+'3. The decision'!$B$23)+N47*('3. The decision'!$B$24+'3. The decision'!$B$25)</f>
        <v>589440.77824558</v>
      </c>
      <c r="P47" s="31" t="n">
        <f aca="false">N47-O47</f>
        <v>529254.148385106</v>
      </c>
    </row>
    <row r="48" customFormat="false" ht="15" hidden="false" customHeight="false" outlineLevel="0" collapsed="false">
      <c r="A48" s="27" t="n">
        <f aca="false">41*0.0025</f>
        <v>0.1025</v>
      </c>
      <c r="B48" s="27" t="n">
        <f aca="false">IF(A48&gt;0,MIN('3. The decision'!$B$15,'3. The decision'!$B$29*(A48/'3. The decision'!$B$28)^$B$4),0)</f>
        <v>0.0428723486181869</v>
      </c>
      <c r="C48" s="15" t="n">
        <f aca="false">(1-'3. The decision'!$B$27-B48)*(1-'3. The decision'!$B$27)^('3. The decision'!$B$12-1)</f>
        <v>0.631346512783389</v>
      </c>
      <c r="D48" s="15" t="n">
        <f aca="false">1+(1-'3. The decision'!$B$27-B48)*(1-(1-'3. The decision'!$B$27)^('3. The decision'!$B$12-1))/'3. The decision'!$B$27</f>
        <v>4.89896449020187</v>
      </c>
      <c r="E48" s="15" t="n">
        <f aca="false">(1-'3. The decision'!$B$14)*(1-'3. The decision'!$B$27)^('3. The decision'!$B$11-1)</f>
        <v>0.690273454655712</v>
      </c>
      <c r="F48" s="15" t="n">
        <f aca="false">1+(1-'3. The decision'!$B$14)*(1-(1-'3. The decision'!$B$27)^('3. The decision'!$B$11-1))/'3. The decision'!$B$27</f>
        <v>4.28912098262087</v>
      </c>
      <c r="G48" s="15" t="n">
        <f aca="false">(1-(1-'3. The decision'!$B$9*MIN(1,('3. The decision'!$B$10/(52/12)))))+(1-(1-'3. The decision'!$B$9*MAX(0,MIN(1,('3. The decision'!$B$10/(52/12))-1))))*(1-'3. The decision'!$B$14)+(1-(1-'3. The decision'!$B$9*MAX(0,MIN(1,('3. The decision'!$B$10/(52/12))-2))))*(1-'3. The decision'!$B$14)*(1-'3. The decision'!$B$27)</f>
        <v>0.884576923076923</v>
      </c>
      <c r="H48" s="15" t="n">
        <f aca="false">IF(A48&lt;=0,0,MAX(0,ROUNDUP(LN('3. The decision'!$B$13)/LN(1+A48)-0.000000000001,0)-1))</f>
        <v>4</v>
      </c>
      <c r="I48" s="15" t="n">
        <f aca="false">IF(A48&lt;=0,1/(1-C48),(1+A48)*(1-(C48*(1+A48))^H48)/(1-C48*(1+A48))+'3. The decision'!$B$13*C48^H48/(1-C48))</f>
        <v>3.47405345393447</v>
      </c>
      <c r="J48" s="17" t="n">
        <f aca="false">F48+E48*D48/(1-C48)</f>
        <v>13.4620306665061</v>
      </c>
      <c r="K48" s="15" t="n">
        <f aca="false">F48-G48+E48*D48*I48</f>
        <v>15.1524905671032</v>
      </c>
      <c r="L48" s="17" t="n">
        <f aca="false">'3. The decision'!$B$8*'3. The decision'!$B$5/J48</f>
        <v>34.8862672827271</v>
      </c>
      <c r="M48" s="31" t="n">
        <f aca="false">L48*'3. The decision'!$B$6*'3. The decision'!$B$7*K48</f>
        <v>1013893.88067941</v>
      </c>
      <c r="N48" s="31" t="n">
        <f aca="false">M48*(1+'3. The decision'!$B$19+'3. The decision'!$B$20+'3. The decision'!$B$22)</f>
        <v>1121366.63203142</v>
      </c>
      <c r="O48" s="31" t="n">
        <f aca="false">'3. The decision'!$B$17+'3. The decision'!$B$18*L48*12+M48*('3. The decision'!$B$20*(1-'3. The decision'!$B$21)+'3. The decision'!$B$23)+N48*('3. The decision'!$B$24+'3. The decision'!$B$25)</f>
        <v>589869.205425699</v>
      </c>
      <c r="P48" s="31" t="n">
        <f aca="false">N48-O48</f>
        <v>531497.426605723</v>
      </c>
    </row>
    <row r="49" customFormat="false" ht="15" hidden="false" customHeight="false" outlineLevel="0" collapsed="false">
      <c r="A49" s="27" t="n">
        <f aca="false">42*0.0025</f>
        <v>0.105</v>
      </c>
      <c r="B49" s="27" t="n">
        <f aca="false">IF(A49&gt;0,MIN('3. The decision'!$B$15,'3. The decision'!$B$29*(A49/'3. The decision'!$B$28)^$B$4),0)</f>
        <v>0.0445576183616094</v>
      </c>
      <c r="C49" s="15" t="n">
        <f aca="false">(1-'3. The decision'!$B$27-B49)*(1-'3. The decision'!$B$27)^('3. The decision'!$B$12-1)</f>
        <v>0.630151861826888</v>
      </c>
      <c r="D49" s="15" t="n">
        <f aca="false">1+(1-'3. The decision'!$B$27-B49)*(1-(1-'3. The decision'!$B$27)^('3. The decision'!$B$12-1))/'3. The decision'!$B$27</f>
        <v>4.89158676408274</v>
      </c>
      <c r="E49" s="15" t="n">
        <f aca="false">(1-'3. The decision'!$B$14)*(1-'3. The decision'!$B$27)^('3. The decision'!$B$11-1)</f>
        <v>0.690273454655712</v>
      </c>
      <c r="F49" s="15" t="n">
        <f aca="false">1+(1-'3. The decision'!$B$14)*(1-(1-'3. The decision'!$B$27)^('3. The decision'!$B$11-1))/'3. The decision'!$B$27</f>
        <v>4.28912098262087</v>
      </c>
      <c r="G49" s="15" t="n">
        <f aca="false">(1-(1-'3. The decision'!$B$9*MIN(1,('3. The decision'!$B$10/(52/12)))))+(1-(1-'3. The decision'!$B$9*MAX(0,MIN(1,('3. The decision'!$B$10/(52/12))-1))))*(1-'3. The decision'!$B$14)+(1-(1-'3. The decision'!$B$9*MAX(0,MIN(1,('3. The decision'!$B$10/(52/12))-2))))*(1-'3. The decision'!$B$14)*(1-'3. The decision'!$B$27)</f>
        <v>0.884576923076923</v>
      </c>
      <c r="H49" s="15" t="n">
        <f aca="false">IF(A49&lt;=0,0,MAX(0,ROUNDUP(LN('3. The decision'!$B$13)/LN(1+A49)-0.000000000001,0)-1))</f>
        <v>4</v>
      </c>
      <c r="I49" s="15" t="n">
        <f aca="false">IF(A49&lt;=0,1/(1-C49),(1+A49)*(1-(C49*(1+A49))^H49)/(1-C49*(1+A49))+'3. The decision'!$B$13*C49^H49/(1-C49))</f>
        <v>3.47393803537381</v>
      </c>
      <c r="J49" s="17" t="n">
        <f aca="false">F49+E49*D49/(1-C49)</f>
        <v>13.4186315732923</v>
      </c>
      <c r="K49" s="15" t="n">
        <f aca="false">F49-G49+E49*D49*I49</f>
        <v>15.1344087194863</v>
      </c>
      <c r="L49" s="17" t="n">
        <f aca="false">'3. The decision'!$B$8*'3. The decision'!$B$5/J49</f>
        <v>34.9990978912294</v>
      </c>
      <c r="M49" s="31" t="n">
        <f aca="false">L49*'3. The decision'!$B$6*'3. The decision'!$B$7*K49</f>
        <v>1015959.24004056</v>
      </c>
      <c r="N49" s="31" t="n">
        <f aca="false">M49*(1+'3. The decision'!$B$19+'3. The decision'!$B$20+'3. The decision'!$B$22)</f>
        <v>1123650.91948486</v>
      </c>
      <c r="O49" s="31" t="n">
        <f aca="false">'3. The decision'!$B$17+'3. The decision'!$B$18*L49*12+M49*('3. The decision'!$B$20*(1-'3. The decision'!$B$21)+'3. The decision'!$B$23)+N49*('3. The decision'!$B$24+'3. The decision'!$B$25)</f>
        <v>590262.413321509</v>
      </c>
      <c r="P49" s="31" t="n">
        <f aca="false">N49-O49</f>
        <v>533388.506163346</v>
      </c>
    </row>
    <row r="50" customFormat="false" ht="15" hidden="false" customHeight="false" outlineLevel="0" collapsed="false">
      <c r="A50" s="27" t="n">
        <f aca="false">43*0.0025</f>
        <v>0.1075</v>
      </c>
      <c r="B50" s="27" t="n">
        <f aca="false">IF(A50&gt;0,MIN('3. The decision'!$B$15,'3. The decision'!$B$29*(A50/'3. The decision'!$B$28)^$B$4),0)</f>
        <v>0.0462671377906463</v>
      </c>
      <c r="C50" s="15" t="n">
        <f aca="false">(1-'3. The decision'!$B$27-B50)*(1-'3. The decision'!$B$27)^('3. The decision'!$B$12-1)</f>
        <v>0.628940020797269</v>
      </c>
      <c r="D50" s="15" t="n">
        <f aca="false">1+(1-'3. The decision'!$B$27-B50)*(1-(1-'3. The decision'!$B$27)^('3. The decision'!$B$12-1))/'3. The decision'!$B$27</f>
        <v>4.88410287837721</v>
      </c>
      <c r="E50" s="15" t="n">
        <f aca="false">(1-'3. The decision'!$B$14)*(1-'3. The decision'!$B$27)^('3. The decision'!$B$11-1)</f>
        <v>0.690273454655712</v>
      </c>
      <c r="F50" s="15" t="n">
        <f aca="false">1+(1-'3. The decision'!$B$14)*(1-(1-'3. The decision'!$B$27)^('3. The decision'!$B$11-1))/'3. The decision'!$B$27</f>
        <v>4.28912098262087</v>
      </c>
      <c r="G50" s="15" t="n">
        <f aca="false">(1-(1-'3. The decision'!$B$9*MIN(1,('3. The decision'!$B$10/(52/12)))))+(1-(1-'3. The decision'!$B$9*MAX(0,MIN(1,('3. The decision'!$B$10/(52/12))-1))))*(1-'3. The decision'!$B$14)+(1-(1-'3. The decision'!$B$9*MAX(0,MIN(1,('3. The decision'!$B$10/(52/12))-2))))*(1-'3. The decision'!$B$14)*(1-'3. The decision'!$B$27)</f>
        <v>0.884576923076923</v>
      </c>
      <c r="H50" s="15" t="n">
        <f aca="false">IF(A50&lt;=0,0,MAX(0,ROUNDUP(LN('3. The decision'!$B$13)/LN(1+A50)-0.000000000001,0)-1))</f>
        <v>4</v>
      </c>
      <c r="I50" s="15" t="n">
        <f aca="false">IF(A50&lt;=0,1/(1-C50),(1+A50)*(1-(C50*(1+A50))^H50)/(1-C50*(1+A50))+'3. The decision'!$B$13*C50^H50/(1-C50))</f>
        <v>3.47369312701439</v>
      </c>
      <c r="J50" s="17" t="n">
        <f aca="false">F50+E50*D50/(1-C50)</f>
        <v>13.374893514585</v>
      </c>
      <c r="K50" s="15" t="n">
        <f aca="false">F50-G50+E50*D50*I50</f>
        <v>15.1156369311142</v>
      </c>
      <c r="L50" s="17" t="n">
        <f aca="false">'3. The decision'!$B$8*'3. The decision'!$B$5/J50</f>
        <v>35.1135505854959</v>
      </c>
      <c r="M50" s="31" t="n">
        <f aca="false">L50*'3. The decision'!$B$6*'3. The decision'!$B$7*K50</f>
        <v>1018017.33649275</v>
      </c>
      <c r="N50" s="31" t="n">
        <f aca="false">M50*(1+'3. The decision'!$B$19+'3. The decision'!$B$20+'3. The decision'!$B$22)</f>
        <v>1125927.17416098</v>
      </c>
      <c r="O50" s="31" t="n">
        <f aca="false">'3. The decision'!$B$17+'3. The decision'!$B$18*L50*12+M50*('3. The decision'!$B$20*(1-'3. The decision'!$B$21)+'3. The decision'!$B$23)+N50*('3. The decision'!$B$24+'3. The decision'!$B$25)</f>
        <v>590657.296720323</v>
      </c>
      <c r="P50" s="31" t="n">
        <f aca="false">N50-O50</f>
        <v>535269.877440659</v>
      </c>
    </row>
    <row r="51" customFormat="false" ht="15" hidden="false" customHeight="false" outlineLevel="0" collapsed="false">
      <c r="A51" s="27" t="n">
        <f aca="false">44*0.0025</f>
        <v>0.11</v>
      </c>
      <c r="B51" s="27" t="n">
        <f aca="false">IF(A51&gt;0,MIN('3. The decision'!$B$15,'3. The decision'!$B$29*(A51/'3. The decision'!$B$28)^$B$4),0)</f>
        <v>0.04800067970398</v>
      </c>
      <c r="C51" s="15" t="n">
        <f aca="false">(1-'3. The decision'!$B$27-B51)*(1-'3. The decision'!$B$27)^('3. The decision'!$B$12-1)</f>
        <v>0.627711150752589</v>
      </c>
      <c r="D51" s="15" t="n">
        <f aca="false">1+(1-'3. The decision'!$B$27-B51)*(1-(1-'3. The decision'!$B$27)^('3. The decision'!$B$12-1))/'3. The decision'!$B$27</f>
        <v>4.87651382772077</v>
      </c>
      <c r="E51" s="15" t="n">
        <f aca="false">(1-'3. The decision'!$B$14)*(1-'3. The decision'!$B$27)^('3. The decision'!$B$11-1)</f>
        <v>0.690273454655712</v>
      </c>
      <c r="F51" s="15" t="n">
        <f aca="false">1+(1-'3. The decision'!$B$14)*(1-(1-'3. The decision'!$B$27)^('3. The decision'!$B$11-1))/'3. The decision'!$B$27</f>
        <v>4.28912098262087</v>
      </c>
      <c r="G51" s="15" t="n">
        <f aca="false">(1-(1-'3. The decision'!$B$9*MIN(1,('3. The decision'!$B$10/(52/12)))))+(1-(1-'3. The decision'!$B$9*MAX(0,MIN(1,('3. The decision'!$B$10/(52/12))-1))))*(1-'3. The decision'!$B$14)+(1-(1-'3. The decision'!$B$9*MAX(0,MIN(1,('3. The decision'!$B$10/(52/12))-2))))*(1-'3. The decision'!$B$14)*(1-'3. The decision'!$B$27)</f>
        <v>0.884576923076923</v>
      </c>
      <c r="H51" s="15" t="n">
        <f aca="false">IF(A51&lt;=0,0,MAX(0,ROUNDUP(LN('3. The decision'!$B$13)/LN(1+A51)-0.000000000001,0)-1))</f>
        <v>4</v>
      </c>
      <c r="I51" s="15" t="n">
        <f aca="false">IF(A51&lt;=0,1/(1-C51),(1+A51)*(1-(C51*(1+A51))^H51)/(1-C51*(1+A51))+'3. The decision'!$B$13*C51^H51/(1-C51))</f>
        <v>3.47332158528238</v>
      </c>
      <c r="J51" s="17" t="n">
        <f aca="false">F51+E51*D51/(1-C51)</f>
        <v>13.330831614948</v>
      </c>
      <c r="K51" s="15" t="n">
        <f aca="false">F51-G51+E51*D51*I51</f>
        <v>15.0961892624059</v>
      </c>
      <c r="L51" s="17" t="n">
        <f aca="false">'3. The decision'!$B$8*'3. The decision'!$B$5/J51</f>
        <v>35.2296100922456</v>
      </c>
      <c r="M51" s="31" t="n">
        <f aca="false">L51*'3. The decision'!$B$6*'3. The decision'!$B$7*K51</f>
        <v>1020068.04829877</v>
      </c>
      <c r="N51" s="31" t="n">
        <f aca="false">M51*(1+'3. The decision'!$B$19+'3. The decision'!$B$20+'3. The decision'!$B$22)</f>
        <v>1128195.26141844</v>
      </c>
      <c r="O51" s="31" t="n">
        <f aca="false">'3. The decision'!$B$17+'3. The decision'!$B$18*L51*12+M51*('3. The decision'!$B$20*(1-'3. The decision'!$B$21)+'3. The decision'!$B$23)+N51*('3. The decision'!$B$24+'3. The decision'!$B$25)</f>
        <v>591053.819383467</v>
      </c>
      <c r="P51" s="31" t="n">
        <f aca="false">N51-O51</f>
        <v>537141.442034977</v>
      </c>
    </row>
    <row r="52" customFormat="false" ht="15" hidden="false" customHeight="false" outlineLevel="0" collapsed="false">
      <c r="A52" s="27" t="n">
        <f aca="false">45*0.0025</f>
        <v>0.1125</v>
      </c>
      <c r="B52" s="27" t="n">
        <f aca="false">IF(A52&gt;0,MIN('3. The decision'!$B$15,'3. The decision'!$B$29*(A52/'3. The decision'!$B$28)^$B$4),0)</f>
        <v>0.0497580241810697</v>
      </c>
      <c r="C52" s="15" t="n">
        <f aca="false">(1-'3. The decision'!$B$27-B52)*(1-'3. The decision'!$B$27)^('3. The decision'!$B$12-1)</f>
        <v>0.626465407589721</v>
      </c>
      <c r="D52" s="15" t="n">
        <f aca="false">1+(1-'3. The decision'!$B$27-B52)*(1-(1-'3. The decision'!$B$27)^('3. The decision'!$B$12-1))/'3. The decision'!$B$27</f>
        <v>4.86882057487533</v>
      </c>
      <c r="E52" s="15" t="n">
        <f aca="false">(1-'3. The decision'!$B$14)*(1-'3. The decision'!$B$27)^('3. The decision'!$B$11-1)</f>
        <v>0.690273454655712</v>
      </c>
      <c r="F52" s="15" t="n">
        <f aca="false">1+(1-'3. The decision'!$B$14)*(1-(1-'3. The decision'!$B$27)^('3. The decision'!$B$11-1))/'3. The decision'!$B$27</f>
        <v>4.28912098262087</v>
      </c>
      <c r="G52" s="15" t="n">
        <f aca="false">(1-(1-'3. The decision'!$B$9*MIN(1,('3. The decision'!$B$10/(52/12)))))+(1-(1-'3. The decision'!$B$9*MAX(0,MIN(1,('3. The decision'!$B$10/(52/12))-1))))*(1-'3. The decision'!$B$14)+(1-(1-'3. The decision'!$B$9*MAX(0,MIN(1,('3. The decision'!$B$10/(52/12))-2))))*(1-'3. The decision'!$B$14)*(1-'3. The decision'!$B$27)</f>
        <v>0.884576923076923</v>
      </c>
      <c r="H52" s="15" t="n">
        <f aca="false">IF(A52&lt;=0,0,MAX(0,ROUNDUP(LN('3. The decision'!$B$13)/LN(1+A52)-0.000000000001,0)-1))</f>
        <v>4</v>
      </c>
      <c r="I52" s="15" t="n">
        <f aca="false">IF(A52&lt;=0,1/(1-C52),(1+A52)*(1-(C52*(1+A52))^H52)/(1-C52*(1+A52))+'3. The decision'!$B$13*C52^H52/(1-C52))</f>
        <v>3.47282617186663</v>
      </c>
      <c r="J52" s="17" t="n">
        <f aca="false">F52+E52*D52/(1-C52)</f>
        <v>13.2864606309568</v>
      </c>
      <c r="K52" s="15" t="n">
        <f aca="false">F52-G52+E52*D52*I52</f>
        <v>15.0760793738527</v>
      </c>
      <c r="L52" s="17" t="n">
        <f aca="false">'3. The decision'!$B$8*'3. The decision'!$B$5/J52</f>
        <v>35.34726162555</v>
      </c>
      <c r="M52" s="31" t="n">
        <f aca="false">L52*'3. The decision'!$B$6*'3. The decision'!$B$7*K52</f>
        <v>1022111.2428734</v>
      </c>
      <c r="N52" s="31" t="n">
        <f aca="false">M52*(1+'3. The decision'!$B$19+'3. The decision'!$B$20+'3. The decision'!$B$22)</f>
        <v>1130455.03461798</v>
      </c>
      <c r="O52" s="31" t="n">
        <f aca="false">'3. The decision'!$B$17+'3. The decision'!$B$18*L52*12+M52*('3. The decision'!$B$20*(1-'3. The decision'!$B$21)+'3. The decision'!$B$23)+N52*('3. The decision'!$B$24+'3. The decision'!$B$25)</f>
        <v>591451.944642987</v>
      </c>
      <c r="P52" s="31" t="n">
        <f aca="false">N52-O52</f>
        <v>539003.089974989</v>
      </c>
    </row>
    <row r="53" customFormat="false" ht="15" hidden="false" customHeight="false" outlineLevel="0" collapsed="false">
      <c r="A53" s="27" t="n">
        <f aca="false">46*0.0025</f>
        <v>0.115</v>
      </c>
      <c r="B53" s="27" t="n">
        <f aca="false">IF(A53&gt;0,MIN('3. The decision'!$B$15,'3. The decision'!$B$29*(A53/'3. The decision'!$B$28)^$B$4),0)</f>
        <v>0.0515389581910884</v>
      </c>
      <c r="C53" s="15" t="n">
        <f aca="false">(1-'3. The decision'!$B$27-B53)*(1-'3. The decision'!$B$27)^('3. The decision'!$B$12-1)</f>
        <v>0.625202942321572</v>
      </c>
      <c r="D53" s="15" t="n">
        <f aca="false">1+(1-'3. The decision'!$B$27-B53)*(1-(1-'3. The decision'!$B$27)^('3. The decision'!$B$12-1))/'3. The decision'!$B$27</f>
        <v>4.8610240524412</v>
      </c>
      <c r="E53" s="15" t="n">
        <f aca="false">(1-'3. The decision'!$B$14)*(1-'3. The decision'!$B$27)^('3. The decision'!$B$11-1)</f>
        <v>0.690273454655712</v>
      </c>
      <c r="F53" s="15" t="n">
        <f aca="false">1+(1-'3. The decision'!$B$14)*(1-(1-'3. The decision'!$B$27)^('3. The decision'!$B$11-1))/'3. The decision'!$B$27</f>
        <v>4.28912098262087</v>
      </c>
      <c r="G53" s="15" t="n">
        <f aca="false">(1-(1-'3. The decision'!$B$9*MIN(1,('3. The decision'!$B$10/(52/12)))))+(1-(1-'3. The decision'!$B$9*MAX(0,MIN(1,('3. The decision'!$B$10/(52/12))-1))))*(1-'3. The decision'!$B$14)+(1-(1-'3. The decision'!$B$9*MAX(0,MIN(1,('3. The decision'!$B$10/(52/12))-2))))*(1-'3. The decision'!$B$14)*(1-'3. The decision'!$B$27)</f>
        <v>0.884576923076923</v>
      </c>
      <c r="H53" s="15" t="n">
        <f aca="false">IF(A53&lt;=0,0,MAX(0,ROUNDUP(LN('3. The decision'!$B$13)/LN(1+A53)-0.000000000001,0)-1))</f>
        <v>4</v>
      </c>
      <c r="I53" s="15" t="n">
        <f aca="false">IF(A53&lt;=0,1/(1-C53),(1+A53)*(1-(C53*(1+A53))^H53)/(1-C53*(1+A53))+'3. The decision'!$B$13*C53^H53/(1-C53))</f>
        <v>3.47220955661287</v>
      </c>
      <c r="J53" s="17" t="n">
        <f aca="false">F53+E53*D53/(1-C53)</f>
        <v>13.2417949620469</v>
      </c>
      <c r="K53" s="15" t="n">
        <f aca="false">F53-G53+E53*D53*I53</f>
        <v>15.0553205395259</v>
      </c>
      <c r="L53" s="17" t="n">
        <f aca="false">'3. The decision'!$B$8*'3. The decision'!$B$5/J53</f>
        <v>35.4664908606472</v>
      </c>
      <c r="M53" s="31" t="n">
        <f aca="false">L53*'3. The decision'!$B$6*'3. The decision'!$B$7*K53</f>
        <v>1024146.77701902</v>
      </c>
      <c r="N53" s="31" t="n">
        <f aca="false">M53*(1+'3. The decision'!$B$19+'3. The decision'!$B$20+'3. The decision'!$B$22)</f>
        <v>1132706.33538303</v>
      </c>
      <c r="O53" s="31" t="n">
        <f aca="false">'3. The decision'!$B$17+'3. The decision'!$B$18*L53*12+M53*('3. The decision'!$B$20*(1-'3. The decision'!$B$21)+'3. The decision'!$B$23)+N53*('3. The decision'!$B$24+'3. The decision'!$B$25)</f>
        <v>591851.635387342</v>
      </c>
      <c r="P53" s="31" t="n">
        <f aca="false">N53-O53</f>
        <v>540854.699995693</v>
      </c>
    </row>
    <row r="54" customFormat="false" ht="15" hidden="false" customHeight="false" outlineLevel="0" collapsed="false">
      <c r="A54" s="27" t="n">
        <f aca="false">47*0.0025</f>
        <v>0.1175</v>
      </c>
      <c r="B54" s="27" t="n">
        <f aca="false">IF(A54&gt;0,MIN('3. The decision'!$B$15,'3. The decision'!$B$29*(A54/'3. The decision'!$B$28)^$B$4),0)</f>
        <v>0.053343275230969</v>
      </c>
      <c r="C54" s="15" t="n">
        <f aca="false">(1-'3. The decision'!$B$27-B54)*(1-'3. The decision'!$B$27)^('3. The decision'!$B$12-1)</f>
        <v>0.623923901333661</v>
      </c>
      <c r="D54" s="15" t="n">
        <f aca="false">1+(1-'3. The decision'!$B$27-B54)*(1-(1-'3. The decision'!$B$27)^('3. The decision'!$B$12-1))/'3. The decision'!$B$27</f>
        <v>4.85312516444165</v>
      </c>
      <c r="E54" s="15" t="n">
        <f aca="false">(1-'3. The decision'!$B$14)*(1-'3. The decision'!$B$27)^('3. The decision'!$B$11-1)</f>
        <v>0.690273454655712</v>
      </c>
      <c r="F54" s="15" t="n">
        <f aca="false">1+(1-'3. The decision'!$B$14)*(1-(1-'3. The decision'!$B$27)^('3. The decision'!$B$11-1))/'3. The decision'!$B$27</f>
        <v>4.28912098262087</v>
      </c>
      <c r="G54" s="15" t="n">
        <f aca="false">(1-(1-'3. The decision'!$B$9*MIN(1,('3. The decision'!$B$10/(52/12)))))+(1-(1-'3. The decision'!$B$9*MAX(0,MIN(1,('3. The decision'!$B$10/(52/12))-1))))*(1-'3. The decision'!$B$14)+(1-(1-'3. The decision'!$B$9*MAX(0,MIN(1,('3. The decision'!$B$10/(52/12))-2))))*(1-'3. The decision'!$B$14)*(1-'3. The decision'!$B$27)</f>
        <v>0.884576923076923</v>
      </c>
      <c r="H54" s="15" t="n">
        <f aca="false">IF(A54&lt;=0,0,MAX(0,ROUNDUP(LN('3. The decision'!$B$13)/LN(1+A54)-0.000000000001,0)-1))</f>
        <v>4</v>
      </c>
      <c r="I54" s="15" t="n">
        <f aca="false">IF(A54&lt;=0,1/(1-C54),(1+A54)*(1-(C54*(1+A54))^H54)/(1-C54*(1+A54))+'3. The decision'!$B$13*C54^H54/(1-C54))</f>
        <v>3.47147432024626</v>
      </c>
      <c r="J54" s="17" t="n">
        <f aca="false">F54+E54*D54/(1-C54)</f>
        <v>13.1968486606509</v>
      </c>
      <c r="K54" s="15" t="n">
        <f aca="false">F54-G54+E54*D54*I54</f>
        <v>15.033925659784</v>
      </c>
      <c r="L54" s="17" t="n">
        <f aca="false">'3. The decision'!$B$8*'3. The decision'!$B$5/J54</f>
        <v>35.5872839097054</v>
      </c>
      <c r="M54" s="31" t="n">
        <f aca="false">L54*'3. The decision'!$B$6*'3. The decision'!$B$7*K54</f>
        <v>1026174.49715293</v>
      </c>
      <c r="N54" s="31" t="n">
        <f aca="false">M54*(1+'3. The decision'!$B$19+'3. The decision'!$B$20+'3. The decision'!$B$22)</f>
        <v>1134948.99385114</v>
      </c>
      <c r="O54" s="31" t="n">
        <f aca="false">'3. The decision'!$B$17+'3. The decision'!$B$18*L54*12+M54*('3. The decision'!$B$20*(1-'3. The decision'!$B$21)+'3. The decision'!$B$23)+N54*('3. The decision'!$B$24+'3. The decision'!$B$25)</f>
        <v>592252.854049148</v>
      </c>
      <c r="P54" s="31" t="n">
        <f aca="false">N54-O54</f>
        <v>542696.139801997</v>
      </c>
    </row>
    <row r="55" customFormat="false" ht="15" hidden="false" customHeight="false" outlineLevel="0" collapsed="false">
      <c r="A55" s="27" t="n">
        <f aca="false">48*0.0025</f>
        <v>0.12</v>
      </c>
      <c r="B55" s="27" t="n">
        <f aca="false">IF(A55&gt;0,MIN('3. The decision'!$B$15,'3. The decision'!$B$29*(A55/'3. The decision'!$B$28)^$B$4),0)</f>
        <v>0.0551707749898139</v>
      </c>
      <c r="C55" s="15" t="n">
        <f aca="false">(1-'3. The decision'!$B$27-B55)*(1-'3. The decision'!$B$27)^('3. The decision'!$B$12-1)</f>
        <v>0.622628426622014</v>
      </c>
      <c r="D55" s="15" t="n">
        <f aca="false">1+(1-'3. The decision'!$B$27-B55)*(1-(1-'3. The decision'!$B$27)^('3. The decision'!$B$12-1))/'3. The decision'!$B$27</f>
        <v>4.84512478779207</v>
      </c>
      <c r="E55" s="15" t="n">
        <f aca="false">(1-'3. The decision'!$B$14)*(1-'3. The decision'!$B$27)^('3. The decision'!$B$11-1)</f>
        <v>0.690273454655712</v>
      </c>
      <c r="F55" s="15" t="n">
        <f aca="false">1+(1-'3. The decision'!$B$14)*(1-(1-'3. The decision'!$B$27)^('3. The decision'!$B$11-1))/'3. The decision'!$B$27</f>
        <v>4.28912098262087</v>
      </c>
      <c r="G55" s="15" t="n">
        <f aca="false">(1-(1-'3. The decision'!$B$9*MIN(1,('3. The decision'!$B$10/(52/12)))))+(1-(1-'3. The decision'!$B$9*MAX(0,MIN(1,('3. The decision'!$B$10/(52/12))-1))))*(1-'3. The decision'!$B$14)+(1-(1-'3. The decision'!$B$9*MAX(0,MIN(1,('3. The decision'!$B$10/(52/12))-2))))*(1-'3. The decision'!$B$14)*(1-'3. The decision'!$B$27)</f>
        <v>0.884576923076923</v>
      </c>
      <c r="H55" s="15" t="n">
        <f aca="false">IF(A55&lt;=0,0,MAX(0,ROUNDUP(LN('3. The decision'!$B$13)/LN(1+A55)-0.000000000001,0)-1))</f>
        <v>4</v>
      </c>
      <c r="I55" s="15" t="n">
        <f aca="false">IF(A55&lt;=0,1/(1-C55),(1+A55)*(1-(C55*(1+A55))^H55)/(1-C55*(1+A55))+'3. The decision'!$B$13*C55^H55/(1-C55))</f>
        <v>3.47062295694175</v>
      </c>
      <c r="J55" s="17" t="n">
        <f aca="false">F55+E55*D55/(1-C55)</f>
        <v>13.1516354416984</v>
      </c>
      <c r="K55" s="15" t="n">
        <f aca="false">F55-G55+E55*D55*I55</f>
        <v>15.0119072732664</v>
      </c>
      <c r="L55" s="17" t="n">
        <f aca="false">'3. The decision'!$B$8*'3. The decision'!$B$5/J55</f>
        <v>35.709627299352</v>
      </c>
      <c r="M55" s="31" t="n">
        <f aca="false">L55*'3. The decision'!$B$6*'3. The decision'!$B$7*K55</f>
        <v>1028194.23952745</v>
      </c>
      <c r="N55" s="31" t="n">
        <f aca="false">M55*(1+'3. The decision'!$B$19+'3. The decision'!$B$20+'3. The decision'!$B$22)</f>
        <v>1137182.82891735</v>
      </c>
      <c r="O55" s="31" t="n">
        <f aca="false">'3. The decision'!$B$17+'3. The decision'!$B$18*L55*12+M55*('3. The decision'!$B$20*(1-'3. The decision'!$B$21)+'3. The decision'!$B$23)+N55*('3. The decision'!$B$24+'3. The decision'!$B$25)</f>
        <v>592655.562594829</v>
      </c>
      <c r="P55" s="31" t="n">
        <f aca="false">N55-O55</f>
        <v>544527.266322526</v>
      </c>
    </row>
    <row r="56" customFormat="false" ht="15" hidden="false" customHeight="false" outlineLevel="0" collapsed="false">
      <c r="A56" s="27" t="n">
        <f aca="false">49*0.0025</f>
        <v>0.1225</v>
      </c>
      <c r="B56" s="27" t="n">
        <f aca="false">IF(A56&gt;0,MIN('3. The decision'!$B$15,'3. The decision'!$B$29*(A56/'3. The decision'!$B$28)^$B$4),0)</f>
        <v>0.0570212630372361</v>
      </c>
      <c r="C56" s="15" t="n">
        <f aca="false">(1-'3. The decision'!$B$27-B56)*(1-'3. The decision'!$B$27)^('3. The decision'!$B$12-1)</f>
        <v>0.621316656014089</v>
      </c>
      <c r="D56" s="15" t="n">
        <f aca="false">1+(1-'3. The decision'!$B$27-B56)*(1-(1-'3. The decision'!$B$27)^('3. The decision'!$B$12-1))/'3. The decision'!$B$27</f>
        <v>4.83702377366428</v>
      </c>
      <c r="E56" s="15" t="n">
        <f aca="false">(1-'3. The decision'!$B$14)*(1-'3. The decision'!$B$27)^('3. The decision'!$B$11-1)</f>
        <v>0.690273454655712</v>
      </c>
      <c r="F56" s="15" t="n">
        <f aca="false">1+(1-'3. The decision'!$B$14)*(1-(1-'3. The decision'!$B$27)^('3. The decision'!$B$11-1))/'3. The decision'!$B$27</f>
        <v>4.28912098262087</v>
      </c>
      <c r="G56" s="15" t="n">
        <f aca="false">(1-(1-'3. The decision'!$B$9*MIN(1,('3. The decision'!$B$10/(52/12)))))+(1-(1-'3. The decision'!$B$9*MAX(0,MIN(1,('3. The decision'!$B$10/(52/12))-1))))*(1-'3. The decision'!$B$14)+(1-(1-'3. The decision'!$B$9*MAX(0,MIN(1,('3. The decision'!$B$10/(52/12))-2))))*(1-'3. The decision'!$B$14)*(1-'3. The decision'!$B$27)</f>
        <v>0.884576923076923</v>
      </c>
      <c r="H56" s="15" t="n">
        <f aca="false">IF(A56&lt;=0,0,MAX(0,ROUNDUP(LN('3. The decision'!$B$13)/LN(1+A56)-0.000000000001,0)-1))</f>
        <v>4</v>
      </c>
      <c r="I56" s="15" t="n">
        <f aca="false">IF(A56&lt;=0,1/(1-C56),(1+A56)*(1-(C56*(1+A56))^H56)/(1-C56*(1+A56))+'3. The decision'!$B$13*C56^H56/(1-C56))</f>
        <v>3.46965787675897</v>
      </c>
      <c r="J56" s="17" t="n">
        <f aca="false">F56+E56*D56/(1-C56)</f>
        <v>13.1061686915459</v>
      </c>
      <c r="K56" s="15" t="n">
        <f aca="false">F56-G56+E56*D56*I56</f>
        <v>14.9892775682542</v>
      </c>
      <c r="L56" s="17" t="n">
        <f aca="false">'3. The decision'!$B$8*'3. The decision'!$B$5/J56</f>
        <v>35.8335079498053</v>
      </c>
      <c r="M56" s="31" t="n">
        <f aca="false">L56*'3. The decision'!$B$6*'3. The decision'!$B$7*K56</f>
        <v>1030205.83044393</v>
      </c>
      <c r="N56" s="31" t="n">
        <f aca="false">M56*(1+'3. The decision'!$B$19+'3. The decision'!$B$20+'3. The decision'!$B$22)</f>
        <v>1139407.64847099</v>
      </c>
      <c r="O56" s="31" t="n">
        <f aca="false">'3. The decision'!$B$17+'3. The decision'!$B$18*L56*12+M56*('3. The decision'!$B$20*(1-'3. The decision'!$B$21)+'3. The decision'!$B$23)+N56*('3. The decision'!$B$24+'3. The decision'!$B$25)</f>
        <v>593059.722516047</v>
      </c>
      <c r="P56" s="31" t="n">
        <f aca="false">N56-O56</f>
        <v>546347.925954942</v>
      </c>
    </row>
    <row r="57" customFormat="false" ht="15" hidden="false" customHeight="false" outlineLevel="0" collapsed="false">
      <c r="A57" s="27" t="n">
        <f aca="false">50*0.0025</f>
        <v>0.125</v>
      </c>
      <c r="B57" s="27" t="n">
        <f aca="false">IF(A57&gt;0,MIN('3. The decision'!$B$15,'3. The decision'!$B$29*(A57/'3. The decision'!$B$28)^$B$4),0)</f>
        <v>0.0588945505334671</v>
      </c>
      <c r="C57" s="15" t="n">
        <f aca="false">(1-'3. The decision'!$B$27-B57)*(1-'3. The decision'!$B$27)^('3. The decision'!$B$12-1)</f>
        <v>0.619988723374281</v>
      </c>
      <c r="D57" s="15" t="n">
        <f aca="false">1+(1-'3. The decision'!$B$27-B57)*(1-(1-'3. The decision'!$B$27)^('3. The decision'!$B$12-1))/'3. The decision'!$B$27</f>
        <v>4.82882294875568</v>
      </c>
      <c r="E57" s="15" t="n">
        <f aca="false">(1-'3. The decision'!$B$14)*(1-'3. The decision'!$B$27)^('3. The decision'!$B$11-1)</f>
        <v>0.690273454655712</v>
      </c>
      <c r="F57" s="15" t="n">
        <f aca="false">1+(1-'3. The decision'!$B$14)*(1-(1-'3. The decision'!$B$27)^('3. The decision'!$B$11-1))/'3. The decision'!$B$27</f>
        <v>4.28912098262087</v>
      </c>
      <c r="G57" s="15" t="n">
        <f aca="false">(1-(1-'3. The decision'!$B$9*MIN(1,('3. The decision'!$B$10/(52/12)))))+(1-(1-'3. The decision'!$B$9*MAX(0,MIN(1,('3. The decision'!$B$10/(52/12))-1))))*(1-'3. The decision'!$B$14)+(1-(1-'3. The decision'!$B$9*MAX(0,MIN(1,('3. The decision'!$B$10/(52/12))-2))))*(1-'3. The decision'!$B$14)*(1-'3. The decision'!$B$27)</f>
        <v>0.884576923076923</v>
      </c>
      <c r="H57" s="15" t="n">
        <f aca="false">IF(A57&lt;=0,0,MAX(0,ROUNDUP(LN('3. The decision'!$B$13)/LN(1+A57)-0.000000000001,0)-1))</f>
        <v>4</v>
      </c>
      <c r="I57" s="15" t="n">
        <f aca="false">IF(A57&lt;=0,1/(1-C57),(1+A57)*(1-(C57*(1+A57))^H57)/(1-C57*(1+A57))+'3. The decision'!$B$13*C57^H57/(1-C57))</f>
        <v>3.4685814079565</v>
      </c>
      <c r="J57" s="17" t="n">
        <f aca="false">F57+E57*D57/(1-C57)</f>
        <v>13.060461476396</v>
      </c>
      <c r="K57" s="15" t="n">
        <f aca="false">F57-G57+E57*D57*I57</f>
        <v>14.9660483934635</v>
      </c>
      <c r="L57" s="17" t="n">
        <f aca="false">'3. The decision'!$B$8*'3. The decision'!$B$5/J57</f>
        <v>35.9589131554634</v>
      </c>
      <c r="M57" s="31" t="n">
        <f aca="false">L57*'3. The decision'!$B$6*'3. The decision'!$B$7*K57</f>
        <v>1032209.0864618</v>
      </c>
      <c r="N57" s="31" t="n">
        <f aca="false">M57*(1+'3. The decision'!$B$19+'3. The decision'!$B$20+'3. The decision'!$B$22)</f>
        <v>1141623.24962675</v>
      </c>
      <c r="O57" s="31" t="n">
        <f aca="false">'3. The decision'!$B$17+'3. The decision'!$B$18*L57*12+M57*('3. The decision'!$B$20*(1-'3. The decision'!$B$21)+'3. The decision'!$B$23)+N57*('3. The decision'!$B$24+'3. The decision'!$B$25)</f>
        <v>593465.294822783</v>
      </c>
      <c r="P57" s="31" t="n">
        <f aca="false">N57-O57</f>
        <v>548157.954803964</v>
      </c>
    </row>
    <row r="58" customFormat="false" ht="15" hidden="false" customHeight="false" outlineLevel="0" collapsed="false">
      <c r="A58" s="27" t="n">
        <f aca="false">51*0.0025</f>
        <v>0.1275</v>
      </c>
      <c r="B58" s="27" t="n">
        <f aca="false">IF(A58&gt;0,MIN('3. The decision'!$B$15,'3. The decision'!$B$29*(A58/'3. The decision'!$B$28)^$B$4),0)</f>
        <v>0.060790453959305</v>
      </c>
      <c r="C58" s="15" t="n">
        <f aca="false">(1-'3. The decision'!$B$27-B58)*(1-'3. The decision'!$B$27)^('3. The decision'!$B$12-1)</f>
        <v>0.618644758795346</v>
      </c>
      <c r="D58" s="15" t="n">
        <f aca="false">1+(1-'3. The decision'!$B$27-B58)*(1-(1-'3. The decision'!$B$27)^('3. The decision'!$B$12-1))/'3. The decision'!$B$27</f>
        <v>4.82052311647142</v>
      </c>
      <c r="E58" s="15" t="n">
        <f aca="false">(1-'3. The decision'!$B$14)*(1-'3. The decision'!$B$27)^('3. The decision'!$B$11-1)</f>
        <v>0.690273454655712</v>
      </c>
      <c r="F58" s="15" t="n">
        <f aca="false">1+(1-'3. The decision'!$B$14)*(1-(1-'3. The decision'!$B$27)^('3. The decision'!$B$11-1))/'3. The decision'!$B$27</f>
        <v>4.28912098262087</v>
      </c>
      <c r="G58" s="15" t="n">
        <f aca="false">(1-(1-'3. The decision'!$B$9*MIN(1,('3. The decision'!$B$10/(52/12)))))+(1-(1-'3. The decision'!$B$9*MAX(0,MIN(1,('3. The decision'!$B$10/(52/12))-1))))*(1-'3. The decision'!$B$14)+(1-(1-'3. The decision'!$B$9*MAX(0,MIN(1,('3. The decision'!$B$10/(52/12))-2))))*(1-'3. The decision'!$B$14)*(1-'3. The decision'!$B$27)</f>
        <v>0.884576923076923</v>
      </c>
      <c r="H58" s="15" t="n">
        <f aca="false">IF(A58&lt;=0,0,MAX(0,ROUNDUP(LN('3. The decision'!$B$13)/LN(1+A58)-0.000000000001,0)-1))</f>
        <v>4</v>
      </c>
      <c r="I58" s="15" t="n">
        <f aca="false">IF(A58&lt;=0,1/(1-C58),(1+A58)*(1-(C58*(1+A58))^H58)/(1-C58*(1+A58))+'3. The decision'!$B$13*C58^H58/(1-C58))</f>
        <v>3.46739579919848</v>
      </c>
      <c r="J58" s="17" t="n">
        <f aca="false">F58+E58*D58/(1-C58)</f>
        <v>13.0145265502574</v>
      </c>
      <c r="K58" s="15" t="n">
        <f aca="false">F58-G58+E58*D58*I58</f>
        <v>14.9422312683328</v>
      </c>
      <c r="L58" s="17" t="n">
        <f aca="false">'3. The decision'!$B$8*'3. The decision'!$B$5/J58</f>
        <v>36.0858305668225</v>
      </c>
      <c r="M58" s="31" t="n">
        <f aca="false">L58*'3. The decision'!$B$6*'3. The decision'!$B$7*K58</f>
        <v>1034203.81460317</v>
      </c>
      <c r="N58" s="31" t="n">
        <f aca="false">M58*(1+'3. The decision'!$B$19+'3. The decision'!$B$20+'3. The decision'!$B$22)</f>
        <v>1143829.4189511</v>
      </c>
      <c r="O58" s="31" t="n">
        <f aca="false">'3. The decision'!$B$17+'3. The decision'!$B$18*L58*12+M58*('3. The decision'!$B$20*(1-'3. The decision'!$B$21)+'3. The decision'!$B$23)+N58*('3. The decision'!$B$24+'3. The decision'!$B$25)</f>
        <v>593872.240037979</v>
      </c>
      <c r="P58" s="31" t="n">
        <f aca="false">N58-O58</f>
        <v>549957.178913126</v>
      </c>
    </row>
    <row r="59" customFormat="false" ht="15" hidden="false" customHeight="false" outlineLevel="0" collapsed="false">
      <c r="A59" s="27" t="n">
        <f aca="false">52*0.0025</f>
        <v>0.13</v>
      </c>
      <c r="B59" s="27" t="n">
        <f aca="false">IF(A59&gt;0,MIN('3. The decision'!$B$15,'3. The decision'!$B$29*(A59/'3. The decision'!$B$28)^$B$4),0)</f>
        <v>0.0627087948641794</v>
      </c>
      <c r="C59" s="15" t="n">
        <f aca="false">(1-'3. The decision'!$B$27-B59)*(1-'3. The decision'!$B$27)^('3. The decision'!$B$12-1)</f>
        <v>0.617284888777002</v>
      </c>
      <c r="D59" s="15" t="n">
        <f aca="false">1+(1-'3. The decision'!$B$27-B59)*(1-(1-'3. The decision'!$B$27)^('3. The decision'!$B$12-1))/'3. The decision'!$B$27</f>
        <v>4.81212505802735</v>
      </c>
      <c r="E59" s="15" t="n">
        <f aca="false">(1-'3. The decision'!$B$14)*(1-'3. The decision'!$B$27)^('3. The decision'!$B$11-1)</f>
        <v>0.690273454655712</v>
      </c>
      <c r="F59" s="15" t="n">
        <f aca="false">1+(1-'3. The decision'!$B$14)*(1-(1-'3. The decision'!$B$27)^('3. The decision'!$B$11-1))/'3. The decision'!$B$27</f>
        <v>4.28912098262087</v>
      </c>
      <c r="G59" s="15" t="n">
        <f aca="false">(1-(1-'3. The decision'!$B$9*MIN(1,('3. The decision'!$B$10/(52/12)))))+(1-(1-'3. The decision'!$B$9*MAX(0,MIN(1,('3. The decision'!$B$10/(52/12))-1))))*(1-'3. The decision'!$B$14)+(1-(1-'3. The decision'!$B$9*MAX(0,MIN(1,('3. The decision'!$B$10/(52/12))-2))))*(1-'3. The decision'!$B$14)*(1-'3. The decision'!$B$27)</f>
        <v>0.884576923076923</v>
      </c>
      <c r="H59" s="15" t="n">
        <f aca="false">IF(A59&lt;=0,0,MAX(0,ROUNDUP(LN('3. The decision'!$B$13)/LN(1+A59)-0.000000000001,0)-1))</f>
        <v>3</v>
      </c>
      <c r="I59" s="15" t="n">
        <f aca="false">IF(A59&lt;=0,1/(1-C59),(1+A59)*(1-(C59*(1+A59))^H59)/(1-C59*(1+A59))+'3. The decision'!$B$13*C59^H59/(1-C59))</f>
        <v>3.46363971730738</v>
      </c>
      <c r="J59" s="17" t="n">
        <f aca="false">F59+E59*D59/(1-C59)</f>
        <v>12.9683763624911</v>
      </c>
      <c r="K59" s="15" t="n">
        <f aca="false">F59-G59+E59*D59*I59</f>
        <v>14.9096544143113</v>
      </c>
      <c r="L59" s="17" t="n">
        <f aca="false">'3. The decision'!$B$8*'3. The decision'!$B$5/J59</f>
        <v>36.2142481736075</v>
      </c>
      <c r="M59" s="31" t="n">
        <f aca="false">L59*'3. The decision'!$B$6*'3. The decision'!$B$7*K59</f>
        <v>1035621.42460477</v>
      </c>
      <c r="N59" s="31" t="n">
        <f aca="false">M59*(1+'3. The decision'!$B$19+'3. The decision'!$B$20+'3. The decision'!$B$22)</f>
        <v>1145397.29561287</v>
      </c>
      <c r="O59" s="31" t="n">
        <f aca="false">'3. The decision'!$B$17+'3. The decision'!$B$18*L59*12+M59*('3. The decision'!$B$20*(1-'3. The decision'!$B$21)+'3. The decision'!$B$23)+N59*('3. The decision'!$B$24+'3. The decision'!$B$25)</f>
        <v>594219.344303814</v>
      </c>
      <c r="P59" s="31" t="n">
        <f aca="false">N59-O59</f>
        <v>551177.951309057</v>
      </c>
    </row>
    <row r="60" customFormat="false" ht="15" hidden="false" customHeight="false" outlineLevel="0" collapsed="false">
      <c r="A60" s="27" t="n">
        <f aca="false">53*0.0025</f>
        <v>0.1325</v>
      </c>
      <c r="B60" s="27" t="n">
        <f aca="false">IF(A60&gt;0,MIN('3. The decision'!$B$15,'3. The decision'!$B$29*(A60/'3. The decision'!$B$28)^$B$4),0)</f>
        <v>0.0646493996307907</v>
      </c>
      <c r="C60" s="15" t="n">
        <f aca="false">(1-'3. The decision'!$B$27-B60)*(1-'3. The decision'!$B$27)^('3. The decision'!$B$12-1)</f>
        <v>0.615909236392765</v>
      </c>
      <c r="D60" s="15" t="n">
        <f aca="false">1+(1-'3. The decision'!$B$27-B60)*(1-(1-'3. The decision'!$B$27)^('3. The decision'!$B$12-1))/'3. The decision'!$B$27</f>
        <v>4.80362953348037</v>
      </c>
      <c r="E60" s="15" t="n">
        <f aca="false">(1-'3. The decision'!$B$14)*(1-'3. The decision'!$B$27)^('3. The decision'!$B$11-1)</f>
        <v>0.690273454655712</v>
      </c>
      <c r="F60" s="15" t="n">
        <f aca="false">1+(1-'3. The decision'!$B$14)*(1-(1-'3. The decision'!$B$27)^('3. The decision'!$B$11-1))/'3. The decision'!$B$27</f>
        <v>4.28912098262087</v>
      </c>
      <c r="G60" s="15" t="n">
        <f aca="false">(1-(1-'3. The decision'!$B$9*MIN(1,('3. The decision'!$B$10/(52/12)))))+(1-(1-'3. The decision'!$B$9*MAX(0,MIN(1,('3. The decision'!$B$10/(52/12))-1))))*(1-'3. The decision'!$B$14)+(1-(1-'3. The decision'!$B$9*MAX(0,MIN(1,('3. The decision'!$B$10/(52/12))-2))))*(1-'3. The decision'!$B$14)*(1-'3. The decision'!$B$27)</f>
        <v>0.884576923076923</v>
      </c>
      <c r="H60" s="15" t="n">
        <f aca="false">IF(A60&lt;=0,0,MAX(0,ROUNDUP(LN('3. The decision'!$B$13)/LN(1+A60)-0.000000000001,0)-1))</f>
        <v>3</v>
      </c>
      <c r="I60" s="15" t="n">
        <f aca="false">IF(A60&lt;=0,1/(1-C60),(1+A60)*(1-(C60*(1+A60))^H60)/(1-C60*(1+A60))+'3. The decision'!$B$13*C60^H60/(1-C60))</f>
        <v>3.45887628857282</v>
      </c>
      <c r="J60" s="17" t="n">
        <f aca="false">F60+E60*D60/(1-C60)</f>
        <v>12.9220230649849</v>
      </c>
      <c r="K60" s="15" t="n">
        <f aca="false">F60-G60+E60*D60*I60</f>
        <v>14.8735481542672</v>
      </c>
      <c r="L60" s="17" t="n">
        <f aca="false">'3. The decision'!$B$8*'3. The decision'!$B$5/J60</f>
        <v>36.3441542890133</v>
      </c>
      <c r="M60" s="31" t="n">
        <f aca="false">L60*'3. The decision'!$B$6*'3. The decision'!$B$7*K60</f>
        <v>1036819.42951651</v>
      </c>
      <c r="N60" s="31" t="n">
        <f aca="false">M60*(1+'3. The decision'!$B$19+'3. The decision'!$B$20+'3. The decision'!$B$22)</f>
        <v>1146722.28904526</v>
      </c>
      <c r="O60" s="31" t="n">
        <f aca="false">'3. The decision'!$B$17+'3. The decision'!$B$18*L60*12+M60*('3. The decision'!$B$20*(1-'3. The decision'!$B$21)+'3. The decision'!$B$23)+N60*('3. The decision'!$B$24+'3. The decision'!$B$25)</f>
        <v>594545.067973762</v>
      </c>
      <c r="P60" s="31" t="n">
        <f aca="false">N60-O60</f>
        <v>552177.221071496</v>
      </c>
    </row>
    <row r="61" customFormat="false" ht="15" hidden="false" customHeight="false" outlineLevel="0" collapsed="false">
      <c r="A61" s="27" t="n">
        <f aca="false">54*0.0025</f>
        <v>0.135</v>
      </c>
      <c r="B61" s="27" t="n">
        <f aca="false">IF(A61&gt;0,MIN('3. The decision'!$B$15,'3. The decision'!$B$29*(A61/'3. The decision'!$B$28)^$B$4),0)</f>
        <v>0.066612099254939</v>
      </c>
      <c r="C61" s="15" t="n">
        <f aca="false">(1-'3. The decision'!$B$27-B61)*(1-'3. The decision'!$B$27)^('3. The decision'!$B$12-1)</f>
        <v>0.614517921446025</v>
      </c>
      <c r="D61" s="15" t="n">
        <f aca="false">1+(1-'3. The decision'!$B$27-B61)*(1-(1-'3. The decision'!$B$27)^('3. The decision'!$B$12-1))/'3. The decision'!$B$27</f>
        <v>4.79503728269227</v>
      </c>
      <c r="E61" s="15" t="n">
        <f aca="false">(1-'3. The decision'!$B$14)*(1-'3. The decision'!$B$27)^('3. The decision'!$B$11-1)</f>
        <v>0.690273454655712</v>
      </c>
      <c r="F61" s="15" t="n">
        <f aca="false">1+(1-'3. The decision'!$B$14)*(1-(1-'3. The decision'!$B$27)^('3. The decision'!$B$11-1))/'3. The decision'!$B$27</f>
        <v>4.28912098262087</v>
      </c>
      <c r="G61" s="15" t="n">
        <f aca="false">(1-(1-'3. The decision'!$B$9*MIN(1,('3. The decision'!$B$10/(52/12)))))+(1-(1-'3. The decision'!$B$9*MAX(0,MIN(1,('3. The decision'!$B$10/(52/12))-1))))*(1-'3. The decision'!$B$14)+(1-(1-'3. The decision'!$B$9*MAX(0,MIN(1,('3. The decision'!$B$10/(52/12))-2))))*(1-'3. The decision'!$B$14)*(1-'3. The decision'!$B$27)</f>
        <v>0.884576923076923</v>
      </c>
      <c r="H61" s="15" t="n">
        <f aca="false">IF(A61&lt;=0,0,MAX(0,ROUNDUP(LN('3. The decision'!$B$13)/LN(1+A61)-0.000000000001,0)-1))</f>
        <v>3</v>
      </c>
      <c r="I61" s="15" t="n">
        <f aca="false">IF(A61&lt;=0,1/(1-C61),(1+A61)*(1-(C61*(1+A61))^H61)/(1-C61*(1+A61))+'3. The decision'!$B$13*C61^H61/(1-C61))</f>
        <v>3.45403354008404</v>
      </c>
      <c r="J61" s="17" t="n">
        <f aca="false">F61+E61*D61/(1-C61)</f>
        <v>12.8754785189894</v>
      </c>
      <c r="K61" s="15" t="n">
        <f aca="false">F61-G61+E61*D61*I61</f>
        <v>14.8370045998597</v>
      </c>
      <c r="L61" s="17" t="n">
        <f aca="false">'3. The decision'!$B$8*'3. The decision'!$B$5/J61</f>
        <v>36.4755375349624</v>
      </c>
      <c r="M61" s="31" t="n">
        <f aca="false">L61*'3. The decision'!$B$6*'3. The decision'!$B$7*K61</f>
        <v>1038010.88522818</v>
      </c>
      <c r="N61" s="31" t="n">
        <f aca="false">M61*(1+'3. The decision'!$B$19+'3. The decision'!$B$20+'3. The decision'!$B$22)</f>
        <v>1148040.03906237</v>
      </c>
      <c r="O61" s="31" t="n">
        <f aca="false">'3. The decision'!$B$17+'3. The decision'!$B$18*L61*12+M61*('3. The decision'!$B$20*(1-'3. The decision'!$B$21)+'3. The decision'!$B$23)+N61*('3. The decision'!$B$24+'3. The decision'!$B$25)</f>
        <v>594872.32437819</v>
      </c>
      <c r="P61" s="31" t="n">
        <f aca="false">N61-O61</f>
        <v>553167.714684179</v>
      </c>
    </row>
    <row r="62" customFormat="false" ht="15" hidden="false" customHeight="false" outlineLevel="0" collapsed="false">
      <c r="A62" s="27" t="n">
        <f aca="false">55*0.0025</f>
        <v>0.1375</v>
      </c>
      <c r="B62" s="27" t="n">
        <f aca="false">IF(A62&gt;0,MIN('3. The decision'!$B$15,'3. The decision'!$B$29*(A62/'3. The decision'!$B$28)^$B$4),0)</f>
        <v>0.0685967291392986</v>
      </c>
      <c r="C62" s="15" t="n">
        <f aca="false">(1-'3. The decision'!$B$27-B62)*(1-'3. The decision'!$B$27)^('3. The decision'!$B$12-1)</f>
        <v>0.613111060616236</v>
      </c>
      <c r="D62" s="15" t="n">
        <f aca="false">1+(1-'3. The decision'!$B$27-B62)*(1-(1-'3. The decision'!$B$27)^('3. The decision'!$B$12-1))/'3. The decision'!$B$27</f>
        <v>4.78634902623256</v>
      </c>
      <c r="E62" s="15" t="n">
        <f aca="false">(1-'3. The decision'!$B$14)*(1-'3. The decision'!$B$27)^('3. The decision'!$B$11-1)</f>
        <v>0.690273454655712</v>
      </c>
      <c r="F62" s="15" t="n">
        <f aca="false">1+(1-'3. The decision'!$B$14)*(1-(1-'3. The decision'!$B$27)^('3. The decision'!$B$11-1))/'3. The decision'!$B$27</f>
        <v>4.28912098262087</v>
      </c>
      <c r="G62" s="15" t="n">
        <f aca="false">(1-(1-'3. The decision'!$B$9*MIN(1,('3. The decision'!$B$10/(52/12)))))+(1-(1-'3. The decision'!$B$9*MAX(0,MIN(1,('3. The decision'!$B$10/(52/12))-1))))*(1-'3. The decision'!$B$14)+(1-(1-'3. The decision'!$B$9*MAX(0,MIN(1,('3. The decision'!$B$10/(52/12))-2))))*(1-'3. The decision'!$B$14)*(1-'3. The decision'!$B$27)</f>
        <v>0.884576923076923</v>
      </c>
      <c r="H62" s="15" t="n">
        <f aca="false">IF(A62&lt;=0,0,MAX(0,ROUNDUP(LN('3. The decision'!$B$13)/LN(1+A62)-0.000000000001,0)-1))</f>
        <v>3</v>
      </c>
      <c r="I62" s="15" t="n">
        <f aca="false">IF(A62&lt;=0,1/(1-C62),(1+A62)*(1-(C62*(1+A62))^H62)/(1-C62*(1+A62))+'3. The decision'!$B$13*C62^H62/(1-C62))</f>
        <v>3.44911423101429</v>
      </c>
      <c r="J62" s="17" t="n">
        <f aca="false">F62+E62*D62/(1-C62)</f>
        <v>12.8287543016503</v>
      </c>
      <c r="K62" s="15" t="n">
        <f aca="false">F62-G62+E62*D62*I62</f>
        <v>14.8000369639986</v>
      </c>
      <c r="L62" s="17" t="n">
        <f aca="false">'3. The decision'!$B$8*'3. The decision'!$B$5/J62</f>
        <v>36.6083868282975</v>
      </c>
      <c r="M62" s="31" t="n">
        <f aca="false">L62*'3. The decision'!$B$6*'3. The decision'!$B$7*K62</f>
        <v>1039195.76368691</v>
      </c>
      <c r="N62" s="31" t="n">
        <f aca="false">M62*(1+'3. The decision'!$B$19+'3. The decision'!$B$20+'3. The decision'!$B$22)</f>
        <v>1149350.51463772</v>
      </c>
      <c r="O62" s="31" t="n">
        <f aca="false">'3. The decision'!$B$17+'3. The decision'!$B$18*L62*12+M62*('3. The decision'!$B$20*(1-'3. The decision'!$B$21)+'3. The decision'!$B$23)+N62*('3. The decision'!$B$24+'3. The decision'!$B$25)</f>
        <v>595201.093708727</v>
      </c>
      <c r="P62" s="31" t="n">
        <f aca="false">N62-O62</f>
        <v>554149.420928991</v>
      </c>
    </row>
    <row r="63" customFormat="false" ht="15" hidden="false" customHeight="false" outlineLevel="0" collapsed="false">
      <c r="A63" s="27" t="n">
        <f aca="false">56*0.0025</f>
        <v>0.14</v>
      </c>
      <c r="B63" s="27" t="n">
        <f aca="false">IF(A63&gt;0,MIN('3. The decision'!$B$15,'3. The decision'!$B$29*(A63/'3. The decision'!$B$28)^$B$4),0)</f>
        <v>0.0706031289000142</v>
      </c>
      <c r="C63" s="15" t="n">
        <f aca="false">(1-'3. The decision'!$B$27-B63)*(1-'3. The decision'!$B$27)^('3. The decision'!$B$12-1)</f>
        <v>0.611688767596014</v>
      </c>
      <c r="D63" s="15" t="n">
        <f aca="false">1+(1-'3. The decision'!$B$27-B63)*(1-(1-'3. The decision'!$B$27)^('3. The decision'!$B$12-1))/'3. The decision'!$B$27</f>
        <v>4.77756546622514</v>
      </c>
      <c r="E63" s="15" t="n">
        <f aca="false">(1-'3. The decision'!$B$14)*(1-'3. The decision'!$B$27)^('3. The decision'!$B$11-1)</f>
        <v>0.690273454655712</v>
      </c>
      <c r="F63" s="15" t="n">
        <f aca="false">1+(1-'3. The decision'!$B$14)*(1-(1-'3. The decision'!$B$27)^('3. The decision'!$B$11-1))/'3. The decision'!$B$27</f>
        <v>4.28912098262087</v>
      </c>
      <c r="G63" s="15" t="n">
        <f aca="false">(1-(1-'3. The decision'!$B$9*MIN(1,('3. The decision'!$B$10/(52/12)))))+(1-(1-'3. The decision'!$B$9*MAX(0,MIN(1,('3. The decision'!$B$10/(52/12))-1))))*(1-'3. The decision'!$B$14)+(1-(1-'3. The decision'!$B$9*MAX(0,MIN(1,('3. The decision'!$B$10/(52/12))-2))))*(1-'3. The decision'!$B$14)*(1-'3. The decision'!$B$27)</f>
        <v>0.884576923076923</v>
      </c>
      <c r="H63" s="15" t="n">
        <f aca="false">IF(A63&lt;=0,0,MAX(0,ROUNDUP(LN('3. The decision'!$B$13)/LN(1+A63)-0.000000000001,0)-1))</f>
        <v>3</v>
      </c>
      <c r="I63" s="15" t="n">
        <f aca="false">IF(A63&lt;=0,1/(1-C63),(1+A63)*(1-(C63*(1+A63))^H63)/(1-C63*(1+A63))+'3. The decision'!$B$13*C63^H63/(1-C63))</f>
        <v>3.44412103864574</v>
      </c>
      <c r="J63" s="17" t="n">
        <f aca="false">F63+E63*D63/(1-C63)</f>
        <v>12.7818617122635</v>
      </c>
      <c r="K63" s="15" t="n">
        <f aca="false">F63-G63+E63*D63*I63</f>
        <v>14.7626581005885</v>
      </c>
      <c r="L63" s="17" t="n">
        <f aca="false">'3. The decision'!$B$8*'3. The decision'!$B$5/J63</f>
        <v>36.7426913678315</v>
      </c>
      <c r="M63" s="31" t="n">
        <f aca="false">L63*'3. The decision'!$B$6*'3. The decision'!$B$7*K63</f>
        <v>1040374.02888614</v>
      </c>
      <c r="N63" s="31" t="n">
        <f aca="false">M63*(1+'3. The decision'!$B$19+'3. The decision'!$B$20+'3. The decision'!$B$22)</f>
        <v>1150653.67594807</v>
      </c>
      <c r="O63" s="31" t="n">
        <f aca="false">'3. The decision'!$B$17+'3. The decision'!$B$18*L63*12+M63*('3. The decision'!$B$20*(1-'3. The decision'!$B$21)+'3. The decision'!$B$23)+N63*('3. The decision'!$B$24+'3. The decision'!$B$25)</f>
        <v>595531.355728107</v>
      </c>
      <c r="P63" s="31" t="n">
        <f aca="false">N63-O63</f>
        <v>555122.320219964</v>
      </c>
    </row>
    <row r="64" customFormat="false" ht="15" hidden="false" customHeight="false" outlineLevel="0" collapsed="false">
      <c r="A64" s="27" t="n">
        <f aca="false">57*0.0025</f>
        <v>0.1425</v>
      </c>
      <c r="B64" s="27" t="n">
        <f aca="false">IF(A64&gt;0,MIN('3. The decision'!$B$15,'3. The decision'!$B$29*(A64/'3. The decision'!$B$28)^$B$4),0)</f>
        <v>0.0726311421851073</v>
      </c>
      <c r="C64" s="15" t="n">
        <f aca="false">(1-'3. The decision'!$B$27-B64)*(1-'3. The decision'!$B$27)^('3. The decision'!$B$12-1)</f>
        <v>0.610251153219865</v>
      </c>
      <c r="D64" s="15" t="n">
        <f aca="false">1+(1-'3. The decision'!$B$27-B64)*(1-(1-'3. The decision'!$B$27)^('3. The decision'!$B$12-1))/'3. The decision'!$B$27</f>
        <v>4.76868728714327</v>
      </c>
      <c r="E64" s="15" t="n">
        <f aca="false">(1-'3. The decision'!$B$14)*(1-'3. The decision'!$B$27)^('3. The decision'!$B$11-1)</f>
        <v>0.690273454655712</v>
      </c>
      <c r="F64" s="15" t="n">
        <f aca="false">1+(1-'3. The decision'!$B$14)*(1-(1-'3. The decision'!$B$27)^('3. The decision'!$B$11-1))/'3. The decision'!$B$27</f>
        <v>4.28912098262087</v>
      </c>
      <c r="G64" s="15" t="n">
        <f aca="false">(1-(1-'3. The decision'!$B$9*MIN(1,('3. The decision'!$B$10/(52/12)))))+(1-(1-'3. The decision'!$B$9*MAX(0,MIN(1,('3. The decision'!$B$10/(52/12))-1))))*(1-'3. The decision'!$B$14)+(1-(1-'3. The decision'!$B$9*MAX(0,MIN(1,('3. The decision'!$B$10/(52/12))-2))))*(1-'3. The decision'!$B$14)*(1-'3. The decision'!$B$27)</f>
        <v>0.884576923076923</v>
      </c>
      <c r="H64" s="15" t="n">
        <f aca="false">IF(A64&lt;=0,0,MAX(0,ROUNDUP(LN('3. The decision'!$B$13)/LN(1+A64)-0.000000000001,0)-1))</f>
        <v>3</v>
      </c>
      <c r="I64" s="15" t="n">
        <f aca="false">IF(A64&lt;=0,1/(1-C64),(1+A64)*(1-(C64*(1+A64))^H64)/(1-C64*(1+A64))+'3. The decision'!$B$13*C64^H64/(1-C64))</f>
        <v>3.43905656013192</v>
      </c>
      <c r="J64" s="17" t="n">
        <f aca="false">F64+E64*D64/(1-C64)</f>
        <v>12.7348117782785</v>
      </c>
      <c r="K64" s="15" t="n">
        <f aca="false">F64-G64+E64*D64*I64</f>
        <v>14.7248805128531</v>
      </c>
      <c r="L64" s="17" t="n">
        <f aca="false">'3. The decision'!$B$8*'3. The decision'!$B$5/J64</f>
        <v>36.8784406221892</v>
      </c>
      <c r="M64" s="31" t="n">
        <f aca="false">L64*'3. The decision'!$B$6*'3. The decision'!$B$7*K64</f>
        <v>1041545.6370005</v>
      </c>
      <c r="N64" s="31" t="n">
        <f aca="false">M64*(1+'3. The decision'!$B$19+'3. The decision'!$B$20+'3. The decision'!$B$22)</f>
        <v>1151949.47452255</v>
      </c>
      <c r="O64" s="31" t="n">
        <f aca="false">'3. The decision'!$B$17+'3. The decision'!$B$18*L64*12+M64*('3. The decision'!$B$20*(1-'3. The decision'!$B$21)+'3. The decision'!$B$23)+N64*('3. The decision'!$B$24+'3. The decision'!$B$25)</f>
        <v>595863.089766268</v>
      </c>
      <c r="P64" s="31" t="n">
        <f aca="false">N64-O64</f>
        <v>556086.384756281</v>
      </c>
    </row>
    <row r="65" customFormat="false" ht="15" hidden="false" customHeight="false" outlineLevel="0" collapsed="false">
      <c r="A65" s="27" t="n">
        <f aca="false">58*0.0025</f>
        <v>0.145</v>
      </c>
      <c r="B65" s="27" t="n">
        <f aca="false">IF(A65&gt;0,MIN('3. The decision'!$B$15,'3. The decision'!$B$29*(A65/'3. The decision'!$B$28)^$B$4),0)</f>
        <v>0.0746806165037743</v>
      </c>
      <c r="C65" s="15" t="n">
        <f aca="false">(1-'3. The decision'!$B$27-B65)*(1-'3. The decision'!$B$27)^('3. The decision'!$B$12-1)</f>
        <v>0.608798325585194</v>
      </c>
      <c r="D65" s="15" t="n">
        <f aca="false">1+(1-'3. The decision'!$B$27-B65)*(1-(1-'3. The decision'!$B$27)^('3. The decision'!$B$12-1))/'3. The decision'!$B$27</f>
        <v>4.75971515655686</v>
      </c>
      <c r="E65" s="15" t="n">
        <f aca="false">(1-'3. The decision'!$B$14)*(1-'3. The decision'!$B$27)^('3. The decision'!$B$11-1)</f>
        <v>0.690273454655712</v>
      </c>
      <c r="F65" s="15" t="n">
        <f aca="false">1+(1-'3. The decision'!$B$14)*(1-(1-'3. The decision'!$B$27)^('3. The decision'!$B$11-1))/'3. The decision'!$B$27</f>
        <v>4.28912098262087</v>
      </c>
      <c r="G65" s="15" t="n">
        <f aca="false">(1-(1-'3. The decision'!$B$9*MIN(1,('3. The decision'!$B$10/(52/12)))))+(1-(1-'3. The decision'!$B$9*MAX(0,MIN(1,('3. The decision'!$B$10/(52/12))-1))))*(1-'3. The decision'!$B$14)+(1-(1-'3. The decision'!$B$9*MAX(0,MIN(1,('3. The decision'!$B$10/(52/12))-2))))*(1-'3. The decision'!$B$14)*(1-'3. The decision'!$B$27)</f>
        <v>0.884576923076923</v>
      </c>
      <c r="H65" s="15" t="n">
        <f aca="false">IF(A65&lt;=0,0,MAX(0,ROUNDUP(LN('3. The decision'!$B$13)/LN(1+A65)-0.000000000001,0)-1))</f>
        <v>3</v>
      </c>
      <c r="I65" s="15" t="n">
        <f aca="false">IF(A65&lt;=0,1/(1-C65),(1+A65)*(1-(C65*(1+A65))^H65)/(1-C65*(1+A65))+'3. The decision'!$B$13*C65^H65/(1-C65))</f>
        <v>3.43392331420059</v>
      </c>
      <c r="J65" s="17" t="n">
        <f aca="false">F65+E65*D65/(1-C65)</f>
        <v>12.6876152610731</v>
      </c>
      <c r="K65" s="15" t="n">
        <f aca="false">F65-G65+E65*D65*I65</f>
        <v>14.6867163613891</v>
      </c>
      <c r="L65" s="17" t="n">
        <f aca="false">'3. The decision'!$B$8*'3. The decision'!$B$5/J65</f>
        <v>37.015624318378</v>
      </c>
      <c r="M65" s="31" t="n">
        <f aca="false">L65*'3. The decision'!$B$6*'3. The decision'!$B$7*K65</f>
        <v>1042710.53651676</v>
      </c>
      <c r="N65" s="31" t="n">
        <f aca="false">M65*(1+'3. The decision'!$B$19+'3. The decision'!$B$20+'3. The decision'!$B$22)</f>
        <v>1153237.85338754</v>
      </c>
      <c r="O65" s="31" t="n">
        <f aca="false">'3. The decision'!$B$17+'3. The decision'!$B$18*L65*12+M65*('3. The decision'!$B$20*(1-'3. The decision'!$B$21)+'3. The decision'!$B$23)+N65*('3. The decision'!$B$24+'3. The decision'!$B$25)</f>
        <v>596196.274717133</v>
      </c>
      <c r="P65" s="31" t="n">
        <f aca="false">N65-O65</f>
        <v>557041.578670407</v>
      </c>
    </row>
    <row r="66" customFormat="false" ht="15" hidden="false" customHeight="false" outlineLevel="0" collapsed="false">
      <c r="A66" s="27" t="n">
        <f aca="false">59*0.0025</f>
        <v>0.1475</v>
      </c>
      <c r="B66" s="27" t="n">
        <f aca="false">IF(A66&gt;0,MIN('3. The decision'!$B$15,'3. The decision'!$B$29*(A66/'3. The decision'!$B$28)^$B$4),0)</f>
        <v>0.0767514030657475</v>
      </c>
      <c r="C66" s="15" t="n">
        <f aca="false">(1-'3. The decision'!$B$27-B66)*(1-'3. The decision'!$B$27)^('3. The decision'!$B$12-1)</f>
        <v>0.607330390166176</v>
      </c>
      <c r="D66" s="15" t="n">
        <f aca="false">1+(1-'3. The decision'!$B$27-B66)*(1-(1-'3. The decision'!$B$27)^('3. The decision'!$B$12-1))/'3. The decision'!$B$27</f>
        <v>4.75064972583574</v>
      </c>
      <c r="E66" s="15" t="n">
        <f aca="false">(1-'3. The decision'!$B$14)*(1-'3. The decision'!$B$27)^('3. The decision'!$B$11-1)</f>
        <v>0.690273454655712</v>
      </c>
      <c r="F66" s="15" t="n">
        <f aca="false">1+(1-'3. The decision'!$B$14)*(1-(1-'3. The decision'!$B$27)^('3. The decision'!$B$11-1))/'3. The decision'!$B$27</f>
        <v>4.28912098262087</v>
      </c>
      <c r="G66" s="15" t="n">
        <f aca="false">(1-(1-'3. The decision'!$B$9*MIN(1,('3. The decision'!$B$10/(52/12)))))+(1-(1-'3. The decision'!$B$9*MAX(0,MIN(1,('3. The decision'!$B$10/(52/12))-1))))*(1-'3. The decision'!$B$14)+(1-(1-'3. The decision'!$B$9*MAX(0,MIN(1,('3. The decision'!$B$10/(52/12))-2))))*(1-'3. The decision'!$B$14)*(1-'3. The decision'!$B$27)</f>
        <v>0.884576923076923</v>
      </c>
      <c r="H66" s="15" t="n">
        <f aca="false">IF(A66&lt;=0,0,MAX(0,ROUNDUP(LN('3. The decision'!$B$13)/LN(1+A66)-0.000000000001,0)-1))</f>
        <v>3</v>
      </c>
      <c r="I66" s="15" t="n">
        <f aca="false">IF(A66&lt;=0,1/(1-C66),(1+A66)*(1-(C66*(1+A66))^H66)/(1-C66*(1+A66))+'3. The decision'!$B$13*C66^H66/(1-C66))</f>
        <v>3.42872374280244</v>
      </c>
      <c r="J66" s="17" t="n">
        <f aca="false">F66+E66*D66/(1-C66)</f>
        <v>12.6402826615183</v>
      </c>
      <c r="K66" s="15" t="n">
        <f aca="false">F66-G66+E66*D66*I66</f>
        <v>14.6481774719731</v>
      </c>
      <c r="L66" s="17" t="n">
        <f aca="false">'3. The decision'!$B$8*'3. The decision'!$B$5/J66</f>
        <v>37.1542324310324</v>
      </c>
      <c r="M66" s="31" t="n">
        <f aca="false">L66*'3. The decision'!$B$6*'3. The decision'!$B$7*K66</f>
        <v>1043868.66836164</v>
      </c>
      <c r="N66" s="31" t="n">
        <f aca="false">M66*(1+'3. The decision'!$B$19+'3. The decision'!$B$20+'3. The decision'!$B$22)</f>
        <v>1154518.74720797</v>
      </c>
      <c r="O66" s="31" t="n">
        <f aca="false">'3. The decision'!$B$17+'3. The decision'!$B$18*L66*12+M66*('3. The decision'!$B$20*(1-'3. The decision'!$B$21)+'3. The decision'!$B$23)+N66*('3. The decision'!$B$24+'3. The decision'!$B$25)</f>
        <v>596530.889036073</v>
      </c>
      <c r="P66" s="31" t="n">
        <f aca="false">N66-O66</f>
        <v>557987.858171898</v>
      </c>
    </row>
    <row r="67" customFormat="false" ht="15" hidden="false" customHeight="false" outlineLevel="0" collapsed="false">
      <c r="A67" s="27" t="n">
        <f aca="false">60*0.0025</f>
        <v>0.15</v>
      </c>
      <c r="B67" s="27" t="n">
        <f aca="false">IF(A67&gt;0,MIN('3. The decision'!$B$15,'3. The decision'!$B$29*(A67/'3. The decision'!$B$28)^$B$4),0)</f>
        <v>0.0788433566299615</v>
      </c>
      <c r="C67" s="15" t="n">
        <f aca="false">(1-'3. The decision'!$B$27-B67)*(1-'3. The decision'!$B$27)^('3. The decision'!$B$12-1)</f>
        <v>0.605847449921033</v>
      </c>
      <c r="D67" s="15" t="n">
        <f aca="false">1+(1-'3. The decision'!$B$27-B67)*(1-(1-'3. The decision'!$B$27)^('3. The decision'!$B$12-1))/'3. The decision'!$B$27</f>
        <v>4.74149163081211</v>
      </c>
      <c r="E67" s="15" t="n">
        <f aca="false">(1-'3. The decision'!$B$14)*(1-'3. The decision'!$B$27)^('3. The decision'!$B$11-1)</f>
        <v>0.690273454655712</v>
      </c>
      <c r="F67" s="15" t="n">
        <f aca="false">1+(1-'3. The decision'!$B$14)*(1-(1-'3. The decision'!$B$27)^('3. The decision'!$B$11-1))/'3. The decision'!$B$27</f>
        <v>4.28912098262087</v>
      </c>
      <c r="G67" s="15" t="n">
        <f aca="false">(1-(1-'3. The decision'!$B$9*MIN(1,('3. The decision'!$B$10/(52/12)))))+(1-(1-'3. The decision'!$B$9*MAX(0,MIN(1,('3. The decision'!$B$10/(52/12))-1))))*(1-'3. The decision'!$B$14)+(1-(1-'3. The decision'!$B$9*MAX(0,MIN(1,('3. The decision'!$B$10/(52/12))-2))))*(1-'3. The decision'!$B$14)*(1-'3. The decision'!$B$27)</f>
        <v>0.884576923076923</v>
      </c>
      <c r="H67" s="15" t="n">
        <f aca="false">IF(A67&lt;=0,0,MAX(0,ROUNDUP(LN('3. The decision'!$B$13)/LN(1+A67)-0.000000000001,0)-1))</f>
        <v>3</v>
      </c>
      <c r="I67" s="15" t="n">
        <f aca="false">IF(A67&lt;=0,1/(1-C67),(1+A67)*(1-(C67*(1+A67))^H67)/(1-C67*(1+A67))+'3. The decision'!$B$13*C67^H67/(1-C67))</f>
        <v>3.42346021271042</v>
      </c>
      <c r="J67" s="17" t="n">
        <f aca="false">F67+E67*D67/(1-C67)</f>
        <v>12.5928242253529</v>
      </c>
      <c r="K67" s="15" t="n">
        <f aca="false">F67-G67+E67*D67*I67</f>
        <v>14.6092753431445</v>
      </c>
      <c r="L67" s="17" t="n">
        <f aca="false">'3. The decision'!$B$8*'3. The decision'!$B$5/J67</f>
        <v>37.2942551722815</v>
      </c>
      <c r="M67" s="31" t="n">
        <f aca="false">L67*'3. The decision'!$B$6*'3. The decision'!$B$7*K67</f>
        <v>1045019.96602654</v>
      </c>
      <c r="N67" s="31" t="n">
        <f aca="false">M67*(1+'3. The decision'!$B$19+'3. The decision'!$B$20+'3. The decision'!$B$22)</f>
        <v>1155792.08242535</v>
      </c>
      <c r="O67" s="31" t="n">
        <f aca="false">'3. The decision'!$B$17+'3. The decision'!$B$18*L67*12+M67*('3. The decision'!$B$20*(1-'3. The decision'!$B$21)+'3. The decision'!$B$23)+N67*('3. The decision'!$B$24+'3. The decision'!$B$25)</f>
        <v>596866.910737984</v>
      </c>
      <c r="P67" s="31" t="n">
        <f aca="false">N67-O67</f>
        <v>558925.17168737</v>
      </c>
    </row>
    <row r="68" customFormat="false" ht="15" hidden="false" customHeight="false" outlineLevel="0" collapsed="false">
      <c r="A68" s="27" t="n">
        <f aca="false">61*0.0025</f>
        <v>0.1525</v>
      </c>
      <c r="B68" s="27" t="n">
        <f aca="false">IF(A68&gt;0,MIN('3. The decision'!$B$15,'3. The decision'!$B$29*(A68/'3. The decision'!$B$28)^$B$4),0)</f>
        <v>0.0809563353618424</v>
      </c>
      <c r="C68" s="15" t="n">
        <f aca="false">(1-'3. The decision'!$B$27-B68)*(1-'3. The decision'!$B$27)^('3. The decision'!$B$12-1)</f>
        <v>0.604349605393201</v>
      </c>
      <c r="D68" s="15" t="n">
        <f aca="false">1+(1-'3. The decision'!$B$27-B68)*(1-(1-'3. The decision'!$B$27)^('3. The decision'!$B$12-1))/'3. The decision'!$B$27</f>
        <v>4.73224149240537</v>
      </c>
      <c r="E68" s="15" t="n">
        <f aca="false">(1-'3. The decision'!$B$14)*(1-'3. The decision'!$B$27)^('3. The decision'!$B$11-1)</f>
        <v>0.690273454655712</v>
      </c>
      <c r="F68" s="15" t="n">
        <f aca="false">1+(1-'3. The decision'!$B$14)*(1-(1-'3. The decision'!$B$27)^('3. The decision'!$B$11-1))/'3. The decision'!$B$27</f>
        <v>4.28912098262087</v>
      </c>
      <c r="G68" s="15" t="n">
        <f aca="false">(1-(1-'3. The decision'!$B$9*MIN(1,('3. The decision'!$B$10/(52/12)))))+(1-(1-'3. The decision'!$B$9*MAX(0,MIN(1,('3. The decision'!$B$10/(52/12))-1))))*(1-'3. The decision'!$B$14)+(1-(1-'3. The decision'!$B$9*MAX(0,MIN(1,('3. The decision'!$B$10/(52/12))-2))))*(1-'3. The decision'!$B$14)*(1-'3. The decision'!$B$27)</f>
        <v>0.884576923076923</v>
      </c>
      <c r="H68" s="15" t="n">
        <f aca="false">IF(A68&lt;=0,0,MAX(0,ROUNDUP(LN('3. The decision'!$B$13)/LN(1+A68)-0.000000000001,0)-1))</f>
        <v>3</v>
      </c>
      <c r="I68" s="15" t="n">
        <f aca="false">IF(A68&lt;=0,1/(1-C68),(1+A68)*(1-(C68*(1+A68))^H68)/(1-C68*(1+A68))+'3. The decision'!$B$13*C68^H68/(1-C68))</f>
        <v>3.41813501707411</v>
      </c>
      <c r="J68" s="17" t="n">
        <f aca="false">F68+E68*D68/(1-C68)</f>
        <v>12.5452499483813</v>
      </c>
      <c r="K68" s="15" t="n">
        <f aca="false">F68-G68+E68*D68*I68</f>
        <v>14.5700211535819</v>
      </c>
      <c r="L68" s="17" t="n">
        <f aca="false">'3. The decision'!$B$8*'3. The decision'!$B$5/J68</f>
        <v>37.4356829821948</v>
      </c>
      <c r="M68" s="31" t="n">
        <f aca="false">L68*'3. The decision'!$B$6*'3. The decision'!$B$7*K68</f>
        <v>1046164.35568994</v>
      </c>
      <c r="N68" s="31" t="n">
        <f aca="false">M68*(1+'3. The decision'!$B$19+'3. The decision'!$B$20+'3. The decision'!$B$22)</f>
        <v>1157057.77739307</v>
      </c>
      <c r="O68" s="31" t="n">
        <f aca="false">'3. The decision'!$B$17+'3. The decision'!$B$18*L68*12+M68*('3. The decision'!$B$20*(1-'3. The decision'!$B$21)+'3. The decision'!$B$23)+N68*('3. The decision'!$B$24+'3. The decision'!$B$25)</f>
        <v>597204.317395983</v>
      </c>
      <c r="P68" s="31" t="n">
        <f aca="false">N68-O68</f>
        <v>559853.459997087</v>
      </c>
    </row>
    <row r="69" customFormat="false" ht="15" hidden="false" customHeight="false" outlineLevel="0" collapsed="false">
      <c r="A69" s="27" t="n">
        <f aca="false">62*0.0025</f>
        <v>0.155</v>
      </c>
      <c r="B69" s="27" t="n">
        <f aca="false">IF(A69&gt;0,MIN('3. The decision'!$B$15,'3. The decision'!$B$29*(A69/'3. The decision'!$B$28)^$B$4),0)</f>
        <v>0.0830902006985915</v>
      </c>
      <c r="C69" s="15" t="n">
        <f aca="false">(1-'3. The decision'!$B$27-B69)*(1-'3. The decision'!$B$27)^('3. The decision'!$B$12-1)</f>
        <v>0.602836954806824</v>
      </c>
      <c r="D69" s="15" t="n">
        <f aca="false">1+(1-'3. The decision'!$B$27-B69)*(1-(1-'3. The decision'!$B$27)^('3. The decision'!$B$12-1))/'3. The decision'!$B$27</f>
        <v>4.7228999172118</v>
      </c>
      <c r="E69" s="15" t="n">
        <f aca="false">(1-'3. The decision'!$B$14)*(1-'3. The decision'!$B$27)^('3. The decision'!$B$11-1)</f>
        <v>0.690273454655712</v>
      </c>
      <c r="F69" s="15" t="n">
        <f aca="false">1+(1-'3. The decision'!$B$14)*(1-(1-'3. The decision'!$B$27)^('3. The decision'!$B$11-1))/'3. The decision'!$B$27</f>
        <v>4.28912098262087</v>
      </c>
      <c r="G69" s="15" t="n">
        <f aca="false">(1-(1-'3. The decision'!$B$9*MIN(1,('3. The decision'!$B$10/(52/12)))))+(1-(1-'3. The decision'!$B$9*MAX(0,MIN(1,('3. The decision'!$B$10/(52/12))-1))))*(1-'3. The decision'!$B$14)+(1-(1-'3. The decision'!$B$9*MAX(0,MIN(1,('3. The decision'!$B$10/(52/12))-2))))*(1-'3. The decision'!$B$14)*(1-'3. The decision'!$B$27)</f>
        <v>0.884576923076923</v>
      </c>
      <c r="H69" s="15" t="n">
        <f aca="false">IF(A69&lt;=0,0,MAX(0,ROUNDUP(LN('3. The decision'!$B$13)/LN(1+A69)-0.000000000001,0)-1))</f>
        <v>3</v>
      </c>
      <c r="I69" s="15" t="n">
        <f aca="false">IF(A69&lt;=0,1/(1-C69),(1+A69)*(1-(C69*(1+A69))^H69)/(1-C69*(1+A69))+'3. The decision'!$B$13*C69^H69/(1-C69))</f>
        <v>3.41275037693275</v>
      </c>
      <c r="J69" s="17" t="n">
        <f aca="false">F69+E69*D69/(1-C69)</f>
        <v>12.4975695815113</v>
      </c>
      <c r="K69" s="15" t="n">
        <f aca="false">F69-G69+E69*D69*I69</f>
        <v>14.5304257692928</v>
      </c>
      <c r="L69" s="17" t="n">
        <f aca="false">'3. The decision'!$B$8*'3. The decision'!$B$5/J69</f>
        <v>37.578506519762</v>
      </c>
      <c r="M69" s="31" t="n">
        <f aca="false">L69*'3. The decision'!$B$6*'3. The decision'!$B$7*K69</f>
        <v>1047301.75633745</v>
      </c>
      <c r="N69" s="31" t="n">
        <f aca="false">M69*(1+'3. The decision'!$B$19+'3. The decision'!$B$20+'3. The decision'!$B$22)</f>
        <v>1158315.74250922</v>
      </c>
      <c r="O69" s="31" t="n">
        <f aca="false">'3. The decision'!$B$17+'3. The decision'!$B$18*L69*12+M69*('3. The decision'!$B$20*(1-'3. The decision'!$B$21)+'3. The decision'!$B$23)+N69*('3. The decision'!$B$24+'3. The decision'!$B$25)</f>
        <v>597543.086140672</v>
      </c>
      <c r="P69" s="31" t="n">
        <f aca="false">N69-O69</f>
        <v>560772.656368551</v>
      </c>
    </row>
    <row r="70" customFormat="false" ht="15" hidden="false" customHeight="false" outlineLevel="0" collapsed="false">
      <c r="A70" s="27" t="n">
        <f aca="false">63*0.0025</f>
        <v>0.1575</v>
      </c>
      <c r="B70" s="27" t="n">
        <f aca="false">IF(A70&gt;0,MIN('3. The decision'!$B$15,'3. The decision'!$B$29*(A70/'3. The decision'!$B$28)^$B$4),0)</f>
        <v>0.0852448172218953</v>
      </c>
      <c r="C70" s="15" t="n">
        <f aca="false">(1-'3. The decision'!$B$27-B70)*(1-'3. The decision'!$B$27)^('3. The decision'!$B$12-1)</f>
        <v>0.601309594156992</v>
      </c>
      <c r="D70" s="15" t="n">
        <f aca="false">1+(1-'3. The decision'!$B$27-B70)*(1-(1-'3. The decision'!$B$27)^('3. The decision'!$B$12-1))/'3. The decision'!$B$27</f>
        <v>4.71346749806185</v>
      </c>
      <c r="E70" s="15" t="n">
        <f aca="false">(1-'3. The decision'!$B$14)*(1-'3. The decision'!$B$27)^('3. The decision'!$B$11-1)</f>
        <v>0.690273454655712</v>
      </c>
      <c r="F70" s="15" t="n">
        <f aca="false">1+(1-'3. The decision'!$B$14)*(1-(1-'3. The decision'!$B$27)^('3. The decision'!$B$11-1))/'3. The decision'!$B$27</f>
        <v>4.28912098262087</v>
      </c>
      <c r="G70" s="15" t="n">
        <f aca="false">(1-(1-'3. The decision'!$B$9*MIN(1,('3. The decision'!$B$10/(52/12)))))+(1-(1-'3. The decision'!$B$9*MAX(0,MIN(1,('3. The decision'!$B$10/(52/12))-1))))*(1-'3. The decision'!$B$14)+(1-(1-'3. The decision'!$B$9*MAX(0,MIN(1,('3. The decision'!$B$10/(52/12))-2))))*(1-'3. The decision'!$B$14)*(1-'3. The decision'!$B$27)</f>
        <v>0.884576923076923</v>
      </c>
      <c r="H70" s="15" t="n">
        <f aca="false">IF(A70&lt;=0,0,MAX(0,ROUNDUP(LN('3. The decision'!$B$13)/LN(1+A70)-0.000000000001,0)-1))</f>
        <v>3</v>
      </c>
      <c r="I70" s="15" t="n">
        <f aca="false">IF(A70&lt;=0,1/(1-C70),(1+A70)*(1-(C70*(1+A70))^H70)/(1-C70*(1+A70))+'3. The decision'!$B$13*C70^H70/(1-C70))</f>
        <v>3.40730844269051</v>
      </c>
      <c r="J70" s="17" t="n">
        <f aca="false">F70+E70*D70/(1-C70)</f>
        <v>12.4497926356421</v>
      </c>
      <c r="K70" s="15" t="n">
        <f aca="false">F70-G70+E70*D70*I70</f>
        <v>14.4904997506281</v>
      </c>
      <c r="L70" s="17" t="n">
        <f aca="false">'3. The decision'!$B$8*'3. The decision'!$B$5/J70</f>
        <v>37.7227166543709</v>
      </c>
      <c r="M70" s="31" t="n">
        <f aca="false">L70*'3. The decision'!$B$6*'3. The decision'!$B$7*K70</f>
        <v>1048432.07988014</v>
      </c>
      <c r="N70" s="31" t="n">
        <f aca="false">M70*(1+'3. The decision'!$B$19+'3. The decision'!$B$20+'3. The decision'!$B$22)</f>
        <v>1159565.88034743</v>
      </c>
      <c r="O70" s="31" t="n">
        <f aca="false">'3. The decision'!$B$17+'3. The decision'!$B$18*L70*12+M70*('3. The decision'!$B$20*(1-'3. The decision'!$B$21)+'3. The decision'!$B$23)+N70*('3. The decision'!$B$24+'3. The decision'!$B$25)</f>
        <v>597883.193659952</v>
      </c>
      <c r="P70" s="31" t="n">
        <f aca="false">N70-O70</f>
        <v>561682.686687479</v>
      </c>
    </row>
    <row r="71" customFormat="false" ht="15" hidden="false" customHeight="false" outlineLevel="0" collapsed="false">
      <c r="A71" s="27" t="n">
        <f aca="false">64*0.0025</f>
        <v>0.16</v>
      </c>
      <c r="B71" s="27" t="n">
        <f aca="false">IF(A71&gt;0,MIN('3. The decision'!$B$15,'3. The decision'!$B$29*(A71/'3. The decision'!$B$28)^$B$4),0)</f>
        <v>0.0874200525375392</v>
      </c>
      <c r="C71" s="15" t="n">
        <f aca="false">(1-'3. The decision'!$B$27-B71)*(1-'3. The decision'!$B$27)^('3. The decision'!$B$12-1)</f>
        <v>0.599767617295074</v>
      </c>
      <c r="D71" s="15" t="n">
        <f aca="false">1+(1-'3. The decision'!$B$27-B71)*(1-(1-'3. The decision'!$B$27)^('3. The decision'!$B$12-1))/'3. The decision'!$B$27</f>
        <v>4.70394481454718</v>
      </c>
      <c r="E71" s="15" t="n">
        <f aca="false">(1-'3. The decision'!$B$14)*(1-'3. The decision'!$B$27)^('3. The decision'!$B$11-1)</f>
        <v>0.690273454655712</v>
      </c>
      <c r="F71" s="15" t="n">
        <f aca="false">1+(1-'3. The decision'!$B$14)*(1-(1-'3. The decision'!$B$27)^('3. The decision'!$B$11-1))/'3. The decision'!$B$27</f>
        <v>4.28912098262087</v>
      </c>
      <c r="G71" s="15" t="n">
        <f aca="false">(1-(1-'3. The decision'!$B$9*MIN(1,('3. The decision'!$B$10/(52/12)))))+(1-(1-'3. The decision'!$B$9*MAX(0,MIN(1,('3. The decision'!$B$10/(52/12))-1))))*(1-'3. The decision'!$B$14)+(1-(1-'3. The decision'!$B$9*MAX(0,MIN(1,('3. The decision'!$B$10/(52/12))-2))))*(1-'3. The decision'!$B$14)*(1-'3. The decision'!$B$27)</f>
        <v>0.884576923076923</v>
      </c>
      <c r="H71" s="15" t="n">
        <f aca="false">IF(A71&lt;=0,0,MAX(0,ROUNDUP(LN('3. The decision'!$B$13)/LN(1+A71)-0.000000000001,0)-1))</f>
        <v>3</v>
      </c>
      <c r="I71" s="15" t="n">
        <f aca="false">IF(A71&lt;=0,1/(1-C71),(1+A71)*(1-(C71*(1+A71))^H71)/(1-C71*(1+A71))+'3. The decision'!$B$13*C71^H71/(1-C71))</f>
        <v>3.40181129555692</v>
      </c>
      <c r="J71" s="17" t="n">
        <f aca="false">F71+E71*D71/(1-C71)</f>
        <v>12.4019283864165</v>
      </c>
      <c r="K71" s="15" t="n">
        <f aca="false">F71-G71+E71*D71*I71</f>
        <v>14.4502533591389</v>
      </c>
      <c r="L71" s="17" t="n">
        <f aca="false">'3. The decision'!$B$8*'3. The decision'!$B$5/J71</f>
        <v>37.8683044577473</v>
      </c>
      <c r="M71" s="31" t="n">
        <f aca="false">L71*'3. The decision'!$B$6*'3. The decision'!$B$7*K71</f>
        <v>1049555.23127113</v>
      </c>
      <c r="N71" s="31" t="n">
        <f aca="false">M71*(1+'3. The decision'!$B$19+'3. The decision'!$B$20+'3. The decision'!$B$22)</f>
        <v>1160808.08578587</v>
      </c>
      <c r="O71" s="31" t="n">
        <f aca="false">'3. The decision'!$B$17+'3. The decision'!$B$18*L71*12+M71*('3. The decision'!$B$20*(1-'3. The decision'!$B$21)+'3. The decision'!$B$23)+N71*('3. The decision'!$B$24+'3. The decision'!$B$25)</f>
        <v>598224.616199376</v>
      </c>
      <c r="P71" s="31" t="n">
        <f aca="false">N71-O71</f>
        <v>562583.469586493</v>
      </c>
    </row>
    <row r="72" customFormat="false" ht="15" hidden="false" customHeight="false" outlineLevel="0" collapsed="false">
      <c r="A72" s="27" t="n">
        <f aca="false">65*0.0025</f>
        <v>0.1625</v>
      </c>
      <c r="B72" s="27" t="n">
        <f aca="false">IF(A72&gt;0,MIN('3. The decision'!$B$15,'3. The decision'!$B$29*(A72/'3. The decision'!$B$28)^$B$4),0)</f>
        <v>0.0896157771614488</v>
      </c>
      <c r="C72" s="15" t="n">
        <f aca="false">(1-'3. The decision'!$B$27-B72)*(1-'3. The decision'!$B$27)^('3. The decision'!$B$12-1)</f>
        <v>0.598211116009506</v>
      </c>
      <c r="D72" s="15" t="n">
        <f aca="false">1+(1-'3. The decision'!$B$27-B72)*(1-(1-'3. The decision'!$B$27)^('3. The decision'!$B$12-1))/'3. The decision'!$B$27</f>
        <v>4.69433243351948</v>
      </c>
      <c r="E72" s="15" t="n">
        <f aca="false">(1-'3. The decision'!$B$14)*(1-'3. The decision'!$B$27)^('3. The decision'!$B$11-1)</f>
        <v>0.690273454655712</v>
      </c>
      <c r="F72" s="15" t="n">
        <f aca="false">1+(1-'3. The decision'!$B$14)*(1-(1-'3. The decision'!$B$27)^('3. The decision'!$B$11-1))/'3. The decision'!$B$27</f>
        <v>4.28912098262087</v>
      </c>
      <c r="G72" s="15" t="n">
        <f aca="false">(1-(1-'3. The decision'!$B$9*MIN(1,('3. The decision'!$B$10/(52/12)))))+(1-(1-'3. The decision'!$B$9*MAX(0,MIN(1,('3. The decision'!$B$10/(52/12))-1))))*(1-'3. The decision'!$B$14)+(1-(1-'3. The decision'!$B$9*MAX(0,MIN(1,('3. The decision'!$B$10/(52/12))-2))))*(1-'3. The decision'!$B$14)*(1-'3. The decision'!$B$27)</f>
        <v>0.884576923076923</v>
      </c>
      <c r="H72" s="15" t="n">
        <f aca="false">IF(A72&lt;=0,0,MAX(0,ROUNDUP(LN('3. The decision'!$B$13)/LN(1+A72)-0.000000000001,0)-1))</f>
        <v>3</v>
      </c>
      <c r="I72" s="15" t="n">
        <f aca="false">IF(A72&lt;=0,1/(1-C72),(1+A72)*(1-(C72*(1+A72))^H72)/(1-C72*(1+A72))+'3. The decision'!$B$13*C72^H72/(1-C72))</f>
        <v>3.39626094895507</v>
      </c>
      <c r="J72" s="17" t="n">
        <f aca="false">F72+E72*D72/(1-C72)</f>
        <v>12.3539858788446</v>
      </c>
      <c r="K72" s="15" t="n">
        <f aca="false">F72-G72+E72*D72*I72</f>
        <v>14.4096965642835</v>
      </c>
      <c r="L72" s="17" t="n">
        <f aca="false">'3. The decision'!$B$8*'3. The decision'!$B$5/J72</f>
        <v>38.0152611963259</v>
      </c>
      <c r="M72" s="31" t="n">
        <f aca="false">L72*'3. The decision'!$B$6*'3. The decision'!$B$7*K72</f>
        <v>1050671.108621</v>
      </c>
      <c r="N72" s="31" t="n">
        <f aca="false">M72*(1+'3. The decision'!$B$19+'3. The decision'!$B$20+'3. The decision'!$B$22)</f>
        <v>1162042.24613483</v>
      </c>
      <c r="O72" s="31" t="n">
        <f aca="false">'3. The decision'!$B$17+'3. The decision'!$B$18*L72*12+M72*('3. The decision'!$B$20*(1-'3. The decision'!$B$21)+'3. The decision'!$B$23)+N72*('3. The decision'!$B$24+'3. The decision'!$B$25)</f>
        <v>598567.329563004</v>
      </c>
      <c r="P72" s="31" t="n">
        <f aca="false">N72-O72</f>
        <v>563474.916571823</v>
      </c>
    </row>
    <row r="73" customFormat="false" ht="15" hidden="false" customHeight="false" outlineLevel="0" collapsed="false">
      <c r="A73" s="27" t="n">
        <f aca="false">66*0.0025</f>
        <v>0.165</v>
      </c>
      <c r="B73" s="27" t="n">
        <f aca="false">IF(A73&gt;0,MIN('3. The decision'!$B$15,'3. The decision'!$B$29*(A73/'3. The decision'!$B$28)^$B$4),0)</f>
        <v>0.0918318644117209</v>
      </c>
      <c r="C73" s="15" t="n">
        <f aca="false">(1-'3. The decision'!$B$27-B73)*(1-'3. The decision'!$B$27)^('3. The decision'!$B$12-1)</f>
        <v>0.596640180102326</v>
      </c>
      <c r="D73" s="15" t="n">
        <f aca="false">1+(1-'3. The decision'!$B$27-B73)*(1-(1-'3. The decision'!$B$27)^('3. The decision'!$B$12-1))/'3. The decision'!$B$27</f>
        <v>4.68463090956321</v>
      </c>
      <c r="E73" s="15" t="n">
        <f aca="false">(1-'3. The decision'!$B$14)*(1-'3. The decision'!$B$27)^('3. The decision'!$B$11-1)</f>
        <v>0.690273454655712</v>
      </c>
      <c r="F73" s="15" t="n">
        <f aca="false">1+(1-'3. The decision'!$B$14)*(1-(1-'3. The decision'!$B$27)^('3. The decision'!$B$11-1))/'3. The decision'!$B$27</f>
        <v>4.28912098262087</v>
      </c>
      <c r="G73" s="15" t="n">
        <f aca="false">(1-(1-'3. The decision'!$B$9*MIN(1,('3. The decision'!$B$10/(52/12)))))+(1-(1-'3. The decision'!$B$9*MAX(0,MIN(1,('3. The decision'!$B$10/(52/12))-1))))*(1-'3. The decision'!$B$14)+(1-(1-'3. The decision'!$B$9*MAX(0,MIN(1,('3. The decision'!$B$10/(52/12))-2))))*(1-'3. The decision'!$B$14)*(1-'3. The decision'!$B$27)</f>
        <v>0.884576923076923</v>
      </c>
      <c r="H73" s="15" t="n">
        <f aca="false">IF(A73&lt;=0,0,MAX(0,ROUNDUP(LN('3. The decision'!$B$13)/LN(1+A73)-0.000000000001,0)-1))</f>
        <v>3</v>
      </c>
      <c r="I73" s="15" t="n">
        <f aca="false">IF(A73&lt;=0,1/(1-C73),(1+A73)*(1-(C73*(1+A73))^H73)/(1-C73*(1+A73))+'3. The decision'!$B$13*C73^H73/(1-C73))</f>
        <v>3.39065934990011</v>
      </c>
      <c r="J73" s="17" t="n">
        <f aca="false">F73+E73*D73/(1-C73)</f>
        <v>12.3059739318102</v>
      </c>
      <c r="K73" s="15" t="n">
        <f aca="false">F73-G73+E73*D73*I73</f>
        <v>14.3688390499986</v>
      </c>
      <c r="L73" s="17" t="n">
        <f aca="false">'3. The decision'!$B$8*'3. The decision'!$B$5/J73</f>
        <v>38.1635783240212</v>
      </c>
      <c r="M73" s="31" t="n">
        <f aca="false">L73*'3. The decision'!$B$6*'3. The decision'!$B$7*K73</f>
        <v>1051779.60331198</v>
      </c>
      <c r="N73" s="31" t="n">
        <f aca="false">M73*(1+'3. The decision'!$B$19+'3. The decision'!$B$20+'3. The decision'!$B$22)</f>
        <v>1163268.24126305</v>
      </c>
      <c r="O73" s="31" t="n">
        <f aca="false">'3. The decision'!$B$17+'3. The decision'!$B$18*L73*12+M73*('3. The decision'!$B$20*(1-'3. The decision'!$B$21)+'3. The decision'!$B$23)+N73*('3. The decision'!$B$24+'3. The decision'!$B$25)</f>
        <v>598911.309114742</v>
      </c>
      <c r="P73" s="31" t="n">
        <f aca="false">N73-O73</f>
        <v>564356.932148307</v>
      </c>
    </row>
    <row r="74" customFormat="false" ht="15" hidden="false" customHeight="false" outlineLevel="0" collapsed="false">
      <c r="A74" s="27" t="n">
        <f aca="false">67*0.0025</f>
        <v>0.1675</v>
      </c>
      <c r="B74" s="27" t="n">
        <f aca="false">IF(A74&gt;0,MIN('3. The decision'!$B$15,'3. The decision'!$B$29*(A74/'3. The decision'!$B$28)^$B$4),0)</f>
        <v>0.0940681903062433</v>
      </c>
      <c r="C74" s="15" t="n">
        <f aca="false">(1-'3. The decision'!$B$27-B74)*(1-'3. The decision'!$B$27)^('3. The decision'!$B$12-1)</f>
        <v>0.595054897461748</v>
      </c>
      <c r="D74" s="15" t="n">
        <f aca="false">1+(1-'3. The decision'!$B$27-B74)*(1-(1-'3. The decision'!$B$27)^('3. The decision'!$B$12-1))/'3. The decision'!$B$27</f>
        <v>4.67484078544373</v>
      </c>
      <c r="E74" s="15" t="n">
        <f aca="false">(1-'3. The decision'!$B$14)*(1-'3. The decision'!$B$27)^('3. The decision'!$B$11-1)</f>
        <v>0.690273454655712</v>
      </c>
      <c r="F74" s="15" t="n">
        <f aca="false">1+(1-'3. The decision'!$B$14)*(1-(1-'3. The decision'!$B$27)^('3. The decision'!$B$11-1))/'3. The decision'!$B$27</f>
        <v>4.28912098262087</v>
      </c>
      <c r="G74" s="15" t="n">
        <f aca="false">(1-(1-'3. The decision'!$B$9*MIN(1,('3. The decision'!$B$10/(52/12)))))+(1-(1-'3. The decision'!$B$9*MAX(0,MIN(1,('3. The decision'!$B$10/(52/12))-1))))*(1-'3. The decision'!$B$14)+(1-(1-'3. The decision'!$B$9*MAX(0,MIN(1,('3. The decision'!$B$10/(52/12))-2))))*(1-'3. The decision'!$B$14)*(1-'3. The decision'!$B$27)</f>
        <v>0.884576923076923</v>
      </c>
      <c r="H74" s="15" t="n">
        <f aca="false">IF(A74&lt;=0,0,MAX(0,ROUNDUP(LN('3. The decision'!$B$13)/LN(1+A74)-0.000000000001,0)-1))</f>
        <v>3</v>
      </c>
      <c r="I74" s="15" t="n">
        <f aca="false">IF(A74&lt;=0,1/(1-C74),(1+A74)*(1-(C74*(1+A74))^H74)/(1-C74*(1+A74))+'3. The decision'!$B$13*C74^H74/(1-C74))</f>
        <v>3.38500838035006</v>
      </c>
      <c r="J74" s="17" t="n">
        <f aca="false">F74+E74*D74/(1-C74)</f>
        <v>12.257901142467</v>
      </c>
      <c r="K74" s="15" t="n">
        <f aca="false">F74-G74+E74*D74*I74</f>
        <v>14.3276902211411</v>
      </c>
      <c r="L74" s="17" t="n">
        <f aca="false">'3. The decision'!$B$8*'3. The decision'!$B$5/J74</f>
        <v>38.3132474753734</v>
      </c>
      <c r="M74" s="31" t="n">
        <f aca="false">L74*'3. The decision'!$B$6*'3. The decision'!$B$7*K74</f>
        <v>1052880.60011131</v>
      </c>
      <c r="N74" s="31" t="n">
        <f aca="false">M74*(1+'3. The decision'!$B$19+'3. The decision'!$B$20+'3. The decision'!$B$22)</f>
        <v>1164485.94372311</v>
      </c>
      <c r="O74" s="31" t="n">
        <f aca="false">'3. The decision'!$B$17+'3. The decision'!$B$18*L74*12+M74*('3. The decision'!$B$20*(1-'3. The decision'!$B$21)+'3. The decision'!$B$23)+N74*('3. The decision'!$B$24+'3. The decision'!$B$25)</f>
        <v>599256.529780165</v>
      </c>
      <c r="P74" s="31" t="n">
        <f aca="false">N74-O74</f>
        <v>565229.413942944</v>
      </c>
    </row>
    <row r="75" customFormat="false" ht="15" hidden="false" customHeight="false" outlineLevel="0" collapsed="false">
      <c r="A75" s="27" t="n">
        <f aca="false">68*0.0025</f>
        <v>0.17</v>
      </c>
      <c r="B75" s="27" t="n">
        <f aca="false">IF(A75&gt;0,MIN('3. The decision'!$B$15,'3. The decision'!$B$29*(A75/'3. The decision'!$B$28)^$B$4),0)</f>
        <v>0.0963246334655344</v>
      </c>
      <c r="C75" s="15" t="n">
        <f aca="false">(1-'3. The decision'!$B$27-B75)*(1-'3. The decision'!$B$27)^('3. The decision'!$B$12-1)</f>
        <v>0.59345535413104</v>
      </c>
      <c r="D75" s="15" t="n">
        <f aca="false">1+(1-'3. The decision'!$B$27-B75)*(1-(1-'3. The decision'!$B$27)^('3. The decision'!$B$12-1))/'3. The decision'!$B$27</f>
        <v>4.66496259253272</v>
      </c>
      <c r="E75" s="15" t="n">
        <f aca="false">(1-'3. The decision'!$B$14)*(1-'3. The decision'!$B$27)^('3. The decision'!$B$11-1)</f>
        <v>0.690273454655712</v>
      </c>
      <c r="F75" s="15" t="n">
        <f aca="false">1+(1-'3. The decision'!$B$14)*(1-(1-'3. The decision'!$B$27)^('3. The decision'!$B$11-1))/'3. The decision'!$B$27</f>
        <v>4.28912098262087</v>
      </c>
      <c r="G75" s="15" t="n">
        <f aca="false">(1-(1-'3. The decision'!$B$9*MIN(1,('3. The decision'!$B$10/(52/12)))))+(1-(1-'3. The decision'!$B$9*MAX(0,MIN(1,('3. The decision'!$B$10/(52/12))-1))))*(1-'3. The decision'!$B$14)+(1-(1-'3. The decision'!$B$9*MAX(0,MIN(1,('3. The decision'!$B$10/(52/12))-2))))*(1-'3. The decision'!$B$14)*(1-'3. The decision'!$B$27)</f>
        <v>0.884576923076923</v>
      </c>
      <c r="H75" s="15" t="n">
        <f aca="false">IF(A75&lt;=0,0,MAX(0,ROUNDUP(LN('3. The decision'!$B$13)/LN(1+A75)-0.000000000001,0)-1))</f>
        <v>3</v>
      </c>
      <c r="I75" s="15" t="n">
        <f aca="false">IF(A75&lt;=0,1/(1-C75),(1+A75)*(1-(C75*(1+A75))^H75)/(1-C75*(1+A75))+'3. The decision'!$B$13*C75^H75/(1-C75))</f>
        <v>3.37930985853082</v>
      </c>
      <c r="J75" s="17" t="n">
        <f aca="false">F75+E75*D75/(1-C75)</f>
        <v>12.2097758905326</v>
      </c>
      <c r="K75" s="15" t="n">
        <f aca="false">F75-G75+E75*D75*I75</f>
        <v>14.2862592098111</v>
      </c>
      <c r="L75" s="17" t="n">
        <f aca="false">'3. The decision'!$B$8*'3. The decision'!$B$5/J75</f>
        <v>38.4642604590438</v>
      </c>
      <c r="M75" s="31" t="n">
        <f aca="false">L75*'3. The decision'!$B$6*'3. The decision'!$B$7*K75</f>
        <v>1053973.9772839</v>
      </c>
      <c r="N75" s="31" t="n">
        <f aca="false">M75*(1+'3. The decision'!$B$19+'3. The decision'!$B$20+'3. The decision'!$B$22)</f>
        <v>1165695.218876</v>
      </c>
      <c r="O75" s="31" t="n">
        <f aca="false">'3. The decision'!$B$17+'3. The decision'!$B$18*L75*12+M75*('3. The decision'!$B$20*(1-'3. The decision'!$B$21)+'3. The decision'!$B$23)+N75*('3. The decision'!$B$24+'3. The decision'!$B$25)</f>
        <v>599602.966048785</v>
      </c>
      <c r="P75" s="31" t="n">
        <f aca="false">N75-O75</f>
        <v>566092.252827211</v>
      </c>
    </row>
    <row r="76" customFormat="false" ht="15" hidden="false" customHeight="false" outlineLevel="0" collapsed="false">
      <c r="A76" s="27" t="n">
        <f aca="false">69*0.0025</f>
        <v>0.1725</v>
      </c>
      <c r="B76" s="27" t="n">
        <f aca="false">IF(A76&gt;0,MIN('3. The decision'!$B$15,'3. The decision'!$B$29*(A76/'3. The decision'!$B$28)^$B$4),0)</f>
        <v>0.0986010750204637</v>
      </c>
      <c r="C76" s="15" t="n">
        <f aca="false">(1-'3. The decision'!$B$27-B76)*(1-'3. The decision'!$B$27)^('3. The decision'!$B$12-1)</f>
        <v>0.591841634373934</v>
      </c>
      <c r="D76" s="15" t="n">
        <f aca="false">1+(1-'3. The decision'!$B$27-B76)*(1-(1-'3. The decision'!$B$27)^('3. The decision'!$B$12-1))/'3. The decision'!$B$27</f>
        <v>4.65499685121207</v>
      </c>
      <c r="E76" s="15" t="n">
        <f aca="false">(1-'3. The decision'!$B$14)*(1-'3. The decision'!$B$27)^('3. The decision'!$B$11-1)</f>
        <v>0.690273454655712</v>
      </c>
      <c r="F76" s="15" t="n">
        <f aca="false">1+(1-'3. The decision'!$B$14)*(1-(1-'3. The decision'!$B$27)^('3. The decision'!$B$11-1))/'3. The decision'!$B$27</f>
        <v>4.28912098262087</v>
      </c>
      <c r="G76" s="15" t="n">
        <f aca="false">(1-(1-'3. The decision'!$B$9*MIN(1,('3. The decision'!$B$10/(52/12)))))+(1-(1-'3. The decision'!$B$9*MAX(0,MIN(1,('3. The decision'!$B$10/(52/12))-1))))*(1-'3. The decision'!$B$14)+(1-(1-'3. The decision'!$B$9*MAX(0,MIN(1,('3. The decision'!$B$10/(52/12))-2))))*(1-'3. The decision'!$B$14)*(1-'3. The decision'!$B$27)</f>
        <v>0.884576923076923</v>
      </c>
      <c r="H76" s="15" t="n">
        <f aca="false">IF(A76&lt;=0,0,MAX(0,ROUNDUP(LN('3. The decision'!$B$13)/LN(1+A76)-0.000000000001,0)-1))</f>
        <v>3</v>
      </c>
      <c r="I76" s="15" t="n">
        <f aca="false">IF(A76&lt;=0,1/(1-C76),(1+A76)*(1-(C76*(1+A76))^H76)/(1-C76*(1+A76))+'3. The decision'!$B$13*C76^H76/(1-C76))</f>
        <v>3.37356554023706</v>
      </c>
      <c r="J76" s="17" t="n">
        <f aca="false">F76+E76*D76/(1-C76)</f>
        <v>12.1616063424858</v>
      </c>
      <c r="K76" s="15" t="n">
        <f aca="false">F76-G76+E76*D76*I76</f>
        <v>14.2445548815617</v>
      </c>
      <c r="L76" s="17" t="n">
        <f aca="false">'3. The decision'!$B$8*'3. The decision'!$B$5/J76</f>
        <v>38.6166092516365</v>
      </c>
      <c r="M76" s="31" t="n">
        <f aca="false">L76*'3. The decision'!$B$6*'3. The decision'!$B$7*K76</f>
        <v>1055059.60670447</v>
      </c>
      <c r="N76" s="31" t="n">
        <f aca="false">M76*(1+'3. The decision'!$B$19+'3. The decision'!$B$20+'3. The decision'!$B$22)</f>
        <v>1166895.92501514</v>
      </c>
      <c r="O76" s="31" t="n">
        <f aca="false">'3. The decision'!$B$17+'3. The decision'!$B$18*L76*12+M76*('3. The decision'!$B$20*(1-'3. The decision'!$B$21)+'3. The decision'!$B$23)+N76*('3. The decision'!$B$24+'3. The decision'!$B$25)</f>
        <v>599950.591976762</v>
      </c>
      <c r="P76" s="31" t="n">
        <f aca="false">N76-O76</f>
        <v>566945.333038376</v>
      </c>
    </row>
    <row r="77" customFormat="false" ht="15" hidden="false" customHeight="false" outlineLevel="0" collapsed="false">
      <c r="A77" s="27" t="n">
        <f aca="false">70*0.0025</f>
        <v>0.175</v>
      </c>
      <c r="B77" s="27" t="n">
        <f aca="false">IF(A77&gt;0,MIN('3. The decision'!$B$15,'3. The decision'!$B$29*(A77/'3. The decision'!$B$28)^$B$4),0)</f>
        <v>0.10089739852454</v>
      </c>
      <c r="C77" s="15" t="n">
        <f aca="false">(1-'3. The decision'!$B$27-B77)*(1-'3. The decision'!$B$27)^('3. The decision'!$B$12-1)</f>
        <v>0.590213820736808</v>
      </c>
      <c r="D77" s="15" t="n">
        <f aca="false">1+(1-'3. The decision'!$B$27-B77)*(1-(1-'3. The decision'!$B$27)^('3. The decision'!$B$12-1))/'3. The decision'!$B$27</f>
        <v>4.64494407125793</v>
      </c>
      <c r="E77" s="15" t="n">
        <f aca="false">(1-'3. The decision'!$B$14)*(1-'3. The decision'!$B$27)^('3. The decision'!$B$11-1)</f>
        <v>0.690273454655712</v>
      </c>
      <c r="F77" s="15" t="n">
        <f aca="false">1+(1-'3. The decision'!$B$14)*(1-(1-'3. The decision'!$B$27)^('3. The decision'!$B$11-1))/'3. The decision'!$B$27</f>
        <v>4.28912098262087</v>
      </c>
      <c r="G77" s="15" t="n">
        <f aca="false">(1-(1-'3. The decision'!$B$9*MIN(1,('3. The decision'!$B$10/(52/12)))))+(1-(1-'3. The decision'!$B$9*MAX(0,MIN(1,('3. The decision'!$B$10/(52/12))-1))))*(1-'3. The decision'!$B$14)+(1-(1-'3. The decision'!$B$9*MAX(0,MIN(1,('3. The decision'!$B$10/(52/12))-2))))*(1-'3. The decision'!$B$14)*(1-'3. The decision'!$B$27)</f>
        <v>0.884576923076923</v>
      </c>
      <c r="H77" s="15" t="n">
        <f aca="false">IF(A77&lt;=0,0,MAX(0,ROUNDUP(LN('3. The decision'!$B$13)/LN(1+A77)-0.000000000001,0)-1))</f>
        <v>2</v>
      </c>
      <c r="I77" s="15" t="n">
        <f aca="false">IF(A77&lt;=0,1/(1-C77),(1+A77)*(1-(C77*(1+A77))^H77)/(1-C77*(1+A77))+'3. The decision'!$B$13*C77^H77/(1-C77))</f>
        <v>3.36699877031911</v>
      </c>
      <c r="J77" s="17" t="n">
        <f aca="false">F77+E77*D77/(1-C77)</f>
        <v>12.1134004556738</v>
      </c>
      <c r="K77" s="15" t="n">
        <f aca="false">F77-G77+E77*D77*I77</f>
        <v>14.2000902328953</v>
      </c>
      <c r="L77" s="17" t="n">
        <f aca="false">'3. The decision'!$B$8*'3. The decision'!$B$5/J77</f>
        <v>38.770285991827</v>
      </c>
      <c r="M77" s="31" t="n">
        <f aca="false">L77*'3. The decision'!$B$6*'3. The decision'!$B$7*K77</f>
        <v>1055951.77470221</v>
      </c>
      <c r="N77" s="31" t="n">
        <f aca="false">M77*(1+'3. The decision'!$B$19+'3. The decision'!$B$20+'3. The decision'!$B$22)</f>
        <v>1167882.66282065</v>
      </c>
      <c r="O77" s="31" t="n">
        <f aca="false">'3. The decision'!$B$17+'3. The decision'!$B$18*L77*12+M77*('3. The decision'!$B$20*(1-'3. The decision'!$B$21)+'3. The decision'!$B$23)+N77*('3. The decision'!$B$24+'3. The decision'!$B$25)</f>
        <v>600279.407850259</v>
      </c>
      <c r="P77" s="31" t="n">
        <f aca="false">N77-O77</f>
        <v>567603.254970386</v>
      </c>
    </row>
    <row r="78" customFormat="false" ht="15" hidden="false" customHeight="false" outlineLevel="0" collapsed="false">
      <c r="A78" s="27" t="n">
        <f aca="false">71*0.0025</f>
        <v>0.1775</v>
      </c>
      <c r="B78" s="27" t="n">
        <f aca="false">IF(A78&gt;0,MIN('3. The decision'!$B$15,'3. The decision'!$B$29*(A78/'3. The decision'!$B$28)^$B$4),0)</f>
        <v>0.103213489870478</v>
      </c>
      <c r="C78" s="15" t="n">
        <f aca="false">(1-'3. The decision'!$B$27-B78)*(1-'3. The decision'!$B$27)^('3. The decision'!$B$12-1)</f>
        <v>0.588571994107826</v>
      </c>
      <c r="D78" s="15" t="n">
        <f aca="false">1+(1-'3. The decision'!$B$27-B78)*(1-(1-'3. The decision'!$B$27)^('3. The decision'!$B$12-1))/'3. The decision'!$B$27</f>
        <v>4.63480475220595</v>
      </c>
      <c r="E78" s="15" t="n">
        <f aca="false">(1-'3. The decision'!$B$14)*(1-'3. The decision'!$B$27)^('3. The decision'!$B$11-1)</f>
        <v>0.690273454655712</v>
      </c>
      <c r="F78" s="15" t="n">
        <f aca="false">1+(1-'3. The decision'!$B$14)*(1-(1-'3. The decision'!$B$27)^('3. The decision'!$B$11-1))/'3. The decision'!$B$27</f>
        <v>4.28912098262087</v>
      </c>
      <c r="G78" s="15" t="n">
        <f aca="false">(1-(1-'3. The decision'!$B$9*MIN(1,('3. The decision'!$B$10/(52/12)))))+(1-(1-'3. The decision'!$B$9*MAX(0,MIN(1,('3. The decision'!$B$10/(52/12))-1))))*(1-'3. The decision'!$B$14)+(1-(1-'3. The decision'!$B$9*MAX(0,MIN(1,('3. The decision'!$B$10/(52/12))-2))))*(1-'3. The decision'!$B$14)*(1-'3. The decision'!$B$27)</f>
        <v>0.884576923076923</v>
      </c>
      <c r="H78" s="15" t="n">
        <f aca="false">IF(A78&lt;=0,0,MAX(0,ROUNDUP(LN('3. The decision'!$B$13)/LN(1+A78)-0.000000000001,0)-1))</f>
        <v>2</v>
      </c>
      <c r="I78" s="15" t="n">
        <f aca="false">IF(A78&lt;=0,1/(1-C78),(1+A78)*(1-(C78*(1+A78))^H78)/(1-C78*(1+A78))+'3. The decision'!$B$13*C78^H78/(1-C78))</f>
        <v>3.35757753031828</v>
      </c>
      <c r="J78" s="17" t="n">
        <f aca="false">F78+E78*D78/(1-C78)</f>
        <v>12.0651659823343</v>
      </c>
      <c r="K78" s="15" t="n">
        <f aca="false">F78-G78+E78*D78*I78</f>
        <v>14.1463837257744</v>
      </c>
      <c r="L78" s="17" t="n">
        <f aca="false">'3. The decision'!$B$8*'3. The decision'!$B$5/J78</f>
        <v>38.9252829747756</v>
      </c>
      <c r="M78" s="31" t="n">
        <f aca="false">L78*'3. The decision'!$B$6*'3. The decision'!$B$7*K78</f>
        <v>1056163.58236262</v>
      </c>
      <c r="N78" s="31" t="n">
        <f aca="false">M78*(1+'3. The decision'!$B$19+'3. The decision'!$B$20+'3. The decision'!$B$22)</f>
        <v>1168116.92209306</v>
      </c>
      <c r="O78" s="31" t="n">
        <f aca="false">'3. The decision'!$B$17+'3. The decision'!$B$18*L78*12+M78*('3. The decision'!$B$20*(1-'3. The decision'!$B$21)+'3. The decision'!$B$23)+N78*('3. The decision'!$B$24+'3. The decision'!$B$25)</f>
        <v>600536.998528264</v>
      </c>
      <c r="P78" s="31" t="n">
        <f aca="false">N78-O78</f>
        <v>567579.923564798</v>
      </c>
    </row>
    <row r="79" customFormat="false" ht="15" hidden="false" customHeight="false" outlineLevel="0" collapsed="false">
      <c r="A79" s="27" t="n">
        <f aca="false">72*0.0025</f>
        <v>0.18</v>
      </c>
      <c r="B79" s="27" t="n">
        <f aca="false">IF(A79&gt;0,MIN('3. The decision'!$B$15,'3. The decision'!$B$29*(A79/'3. The decision'!$B$28)^$B$4),0)</f>
        <v>0.105549237210782</v>
      </c>
      <c r="C79" s="15" t="n">
        <f aca="false">(1-'3. The decision'!$B$27-B79)*(1-'3. The decision'!$B$27)^('3. The decision'!$B$12-1)</f>
        <v>0.58691623377324</v>
      </c>
      <c r="D79" s="15" t="n">
        <f aca="false">1+(1-'3. The decision'!$B$27-B79)*(1-(1-'3. The decision'!$B$27)^('3. The decision'!$B$12-1))/'3. The decision'!$B$27</f>
        <v>4.62457938369892</v>
      </c>
      <c r="E79" s="15" t="n">
        <f aca="false">(1-'3. The decision'!$B$14)*(1-'3. The decision'!$B$27)^('3. The decision'!$B$11-1)</f>
        <v>0.690273454655712</v>
      </c>
      <c r="F79" s="15" t="n">
        <f aca="false">1+(1-'3. The decision'!$B$14)*(1-(1-'3. The decision'!$B$27)^('3. The decision'!$B$11-1))/'3. The decision'!$B$27</f>
        <v>4.28912098262087</v>
      </c>
      <c r="G79" s="15" t="n">
        <f aca="false">(1-(1-'3. The decision'!$B$9*MIN(1,('3. The decision'!$B$10/(52/12)))))+(1-(1-'3. The decision'!$B$9*MAX(0,MIN(1,('3. The decision'!$B$10/(52/12))-1))))*(1-'3. The decision'!$B$14)+(1-(1-'3. The decision'!$B$9*MAX(0,MIN(1,('3. The decision'!$B$10/(52/12))-2))))*(1-'3. The decision'!$B$14)*(1-'3. The decision'!$B$27)</f>
        <v>0.884576923076923</v>
      </c>
      <c r="H79" s="15" t="n">
        <f aca="false">IF(A79&lt;=0,0,MAX(0,ROUNDUP(LN('3. The decision'!$B$13)/LN(1+A79)-0.000000000001,0)-1))</f>
        <v>2</v>
      </c>
      <c r="I79" s="15" t="n">
        <f aca="false">IF(A79&lt;=0,1/(1-C79),(1+A79)*(1-(C79*(1+A79))^H79)/(1-C79*(1+A79))+'3. The decision'!$B$13*C79^H79/(1-C79))</f>
        <v>3.34814060631567</v>
      </c>
      <c r="J79" s="17" t="n">
        <f aca="false">F79+E79*D79/(1-C79)</f>
        <v>12.0169104735375</v>
      </c>
      <c r="K79" s="15" t="n">
        <f aca="false">F79-G79+E79*D79*I79</f>
        <v>14.0925601558556</v>
      </c>
      <c r="L79" s="17" t="n">
        <f aca="false">'3. The decision'!$B$8*'3. The decision'!$B$5/J79</f>
        <v>39.0815926468117</v>
      </c>
      <c r="M79" s="31" t="n">
        <f aca="false">L79*'3. The decision'!$B$6*'3. The decision'!$B$7*K79</f>
        <v>1056370.16457813</v>
      </c>
      <c r="N79" s="31" t="n">
        <f aca="false">M79*(1+'3. The decision'!$B$19+'3. The decision'!$B$20+'3. The decision'!$B$22)</f>
        <v>1168345.40202341</v>
      </c>
      <c r="O79" s="31" t="n">
        <f aca="false">'3. The decision'!$B$17+'3. The decision'!$B$18*L79*12+M79*('3. The decision'!$B$20*(1-'3. The decision'!$B$21)+'3. The decision'!$B$23)+N79*('3. The decision'!$B$24+'3. The decision'!$B$25)</f>
        <v>600796.015311299</v>
      </c>
      <c r="P79" s="31" t="n">
        <f aca="false">N79-O79</f>
        <v>567549.386712113</v>
      </c>
    </row>
    <row r="80" customFormat="false" ht="15" hidden="false" customHeight="false" outlineLevel="0" collapsed="false">
      <c r="A80" s="27" t="n">
        <f aca="false">73*0.0025</f>
        <v>0.1825</v>
      </c>
      <c r="B80" s="27" t="n">
        <f aca="false">IF(A80&gt;0,MIN('3. The decision'!$B$15,'3. The decision'!$B$29*(A80/'3. The decision'!$B$28)^$B$4),0)</f>
        <v>0.10790453088209</v>
      </c>
      <c r="C80" s="15" t="n">
        <f aca="false">(1-'3. The decision'!$B$27-B80)*(1-'3. The decision'!$B$27)^('3. The decision'!$B$12-1)</f>
        <v>0.585246617471013</v>
      </c>
      <c r="D80" s="15" t="n">
        <f aca="false">1+(1-'3. The decision'!$B$27-B80)*(1-(1-'3. The decision'!$B$27)^('3. The decision'!$B$12-1))/'3. The decision'!$B$27</f>
        <v>4.61426844581801</v>
      </c>
      <c r="E80" s="15" t="n">
        <f aca="false">(1-'3. The decision'!$B$14)*(1-'3. The decision'!$B$27)^('3. The decision'!$B$11-1)</f>
        <v>0.690273454655712</v>
      </c>
      <c r="F80" s="15" t="n">
        <f aca="false">1+(1-'3. The decision'!$B$14)*(1-(1-'3. The decision'!$B$27)^('3. The decision'!$B$11-1))/'3. The decision'!$B$27</f>
        <v>4.28912098262087</v>
      </c>
      <c r="G80" s="15" t="n">
        <f aca="false">(1-(1-'3. The decision'!$B$9*MIN(1,('3. The decision'!$B$10/(52/12)))))+(1-(1-'3. The decision'!$B$9*MAX(0,MIN(1,('3. The decision'!$B$10/(52/12))-1))))*(1-'3. The decision'!$B$14)+(1-(1-'3. The decision'!$B$9*MAX(0,MIN(1,('3. The decision'!$B$10/(52/12))-2))))*(1-'3. The decision'!$B$14)*(1-'3. The decision'!$B$27)</f>
        <v>0.884576923076923</v>
      </c>
      <c r="H80" s="15" t="n">
        <f aca="false">IF(A80&lt;=0,0,MAX(0,ROUNDUP(LN('3. The decision'!$B$13)/LN(1+A80)-0.000000000001,0)-1))</f>
        <v>2</v>
      </c>
      <c r="I80" s="15" t="n">
        <f aca="false">IF(A80&lt;=0,1/(1-C80),(1+A80)*(1-(C80*(1+A80))^H80)/(1-C80*(1+A80))+'3. The decision'!$B$13*C80^H80/(1-C80))</f>
        <v>3.33869007777851</v>
      </c>
      <c r="J80" s="17" t="n">
        <f aca="false">F80+E80*D80/(1-C80)</f>
        <v>11.9686412830515</v>
      </c>
      <c r="K80" s="15" t="n">
        <f aca="false">F80-G80+E80*D80*I80</f>
        <v>14.0386292665637</v>
      </c>
      <c r="L80" s="17" t="n">
        <f aca="false">'3. The decision'!$B$8*'3. The decision'!$B$5/J80</f>
        <v>39.2392076003685</v>
      </c>
      <c r="M80" s="31" t="n">
        <f aca="false">L80*'3. The decision'!$B$6*'3. The decision'!$B$7*K80</f>
        <v>1056571.54336244</v>
      </c>
      <c r="N80" s="31" t="n">
        <f aca="false">M80*(1+'3. The decision'!$B$19+'3. The decision'!$B$20+'3. The decision'!$B$22)</f>
        <v>1168568.12695885</v>
      </c>
      <c r="O80" s="31" t="n">
        <f aca="false">'3. The decision'!$B$17+'3. The decision'!$B$18*L80*12+M80*('3. The decision'!$B$20*(1-'3. The decision'!$B$21)+'3. The decision'!$B$23)+N80*('3. The decision'!$B$24+'3. The decision'!$B$25)</f>
        <v>601056.44934741</v>
      </c>
      <c r="P80" s="31" t="n">
        <f aca="false">N80-O80</f>
        <v>567511.677611444</v>
      </c>
    </row>
    <row r="81" customFormat="false" ht="15" hidden="false" customHeight="false" outlineLevel="0" collapsed="false">
      <c r="A81" s="27" t="n">
        <f aca="false">74*0.0025</f>
        <v>0.185</v>
      </c>
      <c r="B81" s="27" t="n">
        <f aca="false">IF(A81&gt;0,MIN('3. The decision'!$B$15,'3. The decision'!$B$29*(A81/'3. The decision'!$B$28)^$B$4),0)</f>
        <v>0.110279263333061</v>
      </c>
      <c r="C81" s="15" t="n">
        <f aca="false">(1-'3. The decision'!$B$27-B81)*(1-'3. The decision'!$B$27)^('3. The decision'!$B$12-1)</f>
        <v>0.583563221441945</v>
      </c>
      <c r="D81" s="15" t="n">
        <f aca="false">1+(1-'3. The decision'!$B$27-B81)*(1-(1-'3. The decision'!$B$27)^('3. The decision'!$B$12-1))/'3. The decision'!$B$27</f>
        <v>4.60387240939841</v>
      </c>
      <c r="E81" s="15" t="n">
        <f aca="false">(1-'3. The decision'!$B$14)*(1-'3. The decision'!$B$27)^('3. The decision'!$B$11-1)</f>
        <v>0.690273454655712</v>
      </c>
      <c r="F81" s="15" t="n">
        <f aca="false">1+(1-'3. The decision'!$B$14)*(1-(1-'3. The decision'!$B$27)^('3. The decision'!$B$11-1))/'3. The decision'!$B$27</f>
        <v>4.28912098262087</v>
      </c>
      <c r="G81" s="15" t="n">
        <f aca="false">(1-(1-'3. The decision'!$B$9*MIN(1,('3. The decision'!$B$10/(52/12)))))+(1-(1-'3. The decision'!$B$9*MAX(0,MIN(1,('3. The decision'!$B$10/(52/12))-1))))*(1-'3. The decision'!$B$14)+(1-(1-'3. The decision'!$B$9*MAX(0,MIN(1,('3. The decision'!$B$10/(52/12))-2))))*(1-'3. The decision'!$B$14)*(1-'3. The decision'!$B$27)</f>
        <v>0.884576923076923</v>
      </c>
      <c r="H81" s="15" t="n">
        <f aca="false">IF(A81&lt;=0,0,MAX(0,ROUNDUP(LN('3. The decision'!$B$13)/LN(1+A81)-0.000000000001,0)-1))</f>
        <v>2</v>
      </c>
      <c r="I81" s="15" t="n">
        <f aca="false">IF(A81&lt;=0,1/(1-C81),(1+A81)*(1-(C81*(1+A81))^H81)/(1-C81*(1+A81))+'3. The decision'!$B$13*C81^H81/(1-C81))</f>
        <v>3.32922796200256</v>
      </c>
      <c r="J81" s="17" t="n">
        <f aca="false">F81+E81*D81/(1-C81)</f>
        <v>11.9203655711353</v>
      </c>
      <c r="K81" s="15" t="n">
        <f aca="false">F81-G81+E81*D81*I81</f>
        <v>13.9846005158484</v>
      </c>
      <c r="L81" s="17" t="n">
        <f aca="false">'3. The decision'!$B$8*'3. The decision'!$B$5/J81</f>
        <v>39.3981205691555</v>
      </c>
      <c r="M81" s="31" t="n">
        <f aca="false">L81*'3. The decision'!$B$6*'3. The decision'!$B$7*K81</f>
        <v>1056767.73612916</v>
      </c>
      <c r="N81" s="31" t="n">
        <f aca="false">M81*(1+'3. The decision'!$B$19+'3. The decision'!$B$20+'3. The decision'!$B$22)</f>
        <v>1168785.11615885</v>
      </c>
      <c r="O81" s="31" t="n">
        <f aca="false">'3. The decision'!$B$17+'3. The decision'!$B$18*L81*12+M81*('3. The decision'!$B$20*(1-'3. The decision'!$B$21)+'3. The decision'!$B$23)+N81*('3. The decision'!$B$24+'3. The decision'!$B$25)</f>
        <v>601318.291503561</v>
      </c>
      <c r="P81" s="31" t="n">
        <f aca="false">N81-O81</f>
        <v>567466.824655293</v>
      </c>
    </row>
    <row r="82" customFormat="false" ht="15" hidden="false" customHeight="false" outlineLevel="0" collapsed="false">
      <c r="A82" s="27" t="n">
        <f aca="false">75*0.0025</f>
        <v>0.1875</v>
      </c>
      <c r="B82" s="27" t="n">
        <f aca="false">IF(A82&gt;0,MIN('3. The decision'!$B$15,'3. The decision'!$B$29*(A82/'3. The decision'!$B$28)^$B$4),0)</f>
        <v>0.112673329055591</v>
      </c>
      <c r="C82" s="15" t="n">
        <f aca="false">(1-'3. The decision'!$B$27-B82)*(1-'3. The decision'!$B$27)^('3. The decision'!$B$12-1)</f>
        <v>0.581866120478429</v>
      </c>
      <c r="D82" s="15" t="n">
        <f aca="false">1+(1-'3. The decision'!$B$27-B82)*(1-(1-'3. The decision'!$B$27)^('3. The decision'!$B$12-1))/'3. The decision'!$B$27</f>
        <v>4.59339173633052</v>
      </c>
      <c r="E82" s="15" t="n">
        <f aca="false">(1-'3. The decision'!$B$14)*(1-'3. The decision'!$B$27)^('3. The decision'!$B$11-1)</f>
        <v>0.690273454655712</v>
      </c>
      <c r="F82" s="15" t="n">
        <f aca="false">1+(1-'3. The decision'!$B$14)*(1-(1-'3. The decision'!$B$27)^('3. The decision'!$B$11-1))/'3. The decision'!$B$27</f>
        <v>4.28912098262087</v>
      </c>
      <c r="G82" s="15" t="n">
        <f aca="false">(1-(1-'3. The decision'!$B$9*MIN(1,('3. The decision'!$B$10/(52/12)))))+(1-(1-'3. The decision'!$B$9*MAX(0,MIN(1,('3. The decision'!$B$10/(52/12))-1))))*(1-'3. The decision'!$B$14)+(1-(1-'3. The decision'!$B$9*MAX(0,MIN(1,('3. The decision'!$B$10/(52/12))-2))))*(1-'3. The decision'!$B$14)*(1-'3. The decision'!$B$27)</f>
        <v>0.884576923076923</v>
      </c>
      <c r="H82" s="15" t="n">
        <f aca="false">IF(A82&lt;=0,0,MAX(0,ROUNDUP(LN('3. The decision'!$B$13)/LN(1+A82)-0.000000000001,0)-1))</f>
        <v>2</v>
      </c>
      <c r="I82" s="15" t="n">
        <f aca="false">IF(A82&lt;=0,1/(1-C82),(1+A82)*(1-(C82*(1+A82))^H82)/(1-C82*(1+A82))+'3. The decision'!$B$13*C82^H82/(1-C82))</f>
        <v>3.31975621528519</v>
      </c>
      <c r="J82" s="17" t="n">
        <f aca="false">F82+E82*D82/(1-C82)</f>
        <v>11.8720903082631</v>
      </c>
      <c r="K82" s="15" t="n">
        <f aca="false">F82-G82+E82*D82*I82</f>
        <v>13.9304830818778</v>
      </c>
      <c r="L82" s="17" t="n">
        <f aca="false">'3. The decision'!$B$8*'3. The decision'!$B$5/J82</f>
        <v>39.5583244235537</v>
      </c>
      <c r="M82" s="31" t="n">
        <f aca="false">L82*'3. The decision'!$B$6*'3. The decision'!$B$7*K82</f>
        <v>1056958.75574674</v>
      </c>
      <c r="N82" s="31" t="n">
        <f aca="false">M82*(1+'3. The decision'!$B$19+'3. The decision'!$B$20+'3. The decision'!$B$22)</f>
        <v>1168996.38385589</v>
      </c>
      <c r="O82" s="31" t="n">
        <f aca="false">'3. The decision'!$B$17+'3. The decision'!$B$18*L82*12+M82*('3. The decision'!$B$20*(1-'3. The decision'!$B$21)+'3. The decision'!$B$23)+N82*('3. The decision'!$B$24+'3. The decision'!$B$25)</f>
        <v>601581.532364563</v>
      </c>
      <c r="P82" s="31" t="n">
        <f aca="false">N82-O82</f>
        <v>567414.851491327</v>
      </c>
    </row>
    <row r="83" customFormat="false" ht="15" hidden="false" customHeight="false" outlineLevel="0" collapsed="false">
      <c r="A83" s="27" t="n">
        <f aca="false">76*0.0025</f>
        <v>0.19</v>
      </c>
      <c r="B83" s="27" t="n">
        <f aca="false">IF(A83&gt;0,MIN('3. The decision'!$B$15,'3. The decision'!$B$29*(A83/'3. The decision'!$B$28)^$B$4),0)</f>
        <v>0.115086624519156</v>
      </c>
      <c r="C83" s="15" t="n">
        <f aca="false">(1-'3. The decision'!$B$27-B83)*(1-'3. The decision'!$B$27)^('3. The decision'!$B$12-1)</f>
        <v>0.580155387970996</v>
      </c>
      <c r="D83" s="15" t="n">
        <f aca="false">1+(1-'3. The decision'!$B$27-B83)*(1-(1-'3. The decision'!$B$27)^('3. The decision'!$B$12-1))/'3. The decision'!$B$27</f>
        <v>4.58282687984733</v>
      </c>
      <c r="E83" s="15" t="n">
        <f aca="false">(1-'3. The decision'!$B$14)*(1-'3. The decision'!$B$27)^('3. The decision'!$B$11-1)</f>
        <v>0.690273454655712</v>
      </c>
      <c r="F83" s="15" t="n">
        <f aca="false">1+(1-'3. The decision'!$B$14)*(1-(1-'3. The decision'!$B$27)^('3. The decision'!$B$11-1))/'3. The decision'!$B$27</f>
        <v>4.28912098262087</v>
      </c>
      <c r="G83" s="15" t="n">
        <f aca="false">(1-(1-'3. The decision'!$B$9*MIN(1,('3. The decision'!$B$10/(52/12)))))+(1-(1-'3. The decision'!$B$9*MAX(0,MIN(1,('3. The decision'!$B$10/(52/12))-1))))*(1-'3. The decision'!$B$14)+(1-(1-'3. The decision'!$B$9*MAX(0,MIN(1,('3. The decision'!$B$10/(52/12))-2))))*(1-'3. The decision'!$B$14)*(1-'3. The decision'!$B$27)</f>
        <v>0.884576923076923</v>
      </c>
      <c r="H83" s="15" t="n">
        <f aca="false">IF(A83&lt;=0,0,MAX(0,ROUNDUP(LN('3. The decision'!$B$13)/LN(1+A83)-0.000000000001,0)-1))</f>
        <v>2</v>
      </c>
      <c r="I83" s="15" t="n">
        <f aca="false">IF(A83&lt;=0,1/(1-C83),(1+A83)*(1-(C83*(1+A83))^H83)/(1-C83*(1+A83))+'3. The decision'!$B$13*C83^H83/(1-C83))</f>
        <v>3.31027673407879</v>
      </c>
      <c r="J83" s="17" t="n">
        <f aca="false">F83+E83*D83/(1-C83)</f>
        <v>11.8238222787822</v>
      </c>
      <c r="K83" s="15" t="n">
        <f aca="false">F83-G83+E83*D83*I83</f>
        <v>13.8762858686451</v>
      </c>
      <c r="L83" s="17" t="n">
        <f aca="false">'3. The decision'!$B$8*'3. The decision'!$B$5/J83</f>
        <v>39.7198121662204</v>
      </c>
      <c r="M83" s="31" t="n">
        <f aca="false">L83*'3. The decision'!$B$6*'3. The decision'!$B$7*K83</f>
        <v>1057144.61059198</v>
      </c>
      <c r="N83" s="31" t="n">
        <f aca="false">M83*(1+'3. The decision'!$B$19+'3. The decision'!$B$20+'3. The decision'!$B$22)</f>
        <v>1169201.93931473</v>
      </c>
      <c r="O83" s="31" t="n">
        <f aca="false">'3. The decision'!$B$17+'3. The decision'!$B$18*L83*12+M83*('3. The decision'!$B$20*(1-'3. The decision'!$B$21)+'3. The decision'!$B$23)+N83*('3. The decision'!$B$24+'3. The decision'!$B$25)</f>
        <v>601846.162232188</v>
      </c>
      <c r="P83" s="31" t="n">
        <f aca="false">N83-O83</f>
        <v>567355.777082538</v>
      </c>
    </row>
    <row r="84" customFormat="false" ht="15" hidden="false" customHeight="false" outlineLevel="0" collapsed="false">
      <c r="A84" s="27" t="n">
        <f aca="false">77*0.0025</f>
        <v>0.1925</v>
      </c>
      <c r="B84" s="27" t="n">
        <f aca="false">IF(A84&gt;0,MIN('3. The decision'!$B$15,'3. The decision'!$B$29*(A84/'3. The decision'!$B$28)^$B$4),0)</f>
        <v>0.117519048108105</v>
      </c>
      <c r="C84" s="15" t="n">
        <f aca="false">(1-'3. The decision'!$B$27-B84)*(1-'3. The decision'!$B$27)^('3. The decision'!$B$12-1)</f>
        <v>0.578431095952764</v>
      </c>
      <c r="D84" s="15" t="n">
        <f aca="false">1+(1-'3. The decision'!$B$27-B84)*(1-(1-'3. The decision'!$B$27)^('3. The decision'!$B$12-1))/'3. The decision'!$B$27</f>
        <v>4.57217828479897</v>
      </c>
      <c r="E84" s="15" t="n">
        <f aca="false">(1-'3. The decision'!$B$14)*(1-'3. The decision'!$B$27)^('3. The decision'!$B$11-1)</f>
        <v>0.690273454655712</v>
      </c>
      <c r="F84" s="15" t="n">
        <f aca="false">1+(1-'3. The decision'!$B$14)*(1-(1-'3. The decision'!$B$27)^('3. The decision'!$B$11-1))/'3. The decision'!$B$27</f>
        <v>4.28912098262087</v>
      </c>
      <c r="G84" s="15" t="n">
        <f aca="false">(1-(1-'3. The decision'!$B$9*MIN(1,('3. The decision'!$B$10/(52/12)))))+(1-(1-'3. The decision'!$B$9*MAX(0,MIN(1,('3. The decision'!$B$10/(52/12))-1))))*(1-'3. The decision'!$B$14)+(1-(1-'3. The decision'!$B$9*MAX(0,MIN(1,('3. The decision'!$B$10/(52/12))-2))))*(1-'3. The decision'!$B$14)*(1-'3. The decision'!$B$27)</f>
        <v>0.884576923076923</v>
      </c>
      <c r="H84" s="15" t="n">
        <f aca="false">IF(A84&lt;=0,0,MAX(0,ROUNDUP(LN('3. The decision'!$B$13)/LN(1+A84)-0.000000000001,0)-1))</f>
        <v>2</v>
      </c>
      <c r="I84" s="15" t="n">
        <f aca="false">IF(A84&lt;=0,1/(1-C84),(1+A84)*(1-(C84*(1+A84))^H84)/(1-C84*(1+A84))+'3. The decision'!$B$13*C84^H84/(1-C84))</f>
        <v>3.3007913561253</v>
      </c>
      <c r="J84" s="17" t="n">
        <f aca="false">F84+E84*D84/(1-C84)</f>
        <v>11.7755680845076</v>
      </c>
      <c r="K84" s="15" t="n">
        <f aca="false">F84-G84+E84*D84*I84</f>
        <v>13.8220175114897</v>
      </c>
      <c r="L84" s="17" t="n">
        <f aca="false">'3. The decision'!$B$8*'3. The decision'!$B$5/J84</f>
        <v>39.8825769278915</v>
      </c>
      <c r="M84" s="31" t="n">
        <f aca="false">L84*'3. The decision'!$B$6*'3. The decision'!$B$7*K84</f>
        <v>1057325.30460248</v>
      </c>
      <c r="N84" s="31" t="n">
        <f aca="false">M84*(1+'3. The decision'!$B$19+'3. The decision'!$B$20+'3. The decision'!$B$22)</f>
        <v>1169401.78689034</v>
      </c>
      <c r="O84" s="31" t="n">
        <f aca="false">'3. The decision'!$B$17+'3. The decision'!$B$18*L84*12+M84*('3. The decision'!$B$20*(1-'3. The decision'!$B$21)+'3. The decision'!$B$23)+N84*('3. The decision'!$B$24+'3. The decision'!$B$25)</f>
        <v>602112.171124443</v>
      </c>
      <c r="P84" s="31" t="n">
        <f aca="false">N84-O84</f>
        <v>567289.615765901</v>
      </c>
    </row>
    <row r="85" customFormat="false" ht="15" hidden="false" customHeight="false" outlineLevel="0" collapsed="false">
      <c r="A85" s="27" t="n">
        <f aca="false">78*0.0025</f>
        <v>0.195</v>
      </c>
      <c r="B85" s="27" t="n">
        <f aca="false">IF(A85&gt;0,MIN('3. The decision'!$B$15,'3. The decision'!$B$29*(A85/'3. The decision'!$B$28)^$B$4),0)</f>
        <v>0.119970500061737</v>
      </c>
      <c r="C85" s="15" t="n">
        <f aca="false">(1-'3. The decision'!$B$27-B85)*(1-'3. The decision'!$B$27)^('3. The decision'!$B$12-1)</f>
        <v>0.576693315141916</v>
      </c>
      <c r="D85" s="15" t="n">
        <f aca="false">1+(1-'3. The decision'!$B$27-B85)*(1-(1-'3. The decision'!$B$27)^('3. The decision'!$B$12-1))/'3. The decision'!$B$27</f>
        <v>4.56144638791499</v>
      </c>
      <c r="E85" s="15" t="n">
        <f aca="false">(1-'3. The decision'!$B$14)*(1-'3. The decision'!$B$27)^('3. The decision'!$B$11-1)</f>
        <v>0.690273454655712</v>
      </c>
      <c r="F85" s="15" t="n">
        <f aca="false">1+(1-'3. The decision'!$B$14)*(1-(1-'3. The decision'!$B$27)^('3. The decision'!$B$11-1))/'3. The decision'!$B$27</f>
        <v>4.28912098262087</v>
      </c>
      <c r="G85" s="15" t="n">
        <f aca="false">(1-(1-'3. The decision'!$B$9*MIN(1,('3. The decision'!$B$10/(52/12)))))+(1-(1-'3. The decision'!$B$9*MAX(0,MIN(1,('3. The decision'!$B$10/(52/12))-1))))*(1-'3. The decision'!$B$14)+(1-(1-'3. The decision'!$B$9*MAX(0,MIN(1,('3. The decision'!$B$10/(52/12))-2))))*(1-'3. The decision'!$B$14)*(1-'3. The decision'!$B$27)</f>
        <v>0.884576923076923</v>
      </c>
      <c r="H85" s="15" t="n">
        <f aca="false">IF(A85&lt;=0,0,MAX(0,ROUNDUP(LN('3. The decision'!$B$13)/LN(1+A85)-0.000000000001,0)-1))</f>
        <v>2</v>
      </c>
      <c r="I85" s="15" t="n">
        <f aca="false">IF(A85&lt;=0,1/(1-C85),(1+A85)*(1-(C85*(1+A85))^H85)/(1-C85*(1+A85))+'3. The decision'!$B$13*C85^H85/(1-C85))</f>
        <v>3.29130186157249</v>
      </c>
      <c r="J85" s="17" t="n">
        <f aca="false">F85+E85*D85/(1-C85)</f>
        <v>11.7273341482563</v>
      </c>
      <c r="K85" s="15" t="n">
        <f aca="false">F85-G85+E85*D85*I85</f>
        <v>13.7676863825373</v>
      </c>
      <c r="L85" s="17" t="n">
        <f aca="false">'3. The decision'!$B$8*'3. The decision'!$B$5/J85</f>
        <v>40.04661196337</v>
      </c>
      <c r="M85" s="31" t="n">
        <f aca="false">L85*'3. The decision'!$B$6*'3. The decision'!$B$7*K85</f>
        <v>1057500.83732795</v>
      </c>
      <c r="N85" s="31" t="n">
        <f aca="false">M85*(1+'3. The decision'!$B$19+'3. The decision'!$B$20+'3. The decision'!$B$22)</f>
        <v>1169595.92608471</v>
      </c>
      <c r="O85" s="31" t="n">
        <f aca="false">'3. The decision'!$B$17+'3. The decision'!$B$18*L85*12+M85*('3. The decision'!$B$20*(1-'3. The decision'!$B$21)+'3. The decision'!$B$23)+N85*('3. The decision'!$B$24+'3. The decision'!$B$25)</f>
        <v>602379.54877502</v>
      </c>
      <c r="P85" s="31" t="n">
        <f aca="false">N85-O85</f>
        <v>567216.377309691</v>
      </c>
    </row>
    <row r="86" customFormat="false" ht="15" hidden="false" customHeight="false" outlineLevel="0" collapsed="false">
      <c r="A86" s="27" t="n">
        <f aca="false">79*0.0025</f>
        <v>0.1975</v>
      </c>
      <c r="B86" s="27" t="n">
        <f aca="false">IF(A86&gt;0,MIN('3. The decision'!$B$15,'3. The decision'!$B$29*(A86/'3. The decision'!$B$28)^$B$4),0)</f>
        <v>0.122440882416998</v>
      </c>
      <c r="C86" s="15" t="n">
        <f aca="false">(1-'3. The decision'!$B$27-B86)*(1-'3. The decision'!$B$27)^('3. The decision'!$B$12-1)</f>
        <v>0.574942114982326</v>
      </c>
      <c r="D86" s="15" t="n">
        <f aca="false">1+(1-'3. The decision'!$B$27-B86)*(1-(1-'3. The decision'!$B$27)^('3. The decision'!$B$12-1))/'3. The decision'!$B$27</f>
        <v>4.55063161805529</v>
      </c>
      <c r="E86" s="15" t="n">
        <f aca="false">(1-'3. The decision'!$B$14)*(1-'3. The decision'!$B$27)^('3. The decision'!$B$11-1)</f>
        <v>0.690273454655712</v>
      </c>
      <c r="F86" s="15" t="n">
        <f aca="false">1+(1-'3. The decision'!$B$14)*(1-(1-'3. The decision'!$B$27)^('3. The decision'!$B$11-1))/'3. The decision'!$B$27</f>
        <v>4.28912098262087</v>
      </c>
      <c r="G86" s="15" t="n">
        <f aca="false">(1-(1-'3. The decision'!$B$9*MIN(1,('3. The decision'!$B$10/(52/12)))))+(1-(1-'3. The decision'!$B$9*MAX(0,MIN(1,('3. The decision'!$B$10/(52/12))-1))))*(1-'3. The decision'!$B$14)+(1-(1-'3. The decision'!$B$9*MAX(0,MIN(1,('3. The decision'!$B$10/(52/12))-2))))*(1-'3. The decision'!$B$14)*(1-'3. The decision'!$B$27)</f>
        <v>0.884576923076923</v>
      </c>
      <c r="H86" s="15" t="n">
        <f aca="false">IF(A86&lt;=0,0,MAX(0,ROUNDUP(LN('3. The decision'!$B$13)/LN(1+A86)-0.000000000001,0)-1))</f>
        <v>2</v>
      </c>
      <c r="I86" s="15" t="n">
        <f aca="false">IF(A86&lt;=0,1/(1-C86),(1+A86)*(1-(C86*(1+A86))^H86)/(1-C86*(1+A86))+'3. The decision'!$B$13*C86^H86/(1-C86))</f>
        <v>3.28180997407273</v>
      </c>
      <c r="J86" s="17" t="n">
        <f aca="false">F86+E86*D86/(1-C86)</f>
        <v>11.679126717322</v>
      </c>
      <c r="K86" s="15" t="n">
        <f aca="false">F86-G86+E86*D86*I86</f>
        <v>13.7133005960605</v>
      </c>
      <c r="L86" s="17" t="n">
        <f aca="false">'3. The decision'!$B$8*'3. The decision'!$B$5/J86</f>
        <v>40.21191064769</v>
      </c>
      <c r="M86" s="31" t="n">
        <f aca="false">L86*'3. The decision'!$B$6*'3. The decision'!$B$7*K86</f>
        <v>1057671.20398052</v>
      </c>
      <c r="N86" s="31" t="n">
        <f aca="false">M86*(1+'3. The decision'!$B$19+'3. The decision'!$B$20+'3. The decision'!$B$22)</f>
        <v>1169784.35160245</v>
      </c>
      <c r="O86" s="31" t="n">
        <f aca="false">'3. The decision'!$B$17+'3. The decision'!$B$18*L86*12+M86*('3. The decision'!$B$20*(1-'3. The decision'!$B$21)+'3. The decision'!$B$23)+N86*('3. The decision'!$B$24+'3. The decision'!$B$25)</f>
        <v>602648.284632904</v>
      </c>
      <c r="P86" s="31" t="n">
        <f aca="false">N86-O86</f>
        <v>567136.066969549</v>
      </c>
    </row>
    <row r="87" customFormat="false" ht="15" hidden="false" customHeight="false" outlineLevel="0" collapsed="false">
      <c r="A87" s="27" t="n">
        <f aca="false">80*0.0025</f>
        <v>0.2</v>
      </c>
      <c r="B87" s="27" t="n">
        <f aca="false">IF(A87&gt;0,MIN('3. The decision'!$B$15,'3. The decision'!$B$29*(A87/'3. The decision'!$B$28)^$B$4),0)</f>
        <v>0.124930098953653</v>
      </c>
      <c r="C87" s="15" t="n">
        <f aca="false">(1-'3. The decision'!$B$27-B87)*(1-'3. The decision'!$B$27)^('3. The decision'!$B$12-1)</f>
        <v>0.573177563682417</v>
      </c>
      <c r="D87" s="15" t="n">
        <f aca="false">1+(1-'3. The decision'!$B$27-B87)*(1-(1-'3. The decision'!$B$27)^('3. The decision'!$B$12-1))/'3. The decision'!$B$27</f>
        <v>4.53973439645007</v>
      </c>
      <c r="E87" s="15" t="n">
        <f aca="false">(1-'3. The decision'!$B$14)*(1-'3. The decision'!$B$27)^('3. The decision'!$B$11-1)</f>
        <v>0.690273454655712</v>
      </c>
      <c r="F87" s="15" t="n">
        <f aca="false">1+(1-'3. The decision'!$B$14)*(1-(1-'3. The decision'!$B$27)^('3. The decision'!$B$11-1))/'3. The decision'!$B$27</f>
        <v>4.28912098262087</v>
      </c>
      <c r="G87" s="15" t="n">
        <f aca="false">(1-(1-'3. The decision'!$B$9*MIN(1,('3. The decision'!$B$10/(52/12)))))+(1-(1-'3. The decision'!$B$9*MAX(0,MIN(1,('3. The decision'!$B$10/(52/12))-1))))*(1-'3. The decision'!$B$14)+(1-(1-'3. The decision'!$B$9*MAX(0,MIN(1,('3. The decision'!$B$10/(52/12))-2))))*(1-'3. The decision'!$B$14)*(1-'3. The decision'!$B$27)</f>
        <v>0.884576923076923</v>
      </c>
      <c r="H87" s="15" t="n">
        <f aca="false">IF(A87&lt;=0,0,MAX(0,ROUNDUP(LN('3. The decision'!$B$13)/LN(1+A87)-0.000000000001,0)-1))</f>
        <v>2</v>
      </c>
      <c r="I87" s="15" t="n">
        <f aca="false">IF(A87&lt;=0,1/(1-C87),(1+A87)*(1-(C87*(1+A87))^H87)/(1-C87*(1+A87))+'3. The decision'!$B$13*C87^H87/(1-C87))</f>
        <v>3.27231736186463</v>
      </c>
      <c r="J87" s="17" t="n">
        <f aca="false">F87+E87*D87/(1-C87)</f>
        <v>11.6309518668936</v>
      </c>
      <c r="K87" s="15" t="n">
        <f aca="false">F87-G87+E87*D87*I87</f>
        <v>13.6588680137623</v>
      </c>
      <c r="L87" s="17" t="n">
        <f aca="false">'3. The decision'!$B$8*'3. The decision'!$B$5/J87</f>
        <v>40.3784664724463</v>
      </c>
      <c r="M87" s="31" t="n">
        <f aca="false">L87*'3. The decision'!$B$6*'3. The decision'!$B$7*K87</f>
        <v>1057836.39548422</v>
      </c>
      <c r="N87" s="31" t="n">
        <f aca="false">M87*(1+'3. The decision'!$B$19+'3. The decision'!$B$20+'3. The decision'!$B$22)</f>
        <v>1169967.05340555</v>
      </c>
      <c r="O87" s="31" t="n">
        <f aca="false">'3. The decision'!$B$17+'3. The decision'!$B$18*L87*12+M87*('3. The decision'!$B$20*(1-'3. The decision'!$B$21)+'3. The decision'!$B$23)+N87*('3. The decision'!$B$24+'3. The decision'!$B$25)</f>
        <v>602918.367862131</v>
      </c>
      <c r="P87" s="31" t="n">
        <f aca="false">N87-O87</f>
        <v>567048.685543417</v>
      </c>
    </row>
    <row r="88" customFormat="false" ht="15" hidden="false" customHeight="false" outlineLevel="0" collapsed="false">
      <c r="A88" s="27" t="n">
        <f aca="false">81*0.0025</f>
        <v>0.2025</v>
      </c>
      <c r="B88" s="27" t="n">
        <f aca="false">IF(A88&gt;0,MIN('3. The decision'!$B$15,'3. The decision'!$B$29*(A88/'3. The decision'!$B$28)^$B$4),0)</f>
        <v>0.127438055141799</v>
      </c>
      <c r="C88" s="15" t="n">
        <f aca="false">(1-'3. The decision'!$B$27-B88)*(1-'3. The decision'!$B$27)^('3. The decision'!$B$12-1)</f>
        <v>0.571399728252378</v>
      </c>
      <c r="D88" s="15" t="n">
        <f aca="false">1+(1-'3. The decision'!$B$27-B88)*(1-(1-'3. The decision'!$B$27)^('3. The decision'!$B$12-1))/'3. The decision'!$B$27</f>
        <v>4.52875513692967</v>
      </c>
      <c r="E88" s="15" t="n">
        <f aca="false">(1-'3. The decision'!$B$14)*(1-'3. The decision'!$B$27)^('3. The decision'!$B$11-1)</f>
        <v>0.690273454655712</v>
      </c>
      <c r="F88" s="15" t="n">
        <f aca="false">1+(1-'3. The decision'!$B$14)*(1-(1-'3. The decision'!$B$27)^('3. The decision'!$B$11-1))/'3. The decision'!$B$27</f>
        <v>4.28912098262087</v>
      </c>
      <c r="G88" s="15" t="n">
        <f aca="false">(1-(1-'3. The decision'!$B$9*MIN(1,('3. The decision'!$B$10/(52/12)))))+(1-(1-'3. The decision'!$B$9*MAX(0,MIN(1,('3. The decision'!$B$10/(52/12))-1))))*(1-'3. The decision'!$B$14)+(1-(1-'3. The decision'!$B$9*MAX(0,MIN(1,('3. The decision'!$B$10/(52/12))-2))))*(1-'3. The decision'!$B$14)*(1-'3. The decision'!$B$27)</f>
        <v>0.884576923076923</v>
      </c>
      <c r="H88" s="15" t="n">
        <f aca="false">IF(A88&lt;=0,0,MAX(0,ROUNDUP(LN('3. The decision'!$B$13)/LN(1+A88)-0.000000000001,0)-1))</f>
        <v>2</v>
      </c>
      <c r="I88" s="15" t="n">
        <f aca="false">IF(A88&lt;=0,1/(1-C88),(1+A88)*(1-(C88*(1+A88))^H88)/(1-C88*(1+A88))+'3. The decision'!$B$13*C88^H88/(1-C88))</f>
        <v>3.2628256388383</v>
      </c>
      <c r="J88" s="17" t="n">
        <f aca="false">F88+E88*D88/(1-C88)</f>
        <v>11.5828155034191</v>
      </c>
      <c r="K88" s="15" t="n">
        <f aca="false">F88-G88+E88*D88*I88</f>
        <v>13.6043962499857</v>
      </c>
      <c r="L88" s="17" t="n">
        <f aca="false">'3. The decision'!$B$8*'3. The decision'!$B$5/J88</f>
        <v>40.5462730422815</v>
      </c>
      <c r="M88" s="31" t="n">
        <f aca="false">L88*'3. The decision'!$B$6*'3. The decision'!$B$7*K88</f>
        <v>1057996.39852365</v>
      </c>
      <c r="N88" s="31" t="n">
        <f aca="false">M88*(1+'3. The decision'!$B$19+'3. The decision'!$B$20+'3. The decision'!$B$22)</f>
        <v>1170144.01676715</v>
      </c>
      <c r="O88" s="31" t="n">
        <f aca="false">'3. The decision'!$B$17+'3. The decision'!$B$18*L88*12+M88*('3. The decision'!$B$20*(1-'3. The decision'!$B$21)+'3. The decision'!$B$23)+N88*('3. The decision'!$B$24+'3. The decision'!$B$25)</f>
        <v>603189.787341709</v>
      </c>
      <c r="P88" s="31" t="n">
        <f aca="false">N88-O88</f>
        <v>566954.229425445</v>
      </c>
    </row>
    <row r="89" customFormat="false" ht="15" hidden="false" customHeight="false" outlineLevel="0" collapsed="false">
      <c r="A89" s="27" t="n">
        <f aca="false">82*0.0025</f>
        <v>0.205</v>
      </c>
      <c r="B89" s="27" t="n">
        <f aca="false">IF(A89&gt;0,MIN('3. The decision'!$B$15,'3. The decision'!$B$29*(A89/'3. The decision'!$B$28)^$B$4),0)</f>
        <v>0.12996465809159</v>
      </c>
      <c r="C89" s="15" t="n">
        <f aca="false">(1-'3. The decision'!$B$27-B89)*(1-'3. The decision'!$B$27)^('3. The decision'!$B$12-1)</f>
        <v>0.569608674539792</v>
      </c>
      <c r="D89" s="15" t="n">
        <f aca="false">1+(1-'3. The decision'!$B$27-B89)*(1-(1-'3. The decision'!$B$27)^('3. The decision'!$B$12-1))/'3. The decision'!$B$27</f>
        <v>4.51769424614463</v>
      </c>
      <c r="E89" s="15" t="n">
        <f aca="false">(1-'3. The decision'!$B$14)*(1-'3. The decision'!$B$27)^('3. The decision'!$B$11-1)</f>
        <v>0.690273454655712</v>
      </c>
      <c r="F89" s="15" t="n">
        <f aca="false">1+(1-'3. The decision'!$B$14)*(1-(1-'3. The decision'!$B$27)^('3. The decision'!$B$11-1))/'3. The decision'!$B$27</f>
        <v>4.28912098262087</v>
      </c>
      <c r="G89" s="15" t="n">
        <f aca="false">(1-(1-'3. The decision'!$B$9*MIN(1,('3. The decision'!$B$10/(52/12)))))+(1-(1-'3. The decision'!$B$9*MAX(0,MIN(1,('3. The decision'!$B$10/(52/12))-1))))*(1-'3. The decision'!$B$14)+(1-(1-'3. The decision'!$B$9*MAX(0,MIN(1,('3. The decision'!$B$10/(52/12))-2))))*(1-'3. The decision'!$B$14)*(1-'3. The decision'!$B$27)</f>
        <v>0.884576923076923</v>
      </c>
      <c r="H89" s="15" t="n">
        <f aca="false">IF(A89&lt;=0,0,MAX(0,ROUNDUP(LN('3. The decision'!$B$13)/LN(1+A89)-0.000000000001,0)-1))</f>
        <v>2</v>
      </c>
      <c r="I89" s="15" t="n">
        <f aca="false">IF(A89&lt;=0,1/(1-C89),(1+A89)*(1-(C89*(1+A89))^H89)/(1-C89*(1+A89))+'3. The decision'!$B$13*C89^H89/(1-C89))</f>
        <v>3.25333636558444</v>
      </c>
      <c r="J89" s="17" t="n">
        <f aca="false">F89+E89*D89/(1-C89)</f>
        <v>11.5347233679152</v>
      </c>
      <c r="K89" s="15" t="n">
        <f aca="false">F89-G89+E89*D89*I89</f>
        <v>13.5498926768496</v>
      </c>
      <c r="L89" s="17" t="n">
        <f aca="false">'3. The decision'!$B$8*'3. The decision'!$B$5/J89</f>
        <v>40.7153240715197</v>
      </c>
      <c r="M89" s="31" t="n">
        <f aca="false">L89*'3. The decision'!$B$6*'3. The decision'!$B$7*K89</f>
        <v>1058151.1955919</v>
      </c>
      <c r="N89" s="31" t="n">
        <f aca="false">M89*(1+'3. The decision'!$B$19+'3. The decision'!$B$20+'3. The decision'!$B$22)</f>
        <v>1170315.22232464</v>
      </c>
      <c r="O89" s="31" t="n">
        <f aca="false">'3. The decision'!$B$17+'3. The decision'!$B$18*L89*12+M89*('3. The decision'!$B$20*(1-'3. The decision'!$B$21)+'3. The decision'!$B$23)+N89*('3. The decision'!$B$24+'3. The decision'!$B$25)</f>
        <v>603462.531665678</v>
      </c>
      <c r="P89" s="31" t="n">
        <f aca="false">N89-O89</f>
        <v>566852.690658963</v>
      </c>
    </row>
    <row r="90" customFormat="false" ht="15" hidden="false" customHeight="false" outlineLevel="0" collapsed="false">
      <c r="A90" s="27" t="n">
        <f aca="false">83*0.0025</f>
        <v>0.2075</v>
      </c>
      <c r="B90" s="27" t="n">
        <f aca="false">IF(A90&gt;0,MIN('3. The decision'!$B$15,'3. The decision'!$B$29*(A90/'3. The decision'!$B$28)^$B$4),0)</f>
        <v>0.132509816505051</v>
      </c>
      <c r="C90" s="15" t="n">
        <f aca="false">(1-'3. The decision'!$B$27-B90)*(1-'3. The decision'!$B$27)^('3. The decision'!$B$12-1)</f>
        <v>0.567804467263804</v>
      </c>
      <c r="D90" s="15" t="n">
        <f aca="false">1+(1-'3. The decision'!$B$27-B90)*(1-(1-'3. The decision'!$B$27)^('3. The decision'!$B$12-1))/'3. The decision'!$B$27</f>
        <v>4.50655212377663</v>
      </c>
      <c r="E90" s="15" t="n">
        <f aca="false">(1-'3. The decision'!$B$14)*(1-'3. The decision'!$B$27)^('3. The decision'!$B$11-1)</f>
        <v>0.690273454655712</v>
      </c>
      <c r="F90" s="15" t="n">
        <f aca="false">1+(1-'3. The decision'!$B$14)*(1-(1-'3. The decision'!$B$27)^('3. The decision'!$B$11-1))/'3. The decision'!$B$27</f>
        <v>4.28912098262087</v>
      </c>
      <c r="G90" s="15" t="n">
        <f aca="false">(1-(1-'3. The decision'!$B$9*MIN(1,('3. The decision'!$B$10/(52/12)))))+(1-(1-'3. The decision'!$B$9*MAX(0,MIN(1,('3. The decision'!$B$10/(52/12))-1))))*(1-'3. The decision'!$B$14)+(1-(1-'3. The decision'!$B$9*MAX(0,MIN(1,('3. The decision'!$B$10/(52/12))-2))))*(1-'3. The decision'!$B$14)*(1-'3. The decision'!$B$27)</f>
        <v>0.884576923076923</v>
      </c>
      <c r="H90" s="15" t="n">
        <f aca="false">IF(A90&lt;=0,0,MAX(0,ROUNDUP(LN('3. The decision'!$B$13)/LN(1+A90)-0.000000000001,0)-1))</f>
        <v>2</v>
      </c>
      <c r="I90" s="15" t="n">
        <f aca="false">IF(A90&lt;=0,1/(1-C90),(1+A90)*(1-(C90*(1+A90))^H90)/(1-C90*(1+A90))+'3. The decision'!$B$13*C90^H90/(1-C90))</f>
        <v>3.24385105042778</v>
      </c>
      <c r="J90" s="17" t="n">
        <f aca="false">F90+E90*D90/(1-C90)</f>
        <v>11.4866810392262</v>
      </c>
      <c r="K90" s="15" t="n">
        <f aca="false">F90-G90+E90*D90*I90</f>
        <v>13.4953644293141</v>
      </c>
      <c r="L90" s="17" t="n">
        <f aca="false">'3. The decision'!$B$8*'3. The decision'!$B$5/J90</f>
        <v>40.8856133809419</v>
      </c>
      <c r="M90" s="31" t="n">
        <f aca="false">L90*'3. The decision'!$B$6*'3. The decision'!$B$7*K90</f>
        <v>1058300.76503791</v>
      </c>
      <c r="N90" s="31" t="n">
        <f aca="false">M90*(1+'3. The decision'!$B$19+'3. The decision'!$B$20+'3. The decision'!$B$22)</f>
        <v>1170480.64613192</v>
      </c>
      <c r="O90" s="31" t="n">
        <f aca="false">'3. The decision'!$B$17+'3. The decision'!$B$18*L90*12+M90*('3. The decision'!$B$20*(1-'3. The decision'!$B$21)+'3. The decision'!$B$23)+N90*('3. The decision'!$B$24+'3. The decision'!$B$25)</f>
        <v>603736.589143317</v>
      </c>
      <c r="P90" s="31" t="n">
        <f aca="false">N90-O90</f>
        <v>566744.056988606</v>
      </c>
    </row>
    <row r="91" customFormat="false" ht="15" hidden="false" customHeight="false" outlineLevel="0" collapsed="false">
      <c r="A91" s="27" t="n">
        <f aca="false">84*0.0025</f>
        <v>0.21</v>
      </c>
      <c r="B91" s="27" t="n">
        <f aca="false">IF(A91&gt;0,MIN('3. The decision'!$B$15,'3. The decision'!$B$29*(A91/'3. The decision'!$B$28)^$B$4),0)</f>
        <v>0.135073440629878</v>
      </c>
      <c r="C91" s="15" t="n">
        <f aca="false">(1-'3. The decision'!$B$27-B91)*(1-'3. The decision'!$B$27)^('3. The decision'!$B$12-1)</f>
        <v>0.565987170047861</v>
      </c>
      <c r="D91" s="15" t="n">
        <f aca="false">1+(1-'3. The decision'!$B$27-B91)*(1-(1-'3. The decision'!$B$27)^('3. The decision'!$B$12-1))/'3. The decision'!$B$27</f>
        <v>4.49532916274076</v>
      </c>
      <c r="E91" s="15" t="n">
        <f aca="false">(1-'3. The decision'!$B$14)*(1-'3. The decision'!$B$27)^('3. The decision'!$B$11-1)</f>
        <v>0.690273454655712</v>
      </c>
      <c r="F91" s="15" t="n">
        <f aca="false">1+(1-'3. The decision'!$B$14)*(1-(1-'3. The decision'!$B$27)^('3. The decision'!$B$11-1))/'3. The decision'!$B$27</f>
        <v>4.28912098262087</v>
      </c>
      <c r="G91" s="15" t="n">
        <f aca="false">(1-(1-'3. The decision'!$B$9*MIN(1,('3. The decision'!$B$10/(52/12)))))+(1-(1-'3. The decision'!$B$9*MAX(0,MIN(1,('3. The decision'!$B$10/(52/12))-1))))*(1-'3. The decision'!$B$14)+(1-(1-'3. The decision'!$B$9*MAX(0,MIN(1,('3. The decision'!$B$10/(52/12))-2))))*(1-'3. The decision'!$B$14)*(1-'3. The decision'!$B$27)</f>
        <v>0.884576923076923</v>
      </c>
      <c r="H91" s="15" t="n">
        <f aca="false">IF(A91&lt;=0,0,MAX(0,ROUNDUP(LN('3. The decision'!$B$13)/LN(1+A91)-0.000000000001,0)-1))</f>
        <v>2</v>
      </c>
      <c r="I91" s="15" t="n">
        <f aca="false">IF(A91&lt;=0,1/(1-C91),(1+A91)*(1-(C91*(1+A91))^H91)/(1-C91*(1+A91))+'3. The decision'!$B$13*C91^H91/(1-C91))</f>
        <v>3.23437115044518</v>
      </c>
      <c r="J91" s="17" t="n">
        <f aca="false">F91+E91*D91/(1-C91)</f>
        <v>11.438693937231</v>
      </c>
      <c r="K91" s="15" t="n">
        <f aca="false">F91-G91+E91*D91*I91</f>
        <v>13.4408184101755</v>
      </c>
      <c r="L91" s="17" t="n">
        <f aca="false">'3. The decision'!$B$8*'3. The decision'!$B$5/J91</f>
        <v>41.0571348946929</v>
      </c>
      <c r="M91" s="31" t="n">
        <f aca="false">L91*'3. The decision'!$B$6*'3. The decision'!$B$7*K91</f>
        <v>1058445.08111318</v>
      </c>
      <c r="N91" s="31" t="n">
        <f aca="false">M91*(1+'3. The decision'!$B$19+'3. The decision'!$B$20+'3. The decision'!$B$22)</f>
        <v>1170640.25971117</v>
      </c>
      <c r="O91" s="31" t="n">
        <f aca="false">'3. The decision'!$B$17+'3. The decision'!$B$18*L91*12+M91*('3. The decision'!$B$20*(1-'3. The decision'!$B$21)+'3. The decision'!$B$23)+N91*('3. The decision'!$B$24+'3. The decision'!$B$25)</f>
        <v>604011.94779949</v>
      </c>
      <c r="P91" s="31" t="n">
        <f aca="false">N91-O91</f>
        <v>566628.311911682</v>
      </c>
    </row>
    <row r="92" customFormat="false" ht="15" hidden="false" customHeight="false" outlineLevel="0" collapsed="false">
      <c r="A92" s="27" t="n">
        <f aca="false">85*0.0025</f>
        <v>0.2125</v>
      </c>
      <c r="B92" s="27" t="n">
        <f aca="false">IF(A92&gt;0,MIN('3. The decision'!$B$15,'3. The decision'!$B$29*(A92/'3. The decision'!$B$28)^$B$4),0)</f>
        <v>0.137655442215115</v>
      </c>
      <c r="C92" s="15" t="n">
        <f aca="false">(1-'3. The decision'!$B$27-B92)*(1-'3. The decision'!$B$27)^('3. The decision'!$B$12-1)</f>
        <v>0.564156845451144</v>
      </c>
      <c r="D92" s="15" t="n">
        <f aca="false">1+(1-'3. The decision'!$B$27-B92)*(1-(1-'3. The decision'!$B$27)^('3. The decision'!$B$12-1))/'3. The decision'!$B$27</f>
        <v>4.48402574937956</v>
      </c>
      <c r="E92" s="15" t="n">
        <f aca="false">(1-'3. The decision'!$B$14)*(1-'3. The decision'!$B$27)^('3. The decision'!$B$11-1)</f>
        <v>0.690273454655712</v>
      </c>
      <c r="F92" s="15" t="n">
        <f aca="false">1+(1-'3. The decision'!$B$14)*(1-(1-'3. The decision'!$B$27)^('3. The decision'!$B$11-1))/'3. The decision'!$B$27</f>
        <v>4.28912098262087</v>
      </c>
      <c r="G92" s="15" t="n">
        <f aca="false">(1-(1-'3. The decision'!$B$9*MIN(1,('3. The decision'!$B$10/(52/12)))))+(1-(1-'3. The decision'!$B$9*MAX(0,MIN(1,('3. The decision'!$B$10/(52/12))-1))))*(1-'3. The decision'!$B$14)+(1-(1-'3. The decision'!$B$9*MAX(0,MIN(1,('3. The decision'!$B$10/(52/12))-2))))*(1-'3. The decision'!$B$14)*(1-'3. The decision'!$B$27)</f>
        <v>0.884576923076923</v>
      </c>
      <c r="H92" s="15" t="n">
        <f aca="false">IF(A92&lt;=0,0,MAX(0,ROUNDUP(LN('3. The decision'!$B$13)/LN(1+A92)-0.000000000001,0)-1))</f>
        <v>2</v>
      </c>
      <c r="I92" s="15" t="n">
        <f aca="false">IF(A92&lt;=0,1/(1-C92),(1+A92)*(1-(C92*(1+A92))^H92)/(1-C92*(1+A92))+'3. The decision'!$B$13*C92^H92/(1-C92))</f>
        <v>3.2248980724688</v>
      </c>
      <c r="J92" s="17" t="n">
        <f aca="false">F92+E92*D92/(1-C92)</f>
        <v>11.3907673260016</v>
      </c>
      <c r="K92" s="15" t="n">
        <f aca="false">F92-G92+E92*D92*I92</f>
        <v>13.3862612949931</v>
      </c>
      <c r="L92" s="17" t="n">
        <f aca="false">'3. The decision'!$B$8*'3. The decision'!$B$5/J92</f>
        <v>41.2298826373143</v>
      </c>
      <c r="M92" s="31" t="n">
        <f aca="false">L92*'3. The decision'!$B$6*'3. The decision'!$B$7*K92</f>
        <v>1058584.11401807</v>
      </c>
      <c r="N92" s="31" t="n">
        <f aca="false">M92*(1+'3. The decision'!$B$19+'3. The decision'!$B$20+'3. The decision'!$B$22)</f>
        <v>1170794.03010399</v>
      </c>
      <c r="O92" s="31" t="n">
        <f aca="false">'3. The decision'!$B$17+'3. The decision'!$B$18*L92*12+M92*('3. The decision'!$B$20*(1-'3. The decision'!$B$21)+'3. The decision'!$B$23)+N92*('3. The decision'!$B$24+'3. The decision'!$B$25)</f>
        <v>604288.595375134</v>
      </c>
      <c r="P92" s="31" t="n">
        <f aca="false">N92-O92</f>
        <v>566505.434728852</v>
      </c>
    </row>
    <row r="93" customFormat="false" ht="15" hidden="false" customHeight="false" outlineLevel="0" collapsed="false">
      <c r="A93" s="27" t="n">
        <f aca="false">86*0.0025</f>
        <v>0.215</v>
      </c>
      <c r="B93" s="27" t="n">
        <f aca="false">IF(A93&gt;0,MIN('3. The decision'!$B$15,'3. The decision'!$B$29*(A93/'3. The decision'!$B$28)^$B$4),0)</f>
        <v>0.140255734468604</v>
      </c>
      <c r="C93" s="15" t="n">
        <f aca="false">(1-'3. The decision'!$B$27-B93)*(1-'3. The decision'!$B$27)^('3. The decision'!$B$12-1)</f>
        <v>0.56231355499872</v>
      </c>
      <c r="D93" s="15" t="n">
        <f aca="false">1+(1-'3. The decision'!$B$27-B93)*(1-(1-'3. The decision'!$B$27)^('3. The decision'!$B$12-1))/'3. The decision'!$B$27</f>
        <v>4.47264226364927</v>
      </c>
      <c r="E93" s="15" t="n">
        <f aca="false">(1-'3. The decision'!$B$14)*(1-'3. The decision'!$B$27)^('3. The decision'!$B$11-1)</f>
        <v>0.690273454655712</v>
      </c>
      <c r="F93" s="15" t="n">
        <f aca="false">1+(1-'3. The decision'!$B$14)*(1-(1-'3. The decision'!$B$27)^('3. The decision'!$B$11-1))/'3. The decision'!$B$27</f>
        <v>4.28912098262087</v>
      </c>
      <c r="G93" s="15" t="n">
        <f aca="false">(1-(1-'3. The decision'!$B$9*MIN(1,('3. The decision'!$B$10/(52/12)))))+(1-(1-'3. The decision'!$B$9*MAX(0,MIN(1,('3. The decision'!$B$10/(52/12))-1))))*(1-'3. The decision'!$B$14)+(1-(1-'3. The decision'!$B$9*MAX(0,MIN(1,('3. The decision'!$B$10/(52/12))-2))))*(1-'3. The decision'!$B$14)*(1-'3. The decision'!$B$27)</f>
        <v>0.884576923076923</v>
      </c>
      <c r="H93" s="15" t="n">
        <f aca="false">IF(A93&lt;=0,0,MAX(0,ROUNDUP(LN('3. The decision'!$B$13)/LN(1+A93)-0.000000000001,0)-1))</f>
        <v>2</v>
      </c>
      <c r="I93" s="15" t="n">
        <f aca="false">IF(A93&lt;=0,1/(1-C93),(1+A93)*(1-(C93*(1+A93))^H93)/(1-C93*(1+A93))+'3. The decision'!$B$13*C93^H93/(1-C93))</f>
        <v>3.21543317407448</v>
      </c>
      <c r="J93" s="17" t="n">
        <f aca="false">F93+E93*D93/(1-C93)</f>
        <v>11.3429063169126</v>
      </c>
      <c r="K93" s="15" t="n">
        <f aca="false">F93-G93+E93*D93*I93</f>
        <v>13.3316995369485</v>
      </c>
      <c r="L93" s="17" t="n">
        <f aca="false">'3. The decision'!$B$8*'3. The decision'!$B$5/J93</f>
        <v>41.4038507308971</v>
      </c>
      <c r="M93" s="31" t="n">
        <f aca="false">L93*'3. The decision'!$B$6*'3. The decision'!$B$7*K93</f>
        <v>1058717.82994763</v>
      </c>
      <c r="N93" s="31" t="n">
        <f aca="false">M93*(1+'3. The decision'!$B$19+'3. The decision'!$B$20+'3. The decision'!$B$22)</f>
        <v>1170941.91992208</v>
      </c>
      <c r="O93" s="31" t="n">
        <f aca="false">'3. The decision'!$B$17+'3. The decision'!$B$18*L93*12+M93*('3. The decision'!$B$20*(1-'3. The decision'!$B$21)+'3. The decision'!$B$23)+N93*('3. The decision'!$B$24+'3. The decision'!$B$25)</f>
        <v>604566.519327875</v>
      </c>
      <c r="P93" s="31" t="n">
        <f aca="false">N93-O93</f>
        <v>566375.400594201</v>
      </c>
    </row>
    <row r="94" customFormat="false" ht="15" hidden="false" customHeight="false" outlineLevel="0" collapsed="false">
      <c r="A94" s="27" t="n">
        <f aca="false">87*0.0025</f>
        <v>0.2175</v>
      </c>
      <c r="B94" s="27" t="n">
        <f aca="false">IF(A94&gt;0,MIN('3. The decision'!$B$15,'3. The decision'!$B$29*(A94/'3. The decision'!$B$28)^$B$4),0)</f>
        <v>0.142874232016129</v>
      </c>
      <c r="C94" s="15" t="n">
        <f aca="false">(1-'3. The decision'!$B$27-B94)*(1-'3. The decision'!$B$27)^('3. The decision'!$B$12-1)</f>
        <v>0.560457359210506</v>
      </c>
      <c r="D94" s="15" t="n">
        <f aca="false">1+(1-'3. The decision'!$B$27-B94)*(1-(1-'3. The decision'!$B$27)^('3. The decision'!$B$12-1))/'3. The decision'!$B$27</f>
        <v>4.46117907929873</v>
      </c>
      <c r="E94" s="15" t="n">
        <f aca="false">(1-'3. The decision'!$B$14)*(1-'3. The decision'!$B$27)^('3. The decision'!$B$11-1)</f>
        <v>0.690273454655712</v>
      </c>
      <c r="F94" s="15" t="n">
        <f aca="false">1+(1-'3. The decision'!$B$14)*(1-(1-'3. The decision'!$B$27)^('3. The decision'!$B$11-1))/'3. The decision'!$B$27</f>
        <v>4.28912098262087</v>
      </c>
      <c r="G94" s="15" t="n">
        <f aca="false">(1-(1-'3. The decision'!$B$9*MIN(1,('3. The decision'!$B$10/(52/12)))))+(1-(1-'3. The decision'!$B$9*MAX(0,MIN(1,('3. The decision'!$B$10/(52/12))-1))))*(1-'3. The decision'!$B$14)+(1-(1-'3. The decision'!$B$9*MAX(0,MIN(1,('3. The decision'!$B$10/(52/12))-2))))*(1-'3. The decision'!$B$14)*(1-'3. The decision'!$B$27)</f>
        <v>0.884576923076923</v>
      </c>
      <c r="H94" s="15" t="n">
        <f aca="false">IF(A94&lt;=0,0,MAX(0,ROUNDUP(LN('3. The decision'!$B$13)/LN(1+A94)-0.000000000001,0)-1))</f>
        <v>2</v>
      </c>
      <c r="I94" s="15" t="n">
        <f aca="false">IF(A94&lt;=0,1/(1-C94),(1+A94)*(1-(C94*(1+A94))^H94)/(1-C94*(1+A94))+'3. The decision'!$B$13*C94^H94/(1-C94))</f>
        <v>3.20597776455574</v>
      </c>
      <c r="J94" s="17" t="n">
        <f aca="false">F94+E94*D94/(1-C94)</f>
        <v>11.2951158717041</v>
      </c>
      <c r="K94" s="15" t="n">
        <f aca="false">F94-G94+E94*D94*I94</f>
        <v>13.2771393716386</v>
      </c>
      <c r="L94" s="17" t="n">
        <f aca="false">'3. The decision'!$B$8*'3. The decision'!$B$5/J94</f>
        <v>41.579033392346</v>
      </c>
      <c r="M94" s="31" t="n">
        <f aca="false">L94*'3. The decision'!$B$6*'3. The decision'!$B$7*K94</f>
        <v>1058846.19113702</v>
      </c>
      <c r="N94" s="31" t="n">
        <f aca="false">M94*(1+'3. The decision'!$B$19+'3. The decision'!$B$20+'3. The decision'!$B$22)</f>
        <v>1171083.88739755</v>
      </c>
      <c r="O94" s="31" t="n">
        <f aca="false">'3. The decision'!$B$17+'3. The decision'!$B$18*L94*12+M94*('3. The decision'!$B$20*(1-'3. The decision'!$B$21)+'3. The decision'!$B$23)+N94*('3. The decision'!$B$24+'3. The decision'!$B$25)</f>
        <v>604845.706832777</v>
      </c>
      <c r="P94" s="31" t="n">
        <f aca="false">N94-O94</f>
        <v>566238.180564769</v>
      </c>
    </row>
    <row r="95" customFormat="false" ht="15" hidden="false" customHeight="false" outlineLevel="0" collapsed="false">
      <c r="A95" s="27" t="n">
        <f aca="false">88*0.0025</f>
        <v>0.22</v>
      </c>
      <c r="B95" s="27" t="n">
        <f aca="false">IF(A95&gt;0,MIN('3. The decision'!$B$15,'3. The decision'!$B$29*(A95/'3. The decision'!$B$28)^$B$4),0)</f>
        <v>0.145510850862164</v>
      </c>
      <c r="C95" s="15" t="n">
        <f aca="false">(1-'3. The decision'!$B$27-B95)*(1-'3. The decision'!$B$27)^('3. The decision'!$B$12-1)</f>
        <v>0.558588317629099</v>
      </c>
      <c r="D95" s="15" t="n">
        <f aca="false">1+(1-'3. The decision'!$B$27-B95)*(1-(1-'3. The decision'!$B$27)^('3. The decision'!$B$12-1))/'3. The decision'!$B$27</f>
        <v>4.44963656404116</v>
      </c>
      <c r="E95" s="15" t="n">
        <f aca="false">(1-'3. The decision'!$B$14)*(1-'3. The decision'!$B$27)^('3. The decision'!$B$11-1)</f>
        <v>0.690273454655712</v>
      </c>
      <c r="F95" s="15" t="n">
        <f aca="false">1+(1-'3. The decision'!$B$14)*(1-(1-'3. The decision'!$B$27)^('3. The decision'!$B$11-1))/'3. The decision'!$B$27</f>
        <v>4.28912098262087</v>
      </c>
      <c r="G95" s="15" t="n">
        <f aca="false">(1-(1-'3. The decision'!$B$9*MIN(1,('3. The decision'!$B$10/(52/12)))))+(1-(1-'3. The decision'!$B$9*MAX(0,MIN(1,('3. The decision'!$B$10/(52/12))-1))))*(1-'3. The decision'!$B$14)+(1-(1-'3. The decision'!$B$9*MAX(0,MIN(1,('3. The decision'!$B$10/(52/12))-2))))*(1-'3. The decision'!$B$14)*(1-'3. The decision'!$B$27)</f>
        <v>0.884576923076923</v>
      </c>
      <c r="H95" s="15" t="n">
        <f aca="false">IF(A95&lt;=0,0,MAX(0,ROUNDUP(LN('3. The decision'!$B$13)/LN(1+A95)-0.000000000001,0)-1))</f>
        <v>2</v>
      </c>
      <c r="I95" s="15" t="n">
        <f aca="false">IF(A95&lt;=0,1/(1-C95),(1+A95)*(1-(C95*(1+A95))^H95)/(1-C95*(1+A95))+'3. The decision'!$B$13*C95^H95/(1-C95))</f>
        <v>3.1965331058835</v>
      </c>
      <c r="J95" s="17" t="n">
        <f aca="false">F95+E95*D95/(1-C95)</f>
        <v>11.2474008054966</v>
      </c>
      <c r="K95" s="15" t="n">
        <f aca="false">F95-G95+E95*D95*I95</f>
        <v>13.2225868218029</v>
      </c>
      <c r="L95" s="17" t="n">
        <f aca="false">'3. The decision'!$B$8*'3. The decision'!$B$5/J95</f>
        <v>41.7554249307527</v>
      </c>
      <c r="M95" s="31" t="n">
        <f aca="false">L95*'3. The decision'!$B$6*'3. The decision'!$B$7*K95</f>
        <v>1058969.15590672</v>
      </c>
      <c r="N95" s="31" t="n">
        <f aca="false">M95*(1+'3. The decision'!$B$19+'3. The decision'!$B$20+'3. The decision'!$B$22)</f>
        <v>1171219.88643283</v>
      </c>
      <c r="O95" s="31" t="n">
        <f aca="false">'3. The decision'!$B$17+'3. The decision'!$B$18*L95*12+M95*('3. The decision'!$B$20*(1-'3. The decision'!$B$21)+'3. The decision'!$B$23)+N95*('3. The decision'!$B$24+'3. The decision'!$B$25)</f>
        <v>605126.144783225</v>
      </c>
      <c r="P95" s="31" t="n">
        <f aca="false">N95-O95</f>
        <v>566093.741649602</v>
      </c>
    </row>
    <row r="96" customFormat="false" ht="15" hidden="false" customHeight="false" outlineLevel="0" collapsed="false">
      <c r="A96" s="27" t="n">
        <f aca="false">89*0.0025</f>
        <v>0.2225</v>
      </c>
      <c r="B96" s="27" t="n">
        <f aca="false">IF(A96&gt;0,MIN('3. The decision'!$B$15,'3. The decision'!$B$29*(A96/'3. The decision'!$B$28)^$B$4),0)</f>
        <v>0.148165508352137</v>
      </c>
      <c r="C96" s="15" t="n">
        <f aca="false">(1-'3. The decision'!$B$27-B96)*(1-'3. The decision'!$B$27)^('3. The decision'!$B$12-1)</f>
        <v>0.556706488846522</v>
      </c>
      <c r="D96" s="15" t="n">
        <f aca="false">1+(1-'3. The decision'!$B$27-B96)*(1-(1-'3. The decision'!$B$27)^('3. The decision'!$B$12-1))/'3. The decision'!$B$27</f>
        <v>4.43801507971941</v>
      </c>
      <c r="E96" s="15" t="n">
        <f aca="false">(1-'3. The decision'!$B$14)*(1-'3. The decision'!$B$27)^('3. The decision'!$B$11-1)</f>
        <v>0.690273454655712</v>
      </c>
      <c r="F96" s="15" t="n">
        <f aca="false">1+(1-'3. The decision'!$B$14)*(1-(1-'3. The decision'!$B$27)^('3. The decision'!$B$11-1))/'3. The decision'!$B$27</f>
        <v>4.28912098262087</v>
      </c>
      <c r="G96" s="15" t="n">
        <f aca="false">(1-(1-'3. The decision'!$B$9*MIN(1,('3. The decision'!$B$10/(52/12)))))+(1-(1-'3. The decision'!$B$9*MAX(0,MIN(1,('3. The decision'!$B$10/(52/12))-1))))*(1-'3. The decision'!$B$14)+(1-(1-'3. The decision'!$B$9*MAX(0,MIN(1,('3. The decision'!$B$10/(52/12))-2))))*(1-'3. The decision'!$B$14)*(1-'3. The decision'!$B$27)</f>
        <v>0.884576923076923</v>
      </c>
      <c r="H96" s="15" t="n">
        <f aca="false">IF(A96&lt;=0,0,MAX(0,ROUNDUP(LN('3. The decision'!$B$13)/LN(1+A96)-0.000000000001,0)-1))</f>
        <v>2</v>
      </c>
      <c r="I96" s="15" t="n">
        <f aca="false">IF(A96&lt;=0,1/(1-C96),(1+A96)*(1-(C96*(1+A96))^H96)/(1-C96*(1+A96))+'3. The decision'!$B$13*C96^H96/(1-C96))</f>
        <v>3.18710041365186</v>
      </c>
      <c r="J96" s="17" t="n">
        <f aca="false">F96+E96*D96/(1-C96)</f>
        <v>11.1997657897618</v>
      </c>
      <c r="K96" s="15" t="n">
        <f aca="false">F96-G96+E96*D96*I96</f>
        <v>13.1680477019863</v>
      </c>
      <c r="L96" s="17" t="n">
        <f aca="false">'3. The decision'!$B$8*'3. The decision'!$B$5/J96</f>
        <v>41.9330197448698</v>
      </c>
      <c r="M96" s="31" t="n">
        <f aca="false">L96*'3. The decision'!$B$6*'3. The decision'!$B$7*K96</f>
        <v>1059086.67870734</v>
      </c>
      <c r="N96" s="31" t="n">
        <f aca="false">M96*(1+'3. The decision'!$B$19+'3. The decision'!$B$20+'3. The decision'!$B$22)</f>
        <v>1171349.86665032</v>
      </c>
      <c r="O96" s="31" t="n">
        <f aca="false">'3. The decision'!$B$17+'3. The decision'!$B$18*L96*12+M96*('3. The decision'!$B$20*(1-'3. The decision'!$B$21)+'3. The decision'!$B$23)+N96*('3. The decision'!$B$24+'3. The decision'!$B$25)</f>
        <v>605407.819791925</v>
      </c>
      <c r="P96" s="31" t="n">
        <f aca="false">N96-O96</f>
        <v>565942.046858391</v>
      </c>
    </row>
    <row r="97" customFormat="false" ht="15" hidden="false" customHeight="false" outlineLevel="0" collapsed="false">
      <c r="A97" s="27" t="n">
        <f aca="false">90*0.0025</f>
        <v>0.225</v>
      </c>
      <c r="B97" s="27" t="n">
        <f aca="false">IF(A97&gt;0,MIN('3. The decision'!$B$15,'3. The decision'!$B$29*(A97/'3. The decision'!$B$28)^$B$4),0)</f>
        <v>0.150838123136145</v>
      </c>
      <c r="C97" s="15" t="n">
        <f aca="false">(1-'3. The decision'!$B$27-B97)*(1-'3. The decision'!$B$27)^('3. The decision'!$B$12-1)</f>
        <v>0.554811930529948</v>
      </c>
      <c r="D97" s="15" t="n">
        <f aca="false">1+(1-'3. The decision'!$B$27-B97)*(1-(1-'3. The decision'!$B$27)^('3. The decision'!$B$12-1))/'3. The decision'!$B$27</f>
        <v>4.42631498246477</v>
      </c>
      <c r="E97" s="15" t="n">
        <f aca="false">(1-'3. The decision'!$B$14)*(1-'3. The decision'!$B$27)^('3. The decision'!$B$11-1)</f>
        <v>0.690273454655712</v>
      </c>
      <c r="F97" s="15" t="n">
        <f aca="false">1+(1-'3. The decision'!$B$14)*(1-(1-'3. The decision'!$B$27)^('3. The decision'!$B$11-1))/'3. The decision'!$B$27</f>
        <v>4.28912098262087</v>
      </c>
      <c r="G97" s="15" t="n">
        <f aca="false">(1-(1-'3. The decision'!$B$9*MIN(1,('3. The decision'!$B$10/(52/12)))))+(1-(1-'3. The decision'!$B$9*MAX(0,MIN(1,('3. The decision'!$B$10/(52/12))-1))))*(1-'3. The decision'!$B$14)+(1-(1-'3. The decision'!$B$9*MAX(0,MIN(1,('3. The decision'!$B$10/(52/12))-2))))*(1-'3. The decision'!$B$14)*(1-'3. The decision'!$B$27)</f>
        <v>0.884576923076923</v>
      </c>
      <c r="H97" s="15" t="n">
        <f aca="false">IF(A97&lt;=0,0,MAX(0,ROUNDUP(LN('3. The decision'!$B$13)/LN(1+A97)-0.000000000001,0)-1))</f>
        <v>2</v>
      </c>
      <c r="I97" s="15" t="n">
        <f aca="false">IF(A97&lt;=0,1/(1-C97),(1+A97)*(1-(C97*(1+A97))^H97)/(1-C97*(1+A97))+'3. The decision'!$B$13*C97^H97/(1-C97))</f>
        <v>3.17768085801</v>
      </c>
      <c r="J97" s="17" t="n">
        <f aca="false">F97+E97*D97/(1-C97)</f>
        <v>11.1522153552472</v>
      </c>
      <c r="K97" s="15" t="n">
        <f aca="false">F97-G97+E97*D97*I97</f>
        <v>13.1135276231385</v>
      </c>
      <c r="L97" s="17" t="n">
        <f aca="false">'3. The decision'!$B$8*'3. The decision'!$B$5/J97</f>
        <v>42.1118123206822</v>
      </c>
      <c r="M97" s="31" t="n">
        <f aca="false">L97*'3. The decision'!$B$6*'3. The decision'!$B$7*K97</f>
        <v>1059198.71016436</v>
      </c>
      <c r="N97" s="31" t="n">
        <f aca="false">M97*(1+'3. The decision'!$B$19+'3. The decision'!$B$20+'3. The decision'!$B$22)</f>
        <v>1171473.77344178</v>
      </c>
      <c r="O97" s="31" t="n">
        <f aca="false">'3. The decision'!$B$17+'3. The decision'!$B$18*L97*12+M97*('3. The decision'!$B$20*(1-'3. The decision'!$B$21)+'3. The decision'!$B$23)+N97*('3. The decision'!$B$24+'3. The decision'!$B$25)</f>
        <v>605690.718192037</v>
      </c>
      <c r="P97" s="31" t="n">
        <f aca="false">N97-O97</f>
        <v>565783.055249747</v>
      </c>
    </row>
    <row r="98" customFormat="false" ht="15" hidden="false" customHeight="false" outlineLevel="0" collapsed="false">
      <c r="A98" s="27" t="n">
        <f aca="false">91*0.0025</f>
        <v>0.2275</v>
      </c>
      <c r="B98" s="27" t="n">
        <f aca="false">IF(A98&gt;0,MIN('3. The decision'!$B$15,'3. The decision'!$B$29*(A98/'3. The decision'!$B$28)^$B$4),0)</f>
        <v>0.153528615134042</v>
      </c>
      <c r="C98" s="15" t="n">
        <f aca="false">(1-'3. The decision'!$B$27-B98)*(1-'3. The decision'!$B$27)^('3. The decision'!$B$12-1)</f>
        <v>0.552904699446444</v>
      </c>
      <c r="D98" s="15" t="n">
        <f aca="false">1+(1-'3. The decision'!$B$27-B98)*(1-(1-'3. The decision'!$B$27)^('3. The decision'!$B$12-1))/'3. The decision'!$B$27</f>
        <v>4.41453662284985</v>
      </c>
      <c r="E98" s="15" t="n">
        <f aca="false">(1-'3. The decision'!$B$14)*(1-'3. The decision'!$B$27)^('3. The decision'!$B$11-1)</f>
        <v>0.690273454655712</v>
      </c>
      <c r="F98" s="15" t="n">
        <f aca="false">1+(1-'3. The decision'!$B$14)*(1-(1-'3. The decision'!$B$27)^('3. The decision'!$B$11-1))/'3. The decision'!$B$27</f>
        <v>4.28912098262087</v>
      </c>
      <c r="G98" s="15" t="n">
        <f aca="false">(1-(1-'3. The decision'!$B$9*MIN(1,('3. The decision'!$B$10/(52/12)))))+(1-(1-'3. The decision'!$B$9*MAX(0,MIN(1,('3. The decision'!$B$10/(52/12))-1))))*(1-'3. The decision'!$B$14)+(1-(1-'3. The decision'!$B$9*MAX(0,MIN(1,('3. The decision'!$B$10/(52/12))-2))))*(1-'3. The decision'!$B$14)*(1-'3. The decision'!$B$27)</f>
        <v>0.884576923076923</v>
      </c>
      <c r="H98" s="15" t="n">
        <f aca="false">IF(A98&lt;=0,0,MAX(0,ROUNDUP(LN('3. The decision'!$B$13)/LN(1+A98)-0.000000000001,0)-1))</f>
        <v>2</v>
      </c>
      <c r="I98" s="15" t="n">
        <f aca="false">IF(A98&lt;=0,1/(1-C98),(1+A98)*(1-(C98*(1+A98))^H98)/(1-C98*(1+A98))+'3. The decision'!$B$13*C98^H98/(1-C98))</f>
        <v>3.16827556458053</v>
      </c>
      <c r="J98" s="17" t="n">
        <f aca="false">F98+E98*D98/(1-C98)</f>
        <v>11.1047538948566</v>
      </c>
      <c r="K98" s="15" t="n">
        <f aca="false">F98-G98+E98*D98*I98</f>
        <v>13.0590319971488</v>
      </c>
      <c r="L98" s="17" t="n">
        <f aca="false">'3. The decision'!$B$8*'3. The decision'!$B$5/J98</f>
        <v>42.2917972290701</v>
      </c>
      <c r="M98" s="31" t="n">
        <f aca="false">L98*'3. The decision'!$B$6*'3. The decision'!$B$7*K98</f>
        <v>1059305.1971226</v>
      </c>
      <c r="N98" s="31" t="n">
        <f aca="false">M98*(1+'3. The decision'!$B$19+'3. The decision'!$B$20+'3. The decision'!$B$22)</f>
        <v>1171591.54801759</v>
      </c>
      <c r="O98" s="31" t="n">
        <f aca="false">'3. The decision'!$B$17+'3. The decision'!$B$18*L98*12+M98*('3. The decision'!$B$20*(1-'3. The decision'!$B$21)+'3. The decision'!$B$23)+N98*('3. The decision'!$B$24+'3. The decision'!$B$25)</f>
        <v>605974.826038419</v>
      </c>
      <c r="P98" s="31" t="n">
        <f aca="false">N98-O98</f>
        <v>565616.721979173</v>
      </c>
    </row>
    <row r="99" customFormat="false" ht="15" hidden="false" customHeight="false" outlineLevel="0" collapsed="false">
      <c r="A99" s="27" t="n">
        <f aca="false">92*0.0025</f>
        <v>0.23</v>
      </c>
      <c r="B99" s="27" t="n">
        <f aca="false">IF(A99&gt;0,MIN('3. The decision'!$B$15,'3. The decision'!$B$29*(A99/'3. The decision'!$B$28)^$B$4),0)</f>
        <v>0.156236905501839</v>
      </c>
      <c r="C99" s="15" t="n">
        <f aca="false">(1-'3. The decision'!$B$27-B99)*(1-'3. The decision'!$B$27)^('3. The decision'!$B$12-1)</f>
        <v>0.550984851486793</v>
      </c>
      <c r="D99" s="15" t="n">
        <f aca="false">1+(1-'3. The decision'!$B$27-B99)*(1-(1-'3. The decision'!$B$27)^('3. The decision'!$B$12-1))/'3. The decision'!$B$27</f>
        <v>4.40268034603561</v>
      </c>
      <c r="E99" s="15" t="n">
        <f aca="false">(1-'3. The decision'!$B$14)*(1-'3. The decision'!$B$27)^('3. The decision'!$B$11-1)</f>
        <v>0.690273454655712</v>
      </c>
      <c r="F99" s="15" t="n">
        <f aca="false">1+(1-'3. The decision'!$B$14)*(1-(1-'3. The decision'!$B$27)^('3. The decision'!$B$11-1))/'3. The decision'!$B$27</f>
        <v>4.28912098262087</v>
      </c>
      <c r="G99" s="15" t="n">
        <f aca="false">(1-(1-'3. The decision'!$B$9*MIN(1,('3. The decision'!$B$10/(52/12)))))+(1-(1-'3. The decision'!$B$9*MAX(0,MIN(1,('3. The decision'!$B$10/(52/12))-1))))*(1-'3. The decision'!$B$14)+(1-(1-'3. The decision'!$B$9*MAX(0,MIN(1,('3. The decision'!$B$10/(52/12))-2))))*(1-'3. The decision'!$B$14)*(1-'3. The decision'!$B$27)</f>
        <v>0.884576923076923</v>
      </c>
      <c r="H99" s="15" t="n">
        <f aca="false">IF(A99&lt;=0,0,MAX(0,ROUNDUP(LN('3. The decision'!$B$13)/LN(1+A99)-0.000000000001,0)-1))</f>
        <v>2</v>
      </c>
      <c r="I99" s="15" t="n">
        <f aca="false">IF(A99&lt;=0,1/(1-C99),(1+A99)*(1-(C99*(1+A99))^H99)/(1-C99*(1+A99))+'3. The decision'!$B$13*C99^H99/(1-C99))</f>
        <v>3.15888561536431</v>
      </c>
      <c r="J99" s="17" t="n">
        <f aca="false">F99+E99*D99/(1-C99)</f>
        <v>11.0573856664869</v>
      </c>
      <c r="K99" s="15" t="n">
        <f aca="false">F99-G99+E99*D99*I99</f>
        <v>13.0045660413198</v>
      </c>
      <c r="L99" s="17" t="n">
        <f aca="false">'3. The decision'!$B$8*'3. The decision'!$B$5/J99</f>
        <v>42.4729691235606</v>
      </c>
      <c r="M99" s="31" t="n">
        <f aca="false">L99*'3. The decision'!$B$6*'3. The decision'!$B$7*K99</f>
        <v>1059406.08269058</v>
      </c>
      <c r="N99" s="31" t="n">
        <f aca="false">M99*(1+'3. The decision'!$B$19+'3. The decision'!$B$20+'3. The decision'!$B$22)</f>
        <v>1171703.12745578</v>
      </c>
      <c r="O99" s="31" t="n">
        <f aca="false">'3. The decision'!$B$17+'3. The decision'!$B$18*L99*12+M99*('3. The decision'!$B$20*(1-'3. The decision'!$B$21)+'3. The decision'!$B$23)+N99*('3. The decision'!$B$24+'3. The decision'!$B$25)</f>
        <v>606260.129109004</v>
      </c>
      <c r="P99" s="31" t="n">
        <f aca="false">N99-O99</f>
        <v>565442.998346779</v>
      </c>
    </row>
    <row r="100" customFormat="false" ht="15" hidden="false" customHeight="false" outlineLevel="0" collapsed="false">
      <c r="A100" s="27" t="n">
        <f aca="false">93*0.0025</f>
        <v>0.2325</v>
      </c>
      <c r="B100" s="27" t="n">
        <f aca="false">IF(A100&gt;0,MIN('3. The decision'!$B$15,'3. The decision'!$B$29*(A100/'3. The decision'!$B$28)^$B$4),0)</f>
        <v>0.158962916599347</v>
      </c>
      <c r="C100" s="15" t="n">
        <f aca="false">(1-'3. The decision'!$B$27-B100)*(1-'3. The decision'!$B$27)^('3. The decision'!$B$12-1)</f>
        <v>0.549052441688433</v>
      </c>
      <c r="D100" s="15" t="n">
        <f aca="false">1+(1-'3. The decision'!$B$27-B100)*(1-(1-'3. The decision'!$B$27)^('3. The decision'!$B$12-1))/'3. The decision'!$B$27</f>
        <v>4.39074649191308</v>
      </c>
      <c r="E100" s="15" t="n">
        <f aca="false">(1-'3. The decision'!$B$14)*(1-'3. The decision'!$B$27)^('3. The decision'!$B$11-1)</f>
        <v>0.690273454655712</v>
      </c>
      <c r="F100" s="15" t="n">
        <f aca="false">1+(1-'3. The decision'!$B$14)*(1-(1-'3. The decision'!$B$27)^('3. The decision'!$B$11-1))/'3. The decision'!$B$27</f>
        <v>4.28912098262087</v>
      </c>
      <c r="G100" s="15" t="n">
        <f aca="false">(1-(1-'3. The decision'!$B$9*MIN(1,('3. The decision'!$B$10/(52/12)))))+(1-(1-'3. The decision'!$B$9*MAX(0,MIN(1,('3. The decision'!$B$10/(52/12))-1))))*(1-'3. The decision'!$B$14)+(1-(1-'3. The decision'!$B$9*MAX(0,MIN(1,('3. The decision'!$B$10/(52/12))-2))))*(1-'3. The decision'!$B$14)*(1-'3. The decision'!$B$27)</f>
        <v>0.884576923076923</v>
      </c>
      <c r="H100" s="15" t="n">
        <f aca="false">IF(A100&lt;=0,0,MAX(0,ROUNDUP(LN('3. The decision'!$B$13)/LN(1+A100)-0.000000000001,0)-1))</f>
        <v>2</v>
      </c>
      <c r="I100" s="15" t="n">
        <f aca="false">IF(A100&lt;=0,1/(1-C100),(1+A100)*(1-(C100*(1+A100))^H100)/(1-C100*(1+A100))+'3. The decision'!$B$13*C100^H100/(1-C100))</f>
        <v>3.14951204963192</v>
      </c>
      <c r="J100" s="17" t="n">
        <f aca="false">F100+E100*D100/(1-C100)</f>
        <v>11.0101147958222</v>
      </c>
      <c r="K100" s="15" t="n">
        <f aca="false">F100-G100+E100*D100*I100</f>
        <v>12.9501347827778</v>
      </c>
      <c r="L100" s="17" t="n">
        <f aca="false">'3. The decision'!$B$8*'3. The decision'!$B$5/J100</f>
        <v>42.6553227381612</v>
      </c>
      <c r="M100" s="31" t="n">
        <f aca="false">L100*'3. The decision'!$B$6*'3. The decision'!$B$7*K100</f>
        <v>1059501.30628488</v>
      </c>
      <c r="N100" s="31" t="n">
        <f aca="false">M100*(1+'3. The decision'!$B$19+'3. The decision'!$B$20+'3. The decision'!$B$22)</f>
        <v>1171808.44475108</v>
      </c>
      <c r="O100" s="31" t="n">
        <f aca="false">'3. The decision'!$B$17+'3. The decision'!$B$18*L100*12+M100*('3. The decision'!$B$20*(1-'3. The decision'!$B$21)+'3. The decision'!$B$23)+N100*('3. The decision'!$B$24+'3. The decision'!$B$25)</f>
        <v>606546.612906283</v>
      </c>
      <c r="P100" s="31" t="n">
        <f aca="false">N100-O100</f>
        <v>565261.831844793</v>
      </c>
    </row>
    <row r="101" customFormat="false" ht="15" hidden="false" customHeight="false" outlineLevel="0" collapsed="false">
      <c r="A101" s="27" t="n">
        <f aca="false">94*0.0025</f>
        <v>0.235</v>
      </c>
      <c r="B101" s="27" t="n">
        <f aca="false">IF(A101&gt;0,MIN('3. The decision'!$B$15,'3. The decision'!$B$29*(A101/'3. The decision'!$B$28)^$B$4),0)</f>
        <v>0.161706571959007</v>
      </c>
      <c r="C101" s="15" t="n">
        <f aca="false">(1-'3. The decision'!$B$27-B101)*(1-'3. The decision'!$B$27)^('3. The decision'!$B$12-1)</f>
        <v>0.547107524257548</v>
      </c>
      <c r="D101" s="15" t="n">
        <f aca="false">1+(1-'3. The decision'!$B$27-B101)*(1-(1-'3. The decision'!$B$27)^('3. The decision'!$B$12-1))/'3. The decision'!$B$27</f>
        <v>4.37873539523977</v>
      </c>
      <c r="E101" s="15" t="n">
        <f aca="false">(1-'3. The decision'!$B$14)*(1-'3. The decision'!$B$27)^('3. The decision'!$B$11-1)</f>
        <v>0.690273454655712</v>
      </c>
      <c r="F101" s="15" t="n">
        <f aca="false">1+(1-'3. The decision'!$B$14)*(1-(1-'3. The decision'!$B$27)^('3. The decision'!$B$11-1))/'3. The decision'!$B$27</f>
        <v>4.28912098262087</v>
      </c>
      <c r="G101" s="15" t="n">
        <f aca="false">(1-(1-'3. The decision'!$B$9*MIN(1,('3. The decision'!$B$10/(52/12)))))+(1-(1-'3. The decision'!$B$9*MAX(0,MIN(1,('3. The decision'!$B$10/(52/12))-1))))*(1-'3. The decision'!$B$14)+(1-(1-'3. The decision'!$B$9*MAX(0,MIN(1,('3. The decision'!$B$10/(52/12))-2))))*(1-'3. The decision'!$B$14)*(1-'3. The decision'!$B$27)</f>
        <v>0.884576923076923</v>
      </c>
      <c r="H101" s="15" t="n">
        <f aca="false">IF(A101&lt;=0,0,MAX(0,ROUNDUP(LN('3. The decision'!$B$13)/LN(1+A101)-0.000000000001,0)-1))</f>
        <v>2</v>
      </c>
      <c r="I101" s="15" t="n">
        <f aca="false">IF(A101&lt;=0,1/(1-C101),(1+A101)*(1-(C101*(1+A101))^H101)/(1-C101*(1+A101))+'3. The decision'!$B$13*C101^H101/(1-C101))</f>
        <v>3.14015586480204</v>
      </c>
      <c r="J101" s="17" t="n">
        <f aca="false">F101+E101*D101/(1-C101)</f>
        <v>10.9629452790842</v>
      </c>
      <c r="K101" s="15" t="n">
        <f aca="false">F101-G101+E101*D101*I101</f>
        <v>12.8957430628224</v>
      </c>
      <c r="L101" s="17" t="n">
        <f aca="false">'3. The decision'!$B$8*'3. The decision'!$B$5/J101</f>
        <v>42.8388528852743</v>
      </c>
      <c r="M101" s="31" t="n">
        <f aca="false">L101*'3. The decision'!$B$6*'3. The decision'!$B$7*K101</f>
        <v>1059590.80367433</v>
      </c>
      <c r="N101" s="31" t="n">
        <f aca="false">M101*(1+'3. The decision'!$B$19+'3. The decision'!$B$20+'3. The decision'!$B$22)</f>
        <v>1171907.42886381</v>
      </c>
      <c r="O101" s="31" t="n">
        <f aca="false">'3. The decision'!$B$17+'3. The decision'!$B$18*L101*12+M101*('3. The decision'!$B$20*(1-'3. The decision'!$B$21)+'3. The decision'!$B$23)+N101*('3. The decision'!$B$24+'3. The decision'!$B$25)</f>
        <v>606834.262658908</v>
      </c>
      <c r="P101" s="31" t="n">
        <f aca="false">N101-O101</f>
        <v>565073.166204906</v>
      </c>
    </row>
    <row r="102" customFormat="false" ht="15" hidden="false" customHeight="false" outlineLevel="0" collapsed="false">
      <c r="A102" s="27" t="n">
        <f aca="false">95*0.0025</f>
        <v>0.2375</v>
      </c>
      <c r="B102" s="27" t="n">
        <f aca="false">IF(A102&gt;0,MIN('3. The decision'!$B$15,'3. The decision'!$B$29*(A102/'3. The decision'!$B$28)^$B$4),0)</f>
        <v>0.164467796255854</v>
      </c>
      <c r="C102" s="15" t="n">
        <f aca="false">(1-'3. The decision'!$B$27-B102)*(1-'3. The decision'!$B$27)^('3. The decision'!$B$12-1)</f>
        <v>0.545150152590362</v>
      </c>
      <c r="D102" s="15" t="n">
        <f aca="false">1+(1-'3. The decision'!$B$27-B102)*(1-(1-'3. The decision'!$B$27)^('3. The decision'!$B$12-1))/'3. The decision'!$B$27</f>
        <v>4.36664738577119</v>
      </c>
      <c r="E102" s="15" t="n">
        <f aca="false">(1-'3. The decision'!$B$14)*(1-'3. The decision'!$B$27)^('3. The decision'!$B$11-1)</f>
        <v>0.690273454655712</v>
      </c>
      <c r="F102" s="15" t="n">
        <f aca="false">1+(1-'3. The decision'!$B$14)*(1-(1-'3. The decision'!$B$27)^('3. The decision'!$B$11-1))/'3. The decision'!$B$27</f>
        <v>4.28912098262087</v>
      </c>
      <c r="G102" s="15" t="n">
        <f aca="false">(1-(1-'3. The decision'!$B$9*MIN(1,('3. The decision'!$B$10/(52/12)))))+(1-(1-'3. The decision'!$B$9*MAX(0,MIN(1,('3. The decision'!$B$10/(52/12))-1))))*(1-'3. The decision'!$B$14)+(1-(1-'3. The decision'!$B$9*MAX(0,MIN(1,('3. The decision'!$B$10/(52/12))-2))))*(1-'3. The decision'!$B$14)*(1-'3. The decision'!$B$27)</f>
        <v>0.884576923076923</v>
      </c>
      <c r="H102" s="15" t="n">
        <f aca="false">IF(A102&lt;=0,0,MAX(0,ROUNDUP(LN('3. The decision'!$B$13)/LN(1+A102)-0.000000000001,0)-1))</f>
        <v>2</v>
      </c>
      <c r="I102" s="15" t="n">
        <f aca="false">IF(A102&lt;=0,1/(1-C102),(1+A102)*(1-(C102*(1+A102))^H102)/(1-C102*(1+A102))+'3. The decision'!$B$13*C102^H102/(1-C102))</f>
        <v>3.13081801730665</v>
      </c>
      <c r="J102" s="17" t="n">
        <f aca="false">F102+E102*D102/(1-C102)</f>
        <v>10.9158809857413</v>
      </c>
      <c r="K102" s="15" t="n">
        <f aca="false">F102-G102+E102*D102*I102</f>
        <v>12.8413955412143</v>
      </c>
      <c r="L102" s="17" t="n">
        <f aca="false">'3. The decision'!$B$8*'3. The decision'!$B$5/J102</f>
        <v>43.0235544536864</v>
      </c>
      <c r="M102" s="31" t="n">
        <f aca="false">L102*'3. The decision'!$B$6*'3. The decision'!$B$7*K102</f>
        <v>1059674.50702433</v>
      </c>
      <c r="N102" s="31" t="n">
        <f aca="false">M102*(1+'3. The decision'!$B$19+'3. The decision'!$B$20+'3. The decision'!$B$22)</f>
        <v>1172000.00476891</v>
      </c>
      <c r="O102" s="31" t="n">
        <f aca="false">'3. The decision'!$B$17+'3. The decision'!$B$18*L102*12+M102*('3. The decision'!$B$20*(1-'3. The decision'!$B$21)+'3. The decision'!$B$23)+N102*('3. The decision'!$B$24+'3. The decision'!$B$25)</f>
        <v>607123.06332341</v>
      </c>
      <c r="P102" s="31" t="n">
        <f aca="false">N102-O102</f>
        <v>564876.941445497</v>
      </c>
    </row>
    <row r="103" customFormat="false" ht="15" hidden="false" customHeight="false" outlineLevel="0" collapsed="false">
      <c r="A103" s="27" t="n">
        <f aca="false">96*0.0025</f>
        <v>0.24</v>
      </c>
      <c r="B103" s="27" t="n">
        <f aca="false">IF(A103&gt;0,MIN('3. The decision'!$B$15,'3. The decision'!$B$29*(A103/'3. The decision'!$B$28)^$B$4),0)</f>
        <v>0.167246515278557</v>
      </c>
      <c r="C103" s="15" t="n">
        <f aca="false">(1-'3. The decision'!$B$27-B103)*(1-'3. The decision'!$B$27)^('3. The decision'!$B$12-1)</f>
        <v>0.543180379293669</v>
      </c>
      <c r="D103" s="15" t="n">
        <f aca="false">1+(1-'3. The decision'!$B$27-B103)*(1-(1-'3. The decision'!$B$27)^('3. The decision'!$B$12-1))/'3. The decision'!$B$27</f>
        <v>4.35448278838758</v>
      </c>
      <c r="E103" s="15" t="n">
        <f aca="false">(1-'3. The decision'!$B$14)*(1-'3. The decision'!$B$27)^('3. The decision'!$B$11-1)</f>
        <v>0.690273454655712</v>
      </c>
      <c r="F103" s="15" t="n">
        <f aca="false">1+(1-'3. The decision'!$B$14)*(1-(1-'3. The decision'!$B$27)^('3. The decision'!$B$11-1))/'3. The decision'!$B$27</f>
        <v>4.28912098262087</v>
      </c>
      <c r="G103" s="15" t="n">
        <f aca="false">(1-(1-'3. The decision'!$B$9*MIN(1,('3. The decision'!$B$10/(52/12)))))+(1-(1-'3. The decision'!$B$9*MAX(0,MIN(1,('3. The decision'!$B$10/(52/12))-1))))*(1-'3. The decision'!$B$14)+(1-(1-'3. The decision'!$B$9*MAX(0,MIN(1,('3. The decision'!$B$10/(52/12))-2))))*(1-'3. The decision'!$B$14)*(1-'3. The decision'!$B$27)</f>
        <v>0.884576923076923</v>
      </c>
      <c r="H103" s="15" t="n">
        <f aca="false">IF(A103&lt;=0,0,MAX(0,ROUNDUP(LN('3. The decision'!$B$13)/LN(1+A103)-0.000000000001,0)-1))</f>
        <v>2</v>
      </c>
      <c r="I103" s="15" t="n">
        <f aca="false">IF(A103&lt;=0,1/(1-C103),(1+A103)*(1-(C103*(1+A103))^H103)/(1-C103*(1+A103))+'3. The decision'!$B$13*C103^H103/(1-C103))</f>
        <v>3.1214994234434</v>
      </c>
      <c r="J103" s="17" t="n">
        <f aca="false">F103+E103*D103/(1-C103)</f>
        <v>10.8689256611756</v>
      </c>
      <c r="K103" s="15" t="n">
        <f aca="false">F103-G103+E103*D103*I103</f>
        <v>12.7870967004027</v>
      </c>
      <c r="L103" s="17" t="n">
        <f aca="false">'3. The decision'!$B$8*'3. The decision'!$B$5/J103</f>
        <v>43.2094224066301</v>
      </c>
      <c r="M103" s="31" t="n">
        <f aca="false">L103*'3. The decision'!$B$6*'3. The decision'!$B$7*K103</f>
        <v>1059752.34494106</v>
      </c>
      <c r="N103" s="31" t="n">
        <f aca="false">M103*(1+'3. The decision'!$B$19+'3. The decision'!$B$20+'3. The decision'!$B$22)</f>
        <v>1172086.09350481</v>
      </c>
      <c r="O103" s="31" t="n">
        <f aca="false">'3. The decision'!$B$17+'3. The decision'!$B$18*L103*12+M103*('3. The decision'!$B$20*(1-'3. The decision'!$B$21)+'3. The decision'!$B$23)+N103*('3. The decision'!$B$24+'3. The decision'!$B$25)</f>
        <v>607412.99958603</v>
      </c>
      <c r="P103" s="31" t="n">
        <f aca="false">N103-O103</f>
        <v>564673.09391878</v>
      </c>
    </row>
    <row r="104" customFormat="false" ht="15" hidden="false" customHeight="false" outlineLevel="0" collapsed="false">
      <c r="A104" s="27" t="n">
        <f aca="false">97*0.0025</f>
        <v>0.2425</v>
      </c>
      <c r="B104" s="27" t="n">
        <f aca="false">IF(A104&gt;0,MIN('3. The decision'!$B$15,'3. The decision'!$B$29*(A104/'3. The decision'!$B$28)^$B$4),0)</f>
        <v>0.170042655901487</v>
      </c>
      <c r="C104" s="15" t="n">
        <f aca="false">(1-'3. The decision'!$B$27-B104)*(1-'3. The decision'!$B$27)^('3. The decision'!$B$12-1)</f>
        <v>0.541198256204632</v>
      </c>
      <c r="D104" s="15" t="n">
        <f aca="false">1+(1-'3. The decision'!$B$27-B104)*(1-(1-'3. The decision'!$B$27)^('3. The decision'!$B$12-1))/'3. The decision'!$B$27</f>
        <v>4.34224192321626</v>
      </c>
      <c r="E104" s="15" t="n">
        <f aca="false">(1-'3. The decision'!$B$14)*(1-'3. The decision'!$B$27)^('3. The decision'!$B$11-1)</f>
        <v>0.690273454655712</v>
      </c>
      <c r="F104" s="15" t="n">
        <f aca="false">1+(1-'3. The decision'!$B$14)*(1-(1-'3. The decision'!$B$27)^('3. The decision'!$B$11-1))/'3. The decision'!$B$27</f>
        <v>4.28912098262087</v>
      </c>
      <c r="G104" s="15" t="n">
        <f aca="false">(1-(1-'3. The decision'!$B$9*MIN(1,('3. The decision'!$B$10/(52/12)))))+(1-(1-'3. The decision'!$B$9*MAX(0,MIN(1,('3. The decision'!$B$10/(52/12))-1))))*(1-'3. The decision'!$B$14)+(1-(1-'3. The decision'!$B$9*MAX(0,MIN(1,('3. The decision'!$B$10/(52/12))-2))))*(1-'3. The decision'!$B$14)*(1-'3. The decision'!$B$27)</f>
        <v>0.884576923076923</v>
      </c>
      <c r="H104" s="15" t="n">
        <f aca="false">IF(A104&lt;=0,0,MAX(0,ROUNDUP(LN('3. The decision'!$B$13)/LN(1+A104)-0.000000000001,0)-1))</f>
        <v>2</v>
      </c>
      <c r="I104" s="15" t="n">
        <f aca="false">IF(A104&lt;=0,1/(1-C104),(1+A104)*(1-(C104*(1+A104))^H104)/(1-C104*(1+A104))+'3. The decision'!$B$13*C104^H104/(1-C104))</f>
        <v>3.11220096021508</v>
      </c>
      <c r="J104" s="17" t="n">
        <f aca="false">F104+E104*D104/(1-C104)</f>
        <v>10.8220829293091</v>
      </c>
      <c r="K104" s="15" t="n">
        <f aca="false">F104-G104+E104*D104*I104</f>
        <v>12.7328508496927</v>
      </c>
      <c r="L104" s="17" t="n">
        <f aca="false">'3. The decision'!$B$8*'3. The decision'!$B$5/J104</f>
        <v>43.3964517799146</v>
      </c>
      <c r="M104" s="31" t="n">
        <f aca="false">L104*'3. The decision'!$B$6*'3. The decision'!$B$7*K104</f>
        <v>1059824.24251589</v>
      </c>
      <c r="N104" s="31" t="n">
        <f aca="false">M104*(1+'3. The decision'!$B$19+'3. The decision'!$B$20+'3. The decision'!$B$22)</f>
        <v>1172165.61222257</v>
      </c>
      <c r="O104" s="31" t="n">
        <f aca="false">'3. The decision'!$B$17+'3. The decision'!$B$18*L104*12+M104*('3. The decision'!$B$20*(1-'3. The decision'!$B$21)+'3. The decision'!$B$23)+N104*('3. The decision'!$B$24+'3. The decision'!$B$25)</f>
        <v>607704.055864659</v>
      </c>
      <c r="P104" s="31" t="n">
        <f aca="false">N104-O104</f>
        <v>564461.556357912</v>
      </c>
    </row>
    <row r="105" customFormat="false" ht="15" hidden="false" customHeight="false" outlineLevel="0" collapsed="false">
      <c r="A105" s="27" t="n">
        <f aca="false">98*0.0025</f>
        <v>0.245</v>
      </c>
      <c r="B105" s="27" t="n">
        <f aca="false">IF(A105&gt;0,MIN('3. The decision'!$B$15,'3. The decision'!$B$29*(A105/'3. The decision'!$B$28)^$B$4),0)</f>
        <v>0.172856146057772</v>
      </c>
      <c r="C105" s="15" t="n">
        <f aca="false">(1-'3. The decision'!$B$27-B105)*(1-'3. The decision'!$B$27)^('3. The decision'!$B$12-1)</f>
        <v>0.539203834409884</v>
      </c>
      <c r="D105" s="15" t="n">
        <f aca="false">1+(1-'3. The decision'!$B$27-B105)*(1-(1-'3. The decision'!$B$27)^('3. The decision'!$B$12-1))/'3. The decision'!$B$27</f>
        <v>4.32992510574954</v>
      </c>
      <c r="E105" s="15" t="n">
        <f aca="false">(1-'3. The decision'!$B$14)*(1-'3. The decision'!$B$27)^('3. The decision'!$B$11-1)</f>
        <v>0.690273454655712</v>
      </c>
      <c r="F105" s="15" t="n">
        <f aca="false">1+(1-'3. The decision'!$B$14)*(1-(1-'3. The decision'!$B$27)^('3. The decision'!$B$11-1))/'3. The decision'!$B$27</f>
        <v>4.28912098262087</v>
      </c>
      <c r="G105" s="15" t="n">
        <f aca="false">(1-(1-'3. The decision'!$B$9*MIN(1,('3. The decision'!$B$10/(52/12)))))+(1-(1-'3. The decision'!$B$9*MAX(0,MIN(1,('3. The decision'!$B$10/(52/12))-1))))*(1-'3. The decision'!$B$14)+(1-(1-'3. The decision'!$B$9*MAX(0,MIN(1,('3. The decision'!$B$10/(52/12))-2))))*(1-'3. The decision'!$B$14)*(1-'3. The decision'!$B$27)</f>
        <v>0.884576923076923</v>
      </c>
      <c r="H105" s="15" t="n">
        <f aca="false">IF(A105&lt;=0,0,MAX(0,ROUNDUP(LN('3. The decision'!$B$13)/LN(1+A105)-0.000000000001,0)-1))</f>
        <v>2</v>
      </c>
      <c r="I105" s="15" t="n">
        <f aca="false">IF(A105&lt;=0,1/(1-C105),(1+A105)*(1-(C105*(1+A105))^H105)/(1-C105*(1+A105))+'3. The decision'!$B$13*C105^H105/(1-C105))</f>
        <v>3.1029234661564</v>
      </c>
      <c r="J105" s="17" t="n">
        <f aca="false">F105+E105*D105/(1-C105)</f>
        <v>10.7753562951882</v>
      </c>
      <c r="K105" s="15" t="n">
        <f aca="false">F105-G105+E105*D105*I105</f>
        <v>12.6786621293522</v>
      </c>
      <c r="L105" s="17" t="n">
        <f aca="false">'3. The decision'!$B$8*'3. The decision'!$B$5/J105</f>
        <v>43.584637680122</v>
      </c>
      <c r="M105" s="31" t="n">
        <f aca="false">L105*'3. The decision'!$B$6*'3. The decision'!$B$7*K105</f>
        <v>1059890.12136977</v>
      </c>
      <c r="N105" s="31" t="n">
        <f aca="false">M105*(1+'3. The decision'!$B$19+'3. The decision'!$B$20+'3. The decision'!$B$22)</f>
        <v>1172238.47423497</v>
      </c>
      <c r="O105" s="31" t="n">
        <f aca="false">'3. The decision'!$B$17+'3. The decision'!$B$18*L105*12+M105*('3. The decision'!$B$20*(1-'3. The decision'!$B$21)+'3. The decision'!$B$23)+N105*('3. The decision'!$B$24+'3. The decision'!$B$25)</f>
        <v>607996.216310888</v>
      </c>
      <c r="P105" s="31" t="n">
        <f aca="false">N105-O105</f>
        <v>564242.257924081</v>
      </c>
    </row>
    <row r="106" customFormat="false" ht="15" hidden="false" customHeight="false" outlineLevel="0" collapsed="false">
      <c r="A106" s="27" t="n">
        <f aca="false">99*0.0025</f>
        <v>0.2475</v>
      </c>
      <c r="B106" s="27" t="n">
        <f aca="false">IF(A106&gt;0,MIN('3. The decision'!$B$15,'3. The decision'!$B$29*(A106/'3. The decision'!$B$28)^$B$4),0)</f>
        <v>0.175686914713282</v>
      </c>
      <c r="C106" s="15" t="n">
        <f aca="false">(1-'3. The decision'!$B$27-B106)*(1-'3. The decision'!$B$27)^('3. The decision'!$B$12-1)</f>
        <v>0.537197164263971</v>
      </c>
      <c r="D106" s="15" t="n">
        <f aca="false">1+(1-'3. The decision'!$B$27-B106)*(1-(1-'3. The decision'!$B$27)^('3. The decision'!$B$12-1))/'3. The decision'!$B$27</f>
        <v>4.31753264695861</v>
      </c>
      <c r="E106" s="15" t="n">
        <f aca="false">(1-'3. The decision'!$B$14)*(1-'3. The decision'!$B$27)^('3. The decision'!$B$11-1)</f>
        <v>0.690273454655712</v>
      </c>
      <c r="F106" s="15" t="n">
        <f aca="false">1+(1-'3. The decision'!$B$14)*(1-(1-'3. The decision'!$B$27)^('3. The decision'!$B$11-1))/'3. The decision'!$B$27</f>
        <v>4.28912098262087</v>
      </c>
      <c r="G106" s="15" t="n">
        <f aca="false">(1-(1-'3. The decision'!$B$9*MIN(1,('3. The decision'!$B$10/(52/12)))))+(1-(1-'3. The decision'!$B$9*MAX(0,MIN(1,('3. The decision'!$B$10/(52/12))-1))))*(1-'3. The decision'!$B$14)+(1-(1-'3. The decision'!$B$9*MAX(0,MIN(1,('3. The decision'!$B$10/(52/12))-2))))*(1-'3. The decision'!$B$14)*(1-'3. The decision'!$B$27)</f>
        <v>0.884576923076923</v>
      </c>
      <c r="H106" s="15" t="n">
        <f aca="false">IF(A106&lt;=0,0,MAX(0,ROUNDUP(LN('3. The decision'!$B$13)/LN(1+A106)-0.000000000001,0)-1))</f>
        <v>2</v>
      </c>
      <c r="I106" s="15" t="n">
        <f aca="false">IF(A106&lt;=0,1/(1-C106),(1+A106)*(1-(C106*(1+A106))^H106)/(1-C106*(1+A106))+'3. The decision'!$B$13*C106^H106/(1-C106))</f>
        <v>3.0936677421482</v>
      </c>
      <c r="J106" s="17" t="n">
        <f aca="false">F106+E106*D106/(1-C106)</f>
        <v>10.7287491475287</v>
      </c>
      <c r="K106" s="15" t="n">
        <f aca="false">F106-G106+E106*D106*I106</f>
        <v>12.62453451466</v>
      </c>
      <c r="L106" s="17" t="n">
        <f aca="false">'3. The decision'!$B$8*'3. The decision'!$B$5/J106</f>
        <v>43.7739752828669</v>
      </c>
      <c r="M106" s="31" t="n">
        <f aca="false">L106*'3. The decision'!$B$6*'3. The decision'!$B$7*K106</f>
        <v>1059949.89969784</v>
      </c>
      <c r="N106" s="31" t="n">
        <f aca="false">M106*(1+'3. The decision'!$B$19+'3. The decision'!$B$20+'3. The decision'!$B$22)</f>
        <v>1172304.58906581</v>
      </c>
      <c r="O106" s="31" t="n">
        <f aca="false">'3. The decision'!$B$17+'3. The decision'!$B$18*L106*12+M106*('3. The decision'!$B$20*(1-'3. The decision'!$B$21)+'3. The decision'!$B$23)+N106*('3. The decision'!$B$24+'3. The decision'!$B$25)</f>
        <v>608289.464812167</v>
      </c>
      <c r="P106" s="31" t="n">
        <f aca="false">N106-O106</f>
        <v>564015.124253644</v>
      </c>
    </row>
    <row r="107" customFormat="false" ht="15" hidden="false" customHeight="false" outlineLevel="0" collapsed="false">
      <c r="A107" s="27" t="n">
        <f aca="false">100*0.0025</f>
        <v>0.25</v>
      </c>
      <c r="B107" s="27" t="n">
        <f aca="false">IF(A107&gt;0,MIN('3. The decision'!$B$15,'3. The decision'!$B$29*(A107/'3. The decision'!$B$28)^$B$4),0)</f>
        <v>0.17853489184152</v>
      </c>
      <c r="C107" s="15" t="n">
        <f aca="false">(1-'3. The decision'!$B$27-B107)*(1-'3. The decision'!$B$27)^('3. The decision'!$B$12-1)</f>
        <v>0.535178295407148</v>
      </c>
      <c r="D107" s="15" t="n">
        <f aca="false">1+(1-'3. The decision'!$B$27-B107)*(1-(1-'3. The decision'!$B$27)^('3. The decision'!$B$12-1))/'3. The decision'!$B$27</f>
        <v>4.30506485340349</v>
      </c>
      <c r="E107" s="15" t="n">
        <f aca="false">(1-'3. The decision'!$B$14)*(1-'3. The decision'!$B$27)^('3. The decision'!$B$11-1)</f>
        <v>0.690273454655712</v>
      </c>
      <c r="F107" s="15" t="n">
        <f aca="false">1+(1-'3. The decision'!$B$14)*(1-(1-'3. The decision'!$B$27)^('3. The decision'!$B$11-1))/'3. The decision'!$B$27</f>
        <v>4.28912098262087</v>
      </c>
      <c r="G107" s="15" t="n">
        <f aca="false">(1-(1-'3. The decision'!$B$9*MIN(1,('3. The decision'!$B$10/(52/12)))))+(1-(1-'3. The decision'!$B$9*MAX(0,MIN(1,('3. The decision'!$B$10/(52/12))-1))))*(1-'3. The decision'!$B$14)+(1-(1-'3. The decision'!$B$9*MAX(0,MIN(1,('3. The decision'!$B$10/(52/12))-2))))*(1-'3. The decision'!$B$14)*(1-'3. The decision'!$B$27)</f>
        <v>0.884576923076923</v>
      </c>
      <c r="H107" s="15" t="n">
        <f aca="false">IF(A107&lt;=0,0,MAX(0,ROUNDUP(LN('3. The decision'!$B$13)/LN(1+A107)-0.000000000001,0)-1))</f>
        <v>2</v>
      </c>
      <c r="I107" s="15" t="n">
        <f aca="false">IF(A107&lt;=0,1/(1-C107),(1+A107)*(1-(C107*(1+A107))^H107)/(1-C107*(1+A107))+'3. The decision'!$B$13*C107^H107/(1-C107))</f>
        <v>3.08443455221903</v>
      </c>
      <c r="J107" s="17" t="n">
        <f aca="false">F107+E107*D107/(1-C107)</f>
        <v>10.6822647612202</v>
      </c>
      <c r="K107" s="15" t="n">
        <f aca="false">F107-G107+E107*D107*I107</f>
        <v>12.5704718198937</v>
      </c>
      <c r="L107" s="17" t="n">
        <f aca="false">'3. The decision'!$B$8*'3. The decision'!$B$5/J107</f>
        <v>43.964459831115</v>
      </c>
      <c r="M107" s="31" t="n">
        <f aca="false">L107*'3. The decision'!$B$6*'3. The decision'!$B$7*K107</f>
        <v>1060003.49231409</v>
      </c>
      <c r="N107" s="31" t="n">
        <f aca="false">M107*(1+'3. The decision'!$B$19+'3. The decision'!$B$20+'3. The decision'!$B$22)</f>
        <v>1172363.86249938</v>
      </c>
      <c r="O107" s="31" t="n">
        <f aca="false">'3. The decision'!$B$17+'3. The decision'!$B$18*L107*12+M107*('3. The decision'!$B$20*(1-'3. The decision'!$B$21)+'3. The decision'!$B$23)+N107*('3. The decision'!$B$24+'3. The decision'!$B$25)</f>
        <v>608583.784994074</v>
      </c>
      <c r="P107" s="31" t="n">
        <f aca="false">N107-O107</f>
        <v>563780.077505307</v>
      </c>
    </row>
    <row r="108" customFormat="false" ht="15" hidden="false" customHeight="false" outlineLevel="0" collapsed="false">
      <c r="A108" s="27" t="n">
        <f aca="false">101*0.0025</f>
        <v>0.2525</v>
      </c>
      <c r="B108" s="27" t="n">
        <f aca="false">IF(A108&gt;0,MIN('3. The decision'!$B$15,'3. The decision'!$B$29*(A108/'3. The decision'!$B$28)^$B$4),0)</f>
        <v>0.18140000839936</v>
      </c>
      <c r="C108" s="15" t="n">
        <f aca="false">(1-'3. The decision'!$B$27-B108)*(1-'3. The decision'!$B$27)^('3. The decision'!$B$12-1)</f>
        <v>0.533147276782581</v>
      </c>
      <c r="D108" s="15" t="n">
        <f aca="false">1+(1-'3. The decision'!$B$27-B108)*(1-(1-'3. The decision'!$B$27)^('3. The decision'!$B$12-1))/'3. The decision'!$B$27</f>
        <v>4.29252202733922</v>
      </c>
      <c r="E108" s="15" t="n">
        <f aca="false">(1-'3. The decision'!$B$14)*(1-'3. The decision'!$B$27)^('3. The decision'!$B$11-1)</f>
        <v>0.690273454655712</v>
      </c>
      <c r="F108" s="15" t="n">
        <f aca="false">1+(1-'3. The decision'!$B$14)*(1-(1-'3. The decision'!$B$27)^('3. The decision'!$B$11-1))/'3. The decision'!$B$27</f>
        <v>4.28912098262087</v>
      </c>
      <c r="G108" s="15" t="n">
        <f aca="false">(1-(1-'3. The decision'!$B$9*MIN(1,('3. The decision'!$B$10/(52/12)))))+(1-(1-'3. The decision'!$B$9*MAX(0,MIN(1,('3. The decision'!$B$10/(52/12))-1))))*(1-'3. The decision'!$B$14)+(1-(1-'3. The decision'!$B$9*MAX(0,MIN(1,('3. The decision'!$B$10/(52/12))-2))))*(1-'3. The decision'!$B$14)*(1-'3. The decision'!$B$27)</f>
        <v>0.884576923076923</v>
      </c>
      <c r="H108" s="15" t="n">
        <f aca="false">IF(A108&lt;=0,0,MAX(0,ROUNDUP(LN('3. The decision'!$B$13)/LN(1+A108)-0.000000000001,0)-1))</f>
        <v>2</v>
      </c>
      <c r="I108" s="15" t="n">
        <f aca="false">IF(A108&lt;=0,1/(1-C108),(1+A108)*(1-(C108*(1+A108))^H108)/(1-C108*(1+A108))+'3. The decision'!$B$13*C108^H108/(1-C108))</f>
        <v>3.07522462433448</v>
      </c>
      <c r="J108" s="17" t="n">
        <f aca="false">F108+E108*D108/(1-C108)</f>
        <v>10.635906299791</v>
      </c>
      <c r="K108" s="15" t="n">
        <f aca="false">F108-G108+E108*D108*I108</f>
        <v>12.5164777022601</v>
      </c>
      <c r="L108" s="17" t="n">
        <f aca="false">'3. The decision'!$B$8*'3. The decision'!$B$5/J108</f>
        <v>44.1560866335603</v>
      </c>
      <c r="M108" s="31" t="n">
        <f aca="false">L108*'3. The decision'!$B$6*'3. The decision'!$B$7*K108</f>
        <v>1060050.81069628</v>
      </c>
      <c r="N108" s="31" t="n">
        <f aca="false">M108*(1+'3. The decision'!$B$19+'3. The decision'!$B$20+'3. The decision'!$B$22)</f>
        <v>1172416.19663008</v>
      </c>
      <c r="O108" s="31" t="n">
        <f aca="false">'3. The decision'!$B$17+'3. The decision'!$B$18*L108*12+M108*('3. The decision'!$B$20*(1-'3. The decision'!$B$21)+'3. The decision'!$B$23)+N108*('3. The decision'!$B$24+'3. The decision'!$B$25)</f>
        <v>608879.160222684</v>
      </c>
      <c r="P108" s="31" t="n">
        <f aca="false">N108-O108</f>
        <v>563537.0364074</v>
      </c>
    </row>
    <row r="109" customFormat="false" ht="15" hidden="false" customHeight="false" outlineLevel="0" collapsed="false">
      <c r="A109" s="27" t="n">
        <f aca="false">102*0.0025</f>
        <v>0.255</v>
      </c>
      <c r="B109" s="27" t="n">
        <f aca="false">IF(A109&gt;0,MIN('3. The decision'!$B$15,'3. The decision'!$B$29*(A109/'3. The decision'!$B$28)^$B$4),0)</f>
        <v>0.184282196303612</v>
      </c>
      <c r="C109" s="15" t="n">
        <f aca="false">(1-'3. The decision'!$B$27-B109)*(1-'3. The decision'!$B$27)^('3. The decision'!$B$12-1)</f>
        <v>0.53110415665296</v>
      </c>
      <c r="D109" s="15" t="n">
        <f aca="false">1+(1-'3. The decision'!$B$27-B109)*(1-(1-'3. The decision'!$B$27)^('3. The decision'!$B$12-1))/'3. The decision'!$B$27</f>
        <v>4.27990446681847</v>
      </c>
      <c r="E109" s="15" t="n">
        <f aca="false">(1-'3. The decision'!$B$14)*(1-'3. The decision'!$B$27)^('3. The decision'!$B$11-1)</f>
        <v>0.690273454655712</v>
      </c>
      <c r="F109" s="15" t="n">
        <f aca="false">1+(1-'3. The decision'!$B$14)*(1-(1-'3. The decision'!$B$27)^('3. The decision'!$B$11-1))/'3. The decision'!$B$27</f>
        <v>4.28912098262087</v>
      </c>
      <c r="G109" s="15" t="n">
        <f aca="false">(1-(1-'3. The decision'!$B$9*MIN(1,('3. The decision'!$B$10/(52/12)))))+(1-(1-'3. The decision'!$B$9*MAX(0,MIN(1,('3. The decision'!$B$10/(52/12))-1))))*(1-'3. The decision'!$B$14)+(1-(1-'3. The decision'!$B$9*MAX(0,MIN(1,('3. The decision'!$B$10/(52/12))-2))))*(1-'3. The decision'!$B$14)*(1-'3. The decision'!$B$27)</f>
        <v>0.884576923076923</v>
      </c>
      <c r="H109" s="15" t="n">
        <f aca="false">IF(A109&lt;=0,0,MAX(0,ROUNDUP(LN('3. The decision'!$B$13)/LN(1+A109)-0.000000000001,0)-1))</f>
        <v>2</v>
      </c>
      <c r="I109" s="15" t="n">
        <f aca="false">IF(A109&lt;=0,1/(1-C109),(1+A109)*(1-(C109*(1+A109))^H109)/(1-C109*(1+A109))+'3. The decision'!$B$13*C109^H109/(1-C109))</f>
        <v>3.06603865117402</v>
      </c>
      <c r="J109" s="17" t="n">
        <f aca="false">F109+E109*D109/(1-C109)</f>
        <v>10.5896768178336</v>
      </c>
      <c r="K109" s="15" t="n">
        <f aca="false">F109-G109+E109*D109*I109</f>
        <v>12.4625556657665</v>
      </c>
      <c r="L109" s="17" t="n">
        <f aca="false">'3. The decision'!$B$8*'3. The decision'!$B$5/J109</f>
        <v>44.348851063056</v>
      </c>
      <c r="M109" s="31" t="n">
        <f aca="false">L109*'3. The decision'!$B$6*'3. The decision'!$B$7*K109</f>
        <v>1060091.76303104</v>
      </c>
      <c r="N109" s="31" t="n">
        <f aca="false">M109*(1+'3. The decision'!$B$19+'3. The decision'!$B$20+'3. The decision'!$B$22)</f>
        <v>1172461.48991233</v>
      </c>
      <c r="O109" s="31" t="n">
        <f aca="false">'3. The decision'!$B$17+'3. The decision'!$B$18*L109*12+M109*('3. The decision'!$B$20*(1-'3. The decision'!$B$21)+'3. The decision'!$B$23)+N109*('3. The decision'!$B$24+'3. The decision'!$B$25)</f>
        <v>609175.573607045</v>
      </c>
      <c r="P109" s="31" t="n">
        <f aca="false">N109-O109</f>
        <v>563285.916305281</v>
      </c>
    </row>
    <row r="110" customFormat="false" ht="15" hidden="false" customHeight="false" outlineLevel="0" collapsed="false">
      <c r="A110" s="27" t="n">
        <f aca="false">103*0.0025</f>
        <v>0.2575</v>
      </c>
      <c r="B110" s="27" t="n">
        <f aca="false">IF(A110&gt;0,MIN('3. The decision'!$B$15,'3. The decision'!$B$29*(A110/'3. The decision'!$B$28)^$B$4),0)</f>
        <v>0.187181388408364</v>
      </c>
      <c r="C110" s="15" t="n">
        <f aca="false">(1-'3. The decision'!$B$27-B110)*(1-'3. The decision'!$B$27)^('3. The decision'!$B$12-1)</f>
        <v>0.529048982616555</v>
      </c>
      <c r="D110" s="15" t="n">
        <f aca="false">1+(1-'3. The decision'!$B$27-B110)*(1-(1-'3. The decision'!$B$27)^('3. The decision'!$B$12-1))/'3. The decision'!$B$27</f>
        <v>4.2672124657907</v>
      </c>
      <c r="E110" s="15" t="n">
        <f aca="false">(1-'3. The decision'!$B$14)*(1-'3. The decision'!$B$27)^('3. The decision'!$B$11-1)</f>
        <v>0.690273454655712</v>
      </c>
      <c r="F110" s="15" t="n">
        <f aca="false">1+(1-'3. The decision'!$B$14)*(1-(1-'3. The decision'!$B$27)^('3. The decision'!$B$11-1))/'3. The decision'!$B$27</f>
        <v>4.28912098262087</v>
      </c>
      <c r="G110" s="15" t="n">
        <f aca="false">(1-(1-'3. The decision'!$B$9*MIN(1,('3. The decision'!$B$10/(52/12)))))+(1-(1-'3. The decision'!$B$9*MAX(0,MIN(1,('3. The decision'!$B$10/(52/12))-1))))*(1-'3. The decision'!$B$14)+(1-(1-'3. The decision'!$B$9*MAX(0,MIN(1,('3. The decision'!$B$10/(52/12))-2))))*(1-'3. The decision'!$B$14)*(1-'3. The decision'!$B$27)</f>
        <v>0.884576923076923</v>
      </c>
      <c r="H110" s="15" t="n">
        <f aca="false">IF(A110&lt;=0,0,MAX(0,ROUNDUP(LN('3. The decision'!$B$13)/LN(1+A110)-0.000000000001,0)-1))</f>
        <v>2</v>
      </c>
      <c r="I110" s="15" t="n">
        <f aca="false">IF(A110&lt;=0,1/(1-C110),(1+A110)*(1-(C110*(1+A110))^H110)/(1-C110*(1+A110))+'3. The decision'!$B$13*C110^H110/(1-C110))</f>
        <v>3.05687729089577</v>
      </c>
      <c r="J110" s="17" t="n">
        <f aca="false">F110+E110*D110/(1-C110)</f>
        <v>10.5435792633915</v>
      </c>
      <c r="K110" s="15" t="n">
        <f aca="false">F110-G110+E110*D110*I110</f>
        <v>12.4087090650337</v>
      </c>
      <c r="L110" s="17" t="n">
        <f aca="false">'3. The decision'!$B$8*'3. The decision'!$B$5/J110</f>
        <v>44.5427485550985</v>
      </c>
      <c r="M110" s="31" t="n">
        <f aca="false">L110*'3. The decision'!$B$6*'3. The decision'!$B$7*K110</f>
        <v>1060126.25425916</v>
      </c>
      <c r="N110" s="31" t="n">
        <f aca="false">M110*(1+'3. The decision'!$B$19+'3. The decision'!$B$20+'3. The decision'!$B$22)</f>
        <v>1172499.63721064</v>
      </c>
      <c r="O110" s="31" t="n">
        <f aca="false">'3. The decision'!$B$17+'3. The decision'!$B$18*L110*12+M110*('3. The decision'!$B$20*(1-'3. The decision'!$B$21)+'3. The decision'!$B$23)+N110*('3. The decision'!$B$24+'3. The decision'!$B$25)</f>
        <v>609473.008001764</v>
      </c>
      <c r="P110" s="31" t="n">
        <f aca="false">N110-O110</f>
        <v>563026.629208872</v>
      </c>
    </row>
    <row r="111" customFormat="false" ht="15" hidden="false" customHeight="false" outlineLevel="0" collapsed="false">
      <c r="A111" s="27" t="n">
        <f aca="false">104*0.0025</f>
        <v>0.26</v>
      </c>
      <c r="B111" s="27" t="n">
        <f aca="false">IF(A111&gt;0,MIN('3. The decision'!$B$15,'3. The decision'!$B$29*(A111/'3. The decision'!$B$28)^$B$4),0)</f>
        <v>0.190097518483078</v>
      </c>
      <c r="C111" s="15" t="n">
        <f aca="false">(1-'3. The decision'!$B$27-B111)*(1-'3. The decision'!$B$27)^('3. The decision'!$B$12-1)</f>
        <v>0.52698180162275</v>
      </c>
      <c r="D111" s="15" t="n">
        <f aca="false">1+(1-'3. The decision'!$B$27-B111)*(1-(1-'3. The decision'!$B$27)^('3. The decision'!$B$12-1))/'3. The decision'!$B$27</f>
        <v>4.25444631419808</v>
      </c>
      <c r="E111" s="15" t="n">
        <f aca="false">(1-'3. The decision'!$B$14)*(1-'3. The decision'!$B$27)^('3. The decision'!$B$11-1)</f>
        <v>0.690273454655712</v>
      </c>
      <c r="F111" s="15" t="n">
        <f aca="false">1+(1-'3. The decision'!$B$14)*(1-(1-'3. The decision'!$B$27)^('3. The decision'!$B$11-1))/'3. The decision'!$B$27</f>
        <v>4.28912098262087</v>
      </c>
      <c r="G111" s="15" t="n">
        <f aca="false">(1-(1-'3. The decision'!$B$9*MIN(1,('3. The decision'!$B$10/(52/12)))))+(1-(1-'3. The decision'!$B$9*MAX(0,MIN(1,('3. The decision'!$B$10/(52/12))-1))))*(1-'3. The decision'!$B$14)+(1-(1-'3. The decision'!$B$9*MAX(0,MIN(1,('3. The decision'!$B$10/(52/12))-2))))*(1-'3. The decision'!$B$14)*(1-'3. The decision'!$B$27)</f>
        <v>0.884576923076923</v>
      </c>
      <c r="H111" s="15" t="n">
        <f aca="false">IF(A111&lt;=0,0,MAX(0,ROUNDUP(LN('3. The decision'!$B$13)/LN(1+A111)-0.000000000001,0)-1))</f>
        <v>2</v>
      </c>
      <c r="I111" s="15" t="n">
        <f aca="false">IF(A111&lt;=0,1/(1-C111),(1+A111)*(1-(C111*(1+A111))^H111)/(1-C111*(1+A111))+'3. The decision'!$B$13*C111^H111/(1-C111))</f>
        <v>3.04774116788902</v>
      </c>
      <c r="J111" s="17" t="n">
        <f aca="false">F111+E111*D111/(1-C111)</f>
        <v>10.497616480307</v>
      </c>
      <c r="K111" s="15" t="n">
        <f aca="false">F111-G111+E111*D111*I111</f>
        <v>12.3549411090518</v>
      </c>
      <c r="L111" s="17" t="n">
        <f aca="false">'3. The decision'!$B$8*'3. The decision'!$B$5/J111</f>
        <v>44.7377746063614</v>
      </c>
      <c r="M111" s="31" t="n">
        <f aca="false">L111*'3. The decision'!$B$6*'3. The decision'!$B$7*K111</f>
        <v>1060154.18612122</v>
      </c>
      <c r="N111" s="31" t="n">
        <f aca="false">M111*(1+'3. The decision'!$B$19+'3. The decision'!$B$20+'3. The decision'!$B$22)</f>
        <v>1172530.52985007</v>
      </c>
      <c r="O111" s="31" t="n">
        <f aca="false">'3. The decision'!$B$17+'3. The decision'!$B$18*L111*12+M111*('3. The decision'!$B$20*(1-'3. The decision'!$B$21)+'3. The decision'!$B$23)+N111*('3. The decision'!$B$24+'3. The decision'!$B$25)</f>
        <v>609771.446009686</v>
      </c>
      <c r="P111" s="31" t="n">
        <f aca="false">N111-O111</f>
        <v>562759.083840383</v>
      </c>
    </row>
    <row r="112" customFormat="false" ht="15" hidden="false" customHeight="false" outlineLevel="0" collapsed="false">
      <c r="A112" s="27" t="n">
        <f aca="false">105*0.0025</f>
        <v>0.2625</v>
      </c>
      <c r="B112" s="27" t="n">
        <f aca="false">IF(A112&gt;0,MIN('3. The decision'!$B$15,'3. The decision'!$B$29*(A112/'3. The decision'!$B$28)^$B$4),0)</f>
        <v>0.193030521191404</v>
      </c>
      <c r="C112" s="15" t="n">
        <f aca="false">(1-'3. The decision'!$B$27-B112)*(1-'3. The decision'!$B$27)^('3. The decision'!$B$12-1)</f>
        <v>0.524902659987059</v>
      </c>
      <c r="D112" s="15" t="n">
        <f aca="false">1+(1-'3. The decision'!$B$27-B112)*(1-(1-'3. The decision'!$B$27)^('3. The decision'!$B$12-1))/'3. The decision'!$B$27</f>
        <v>4.24160629806823</v>
      </c>
      <c r="E112" s="15" t="n">
        <f aca="false">(1-'3. The decision'!$B$14)*(1-'3. The decision'!$B$27)^('3. The decision'!$B$11-1)</f>
        <v>0.690273454655712</v>
      </c>
      <c r="F112" s="15" t="n">
        <f aca="false">1+(1-'3. The decision'!$B$14)*(1-(1-'3. The decision'!$B$27)^('3. The decision'!$B$11-1))/'3. The decision'!$B$27</f>
        <v>4.28912098262087</v>
      </c>
      <c r="G112" s="15" t="n">
        <f aca="false">(1-(1-'3. The decision'!$B$9*MIN(1,('3. The decision'!$B$10/(52/12)))))+(1-(1-'3. The decision'!$B$9*MAX(0,MIN(1,('3. The decision'!$B$10/(52/12))-1))))*(1-'3. The decision'!$B$14)+(1-(1-'3. The decision'!$B$9*MAX(0,MIN(1,('3. The decision'!$B$10/(52/12))-2))))*(1-'3. The decision'!$B$14)*(1-'3. The decision'!$B$27)</f>
        <v>0.884576923076923</v>
      </c>
      <c r="H112" s="15" t="n">
        <f aca="false">IF(A112&lt;=0,0,MAX(0,ROUNDUP(LN('3. The decision'!$B$13)/LN(1+A112)-0.000000000001,0)-1))</f>
        <v>2</v>
      </c>
      <c r="I112" s="15" t="n">
        <f aca="false">IF(A112&lt;=0,1/(1-C112),(1+A112)*(1-(C112*(1+A112))^H112)/(1-C112*(1+A112))+'3. The decision'!$B$13*C112^H112/(1-C112))</f>
        <v>3.03863087351477</v>
      </c>
      <c r="J112" s="17" t="n">
        <f aca="false">F112+E112*D112/(1-C112)</f>
        <v>10.4517912105309</v>
      </c>
      <c r="K112" s="15" t="n">
        <f aca="false">F112-G112+E112*D112*I112</f>
        <v>12.3012548648786</v>
      </c>
      <c r="L112" s="17" t="n">
        <f aca="false">'3. The decision'!$B$8*'3. The decision'!$B$5/J112</f>
        <v>44.9339247732778</v>
      </c>
      <c r="M112" s="31" t="n">
        <f aca="false">L112*'3. The decision'!$B$6*'3. The decision'!$B$7*K112</f>
        <v>1060175.45720335</v>
      </c>
      <c r="N112" s="31" t="n">
        <f aca="false">M112*(1+'3. The decision'!$B$19+'3. The decision'!$B$20+'3. The decision'!$B$22)</f>
        <v>1172554.05566691</v>
      </c>
      <c r="O112" s="31" t="n">
        <f aca="false">'3. The decision'!$B$17+'3. The decision'!$B$18*L112*12+M112*('3. The decision'!$B$20*(1-'3. The decision'!$B$21)+'3. The decision'!$B$23)+N112*('3. The decision'!$B$24+'3. The decision'!$B$25)</f>
        <v>610070.869984685</v>
      </c>
      <c r="P112" s="31" t="n">
        <f aca="false">N112-O112</f>
        <v>562483.185682224</v>
      </c>
    </row>
    <row r="113" customFormat="false" ht="15" hidden="false" customHeight="false" outlineLevel="0" collapsed="false">
      <c r="A113" s="27" t="n">
        <f aca="false">106*0.0025</f>
        <v>0.265</v>
      </c>
      <c r="B113" s="27" t="n">
        <f aca="false">IF(A113&gt;0,MIN('3. The decision'!$B$15,'3. The decision'!$B$29*(A113/'3. The decision'!$B$28)^$B$4),0)</f>
        <v>0.195980332070681</v>
      </c>
      <c r="C113" s="15" t="n">
        <f aca="false">(1-'3. The decision'!$B$27-B113)*(1-'3. The decision'!$B$27)^('3. The decision'!$B$12-1)</f>
        <v>0.522811603405655</v>
      </c>
      <c r="D113" s="15" t="n">
        <f aca="false">1+(1-'3. The decision'!$B$27-B113)*(1-(1-'3. The decision'!$B$27)^('3. The decision'!$B$12-1))/'3. The decision'!$B$27</f>
        <v>4.22869269960397</v>
      </c>
      <c r="E113" s="15" t="n">
        <f aca="false">(1-'3. The decision'!$B$14)*(1-'3. The decision'!$B$27)^('3. The decision'!$B$11-1)</f>
        <v>0.690273454655712</v>
      </c>
      <c r="F113" s="15" t="n">
        <f aca="false">1+(1-'3. The decision'!$B$14)*(1-(1-'3. The decision'!$B$27)^('3. The decision'!$B$11-1))/'3. The decision'!$B$27</f>
        <v>4.28912098262087</v>
      </c>
      <c r="G113" s="15" t="n">
        <f aca="false">(1-(1-'3. The decision'!$B$9*MIN(1,('3. The decision'!$B$10/(52/12)))))+(1-(1-'3. The decision'!$B$9*MAX(0,MIN(1,('3. The decision'!$B$10/(52/12))-1))))*(1-'3. The decision'!$B$14)+(1-(1-'3. The decision'!$B$9*MAX(0,MIN(1,('3. The decision'!$B$10/(52/12))-2))))*(1-'3. The decision'!$B$14)*(1-'3. The decision'!$B$27)</f>
        <v>0.884576923076923</v>
      </c>
      <c r="H113" s="15" t="n">
        <f aca="false">IF(A113&lt;=0,0,MAX(0,ROUNDUP(LN('3. The decision'!$B$13)/LN(1+A113)-0.000000000001,0)-1))</f>
        <v>2</v>
      </c>
      <c r="I113" s="15" t="n">
        <f aca="false">IF(A113&lt;=0,1/(1-C113),(1+A113)*(1-(C113*(1+A113))^H113)/(1-C113*(1+A113))+'3. The decision'!$B$13*C113^H113/(1-C113))</f>
        <v>3.02954696683431</v>
      </c>
      <c r="J113" s="17" t="n">
        <f aca="false">F113+E113*D113/(1-C113)</f>
        <v>10.4061060963943</v>
      </c>
      <c r="K113" s="15" t="n">
        <f aca="false">F113-G113+E113*D113*I113</f>
        <v>12.2476532612806</v>
      </c>
      <c r="L113" s="17" t="n">
        <f aca="false">'3. The decision'!$B$8*'3. The decision'!$B$5/J113</f>
        <v>45.1311946706684</v>
      </c>
      <c r="M113" s="31" t="n">
        <f aca="false">L113*'3. The decision'!$B$6*'3. The decision'!$B$7*K113</f>
        <v>1060189.96298345</v>
      </c>
      <c r="N113" s="31" t="n">
        <f aca="false">M113*(1+'3. The decision'!$B$19+'3. The decision'!$B$20+'3. The decision'!$B$22)</f>
        <v>1172570.09905969</v>
      </c>
      <c r="O113" s="31" t="n">
        <f aca="false">'3. The decision'!$B$17+'3. The decision'!$B$18*L113*12+M113*('3. The decision'!$B$20*(1-'3. The decision'!$B$21)+'3. The decision'!$B$23)+N113*('3. The decision'!$B$24+'3. The decision'!$B$25)</f>
        <v>610371.262034547</v>
      </c>
      <c r="P113" s="31" t="n">
        <f aca="false">N113-O113</f>
        <v>562198.837025147</v>
      </c>
    </row>
    <row r="114" customFormat="false" ht="15" hidden="false" customHeight="false" outlineLevel="0" collapsed="false">
      <c r="A114" s="27" t="n">
        <f aca="false">107*0.0025</f>
        <v>0.2675</v>
      </c>
      <c r="B114" s="27" t="n">
        <f aca="false">IF(A114&gt;0,MIN('3. The decision'!$B$15,'3. The decision'!$B$29*(A114/'3. The decision'!$B$28)^$B$4),0)</f>
        <v>0.1989468875121</v>
      </c>
      <c r="C114" s="15" t="n">
        <f aca="false">(1-'3. The decision'!$B$27-B114)*(1-'3. The decision'!$B$27)^('3. The decision'!$B$12-1)</f>
        <v>0.520708676969436</v>
      </c>
      <c r="D114" s="15" t="n">
        <f aca="false">1+(1-'3. The decision'!$B$27-B114)*(1-(1-'3. The decision'!$B$27)^('3. The decision'!$B$12-1))/'3. The decision'!$B$27</f>
        <v>4.21570579727014</v>
      </c>
      <c r="E114" s="15" t="n">
        <f aca="false">(1-'3. The decision'!$B$14)*(1-'3. The decision'!$B$27)^('3. The decision'!$B$11-1)</f>
        <v>0.690273454655712</v>
      </c>
      <c r="F114" s="15" t="n">
        <f aca="false">1+(1-'3. The decision'!$B$14)*(1-(1-'3. The decision'!$B$27)^('3. The decision'!$B$11-1))/'3. The decision'!$B$27</f>
        <v>4.28912098262087</v>
      </c>
      <c r="G114" s="15" t="n">
        <f aca="false">(1-(1-'3. The decision'!$B$9*MIN(1,('3. The decision'!$B$10/(52/12)))))+(1-(1-'3. The decision'!$B$9*MAX(0,MIN(1,('3. The decision'!$B$10/(52/12))-1))))*(1-'3. The decision'!$B$14)+(1-(1-'3. The decision'!$B$9*MAX(0,MIN(1,('3. The decision'!$B$10/(52/12))-2))))*(1-'3. The decision'!$B$14)*(1-'3. The decision'!$B$27)</f>
        <v>0.884576923076923</v>
      </c>
      <c r="H114" s="15" t="n">
        <f aca="false">IF(A114&lt;=0,0,MAX(0,ROUNDUP(LN('3. The decision'!$B$13)/LN(1+A114)-0.000000000001,0)-1))</f>
        <v>2</v>
      </c>
      <c r="I114" s="15" t="n">
        <f aca="false">IF(A114&lt;=0,1/(1-C114),(1+A114)*(1-(C114*(1+A114))^H114)/(1-C114*(1+A114))+'3. The decision'!$B$13*C114^H114/(1-C114))</f>
        <v>3.02048997532595</v>
      </c>
      <c r="J114" s="17" t="n">
        <f aca="false">F114+E114*D114/(1-C114)</f>
        <v>10.3605636828431</v>
      </c>
      <c r="K114" s="15" t="n">
        <f aca="false">F114-G114+E114*D114*I114</f>
        <v>12.1941390923181</v>
      </c>
      <c r="L114" s="17" t="n">
        <f aca="false">'3. The decision'!$B$8*'3. The decision'!$B$5/J114</f>
        <v>45.3295799704137</v>
      </c>
      <c r="M114" s="31" t="n">
        <f aca="false">L114*'3. The decision'!$B$6*'3. The decision'!$B$7*K114</f>
        <v>1060197.59587756</v>
      </c>
      <c r="N114" s="31" t="n">
        <f aca="false">M114*(1+'3. The decision'!$B$19+'3. The decision'!$B$20+'3. The decision'!$B$22)</f>
        <v>1172578.54104059</v>
      </c>
      <c r="O114" s="31" t="n">
        <f aca="false">'3. The decision'!$B$17+'3. The decision'!$B$18*L114*12+M114*('3. The decision'!$B$20*(1-'3. The decision'!$B$21)+'3. The decision'!$B$23)+N114*('3. The decision'!$B$24+'3. The decision'!$B$25)</f>
        <v>610672.604023959</v>
      </c>
      <c r="P114" s="31" t="n">
        <f aca="false">N114-O114</f>
        <v>561905.937016626</v>
      </c>
    </row>
    <row r="115" customFormat="false" ht="15" hidden="false" customHeight="false" outlineLevel="0" collapsed="false">
      <c r="A115" s="27" t="n">
        <f aca="false">108*0.0025</f>
        <v>0.27</v>
      </c>
      <c r="B115" s="27" t="n">
        <f aca="false">IF(A115&gt;0,MIN('3. The decision'!$B$15,'3. The decision'!$B$29*(A115/'3. The decision'!$B$28)^$B$4),0)</f>
        <v>0.201930124741492</v>
      </c>
      <c r="C115" s="15" t="n">
        <f aca="false">(1-'3. The decision'!$B$27-B115)*(1-'3. The decision'!$B$27)^('3. The decision'!$B$12-1)</f>
        <v>0.518593925177641</v>
      </c>
      <c r="D115" s="15" t="n">
        <f aca="false">1+(1-'3. The decision'!$B$27-B115)*(1-(1-'3. The decision'!$B$27)^('3. The decision'!$B$12-1))/'3. The decision'!$B$27</f>
        <v>4.2026458658777</v>
      </c>
      <c r="E115" s="15" t="n">
        <f aca="false">(1-'3. The decision'!$B$14)*(1-'3. The decision'!$B$27)^('3. The decision'!$B$11-1)</f>
        <v>0.690273454655712</v>
      </c>
      <c r="F115" s="15" t="n">
        <f aca="false">1+(1-'3. The decision'!$B$14)*(1-(1-'3. The decision'!$B$27)^('3. The decision'!$B$11-1))/'3. The decision'!$B$27</f>
        <v>4.28912098262087</v>
      </c>
      <c r="G115" s="15" t="n">
        <f aca="false">(1-(1-'3. The decision'!$B$9*MIN(1,('3. The decision'!$B$10/(52/12)))))+(1-(1-'3. The decision'!$B$9*MAX(0,MIN(1,('3. The decision'!$B$10/(52/12))-1))))*(1-'3. The decision'!$B$14)+(1-(1-'3. The decision'!$B$9*MAX(0,MIN(1,('3. The decision'!$B$10/(52/12))-2))))*(1-'3. The decision'!$B$14)*(1-'3. The decision'!$B$27)</f>
        <v>0.884576923076923</v>
      </c>
      <c r="H115" s="15" t="n">
        <f aca="false">IF(A115&lt;=0,0,MAX(0,ROUNDUP(LN('3. The decision'!$B$13)/LN(1+A115)-0.000000000001,0)-1))</f>
        <v>2</v>
      </c>
      <c r="I115" s="15" t="n">
        <f aca="false">IF(A115&lt;=0,1/(1-C115),(1+A115)*(1-(C115*(1+A115))^H115)/(1-C115*(1+A115))+'3. The decision'!$B$13*C115^H115/(1-C115))</f>
        <v>3.01146039558996</v>
      </c>
      <c r="J115" s="17" t="n">
        <f aca="false">F115+E115*D115/(1-C115)</f>
        <v>10.3151664196346</v>
      </c>
      <c r="K115" s="15" t="n">
        <f aca="false">F115-G115+E115*D115*I115</f>
        <v>12.1407150208733</v>
      </c>
      <c r="L115" s="17" t="n">
        <f aca="false">'3. The decision'!$B$8*'3. The decision'!$B$5/J115</f>
        <v>45.529076400169</v>
      </c>
      <c r="M115" s="31" t="n">
        <f aca="false">L115*'3. The decision'!$B$6*'3. The decision'!$B$7*K115</f>
        <v>1060198.24528671</v>
      </c>
      <c r="N115" s="31" t="n">
        <f aca="false">M115*(1+'3. The decision'!$B$19+'3. The decision'!$B$20+'3. The decision'!$B$22)</f>
        <v>1172579.25928711</v>
      </c>
      <c r="O115" s="31" t="n">
        <f aca="false">'3. The decision'!$B$17+'3. The decision'!$B$18*L115*12+M115*('3. The decision'!$B$20*(1-'3. The decision'!$B$21)+'3. The decision'!$B$23)+N115*('3. The decision'!$B$24+'3. The decision'!$B$25)</f>
        <v>610974.877577598</v>
      </c>
      <c r="P115" s="31" t="n">
        <f aca="false">N115-O115</f>
        <v>561604.381709508</v>
      </c>
    </row>
    <row r="116" customFormat="false" ht="15" hidden="false" customHeight="false" outlineLevel="0" collapsed="false">
      <c r="A116" s="27" t="n">
        <f aca="false">109*0.0025</f>
        <v>0.2725</v>
      </c>
      <c r="B116" s="27" t="n">
        <f aca="false">IF(A116&gt;0,MIN('3. The decision'!$B$15,'3. The decision'!$B$29*(A116/'3. The decision'!$B$28)^$B$4),0)</f>
        <v>0.204929981800733</v>
      </c>
      <c r="C116" s="15" t="n">
        <f aca="false">(1-'3. The decision'!$B$27-B116)*(1-'3. The decision'!$B$27)^('3. The decision'!$B$12-1)</f>
        <v>0.516467391951031</v>
      </c>
      <c r="D116" s="15" t="n">
        <f aca="false">1+(1-'3. The decision'!$B$27-B116)*(1-(1-'3. The decision'!$B$27)^('3. The decision'!$B$12-1))/'3. The decision'!$B$27</f>
        <v>4.1895131766652</v>
      </c>
      <c r="E116" s="15" t="n">
        <f aca="false">(1-'3. The decision'!$B$14)*(1-'3. The decision'!$B$27)^('3. The decision'!$B$11-1)</f>
        <v>0.690273454655712</v>
      </c>
      <c r="F116" s="15" t="n">
        <f aca="false">1+(1-'3. The decision'!$B$14)*(1-(1-'3. The decision'!$B$27)^('3. The decision'!$B$11-1))/'3. The decision'!$B$27</f>
        <v>4.28912098262087</v>
      </c>
      <c r="G116" s="15" t="n">
        <f aca="false">(1-(1-'3. The decision'!$B$9*MIN(1,('3. The decision'!$B$10/(52/12)))))+(1-(1-'3. The decision'!$B$9*MAX(0,MIN(1,('3. The decision'!$B$10/(52/12))-1))))*(1-'3. The decision'!$B$14)+(1-(1-'3. The decision'!$B$9*MAX(0,MIN(1,('3. The decision'!$B$10/(52/12))-2))))*(1-'3. The decision'!$B$14)*(1-'3. The decision'!$B$27)</f>
        <v>0.884576923076923</v>
      </c>
      <c r="H116" s="15" t="n">
        <f aca="false">IF(A116&lt;=0,0,MAX(0,ROUNDUP(LN('3. The decision'!$B$13)/LN(1+A116)-0.000000000001,0)-1))</f>
        <v>2</v>
      </c>
      <c r="I116" s="15" t="n">
        <f aca="false">IF(A116&lt;=0,1/(1-C116),(1+A116)*(1-(C116*(1+A116))^H116)/(1-C116*(1+A116))+'3. The decision'!$B$13*C116^H116/(1-C116))</f>
        <v>3.00245869404191</v>
      </c>
      <c r="J116" s="17" t="n">
        <f aca="false">F116+E116*D116/(1-C116)</f>
        <v>10.2699166634976</v>
      </c>
      <c r="K116" s="15" t="n">
        <f aca="false">F116-G116+E116*D116*I116</f>
        <v>12.0873835821231</v>
      </c>
      <c r="L116" s="17" t="n">
        <f aca="false">'3. The decision'!$B$8*'3. The decision'!$B$5/J116</f>
        <v>45.7296797421195</v>
      </c>
      <c r="M116" s="31" t="n">
        <f aca="false">L116*'3. The decision'!$B$6*'3. The decision'!$B$7*K116</f>
        <v>1060191.797644</v>
      </c>
      <c r="N116" s="31" t="n">
        <f aca="false">M116*(1+'3. The decision'!$B$19+'3. The decision'!$B$20+'3. The decision'!$B$22)</f>
        <v>1172572.12819426</v>
      </c>
      <c r="O116" s="31" t="n">
        <f aca="false">'3. The decision'!$B$17+'3. The decision'!$B$18*L116*12+M116*('3. The decision'!$B$20*(1-'3. The decision'!$B$21)+'3. The decision'!$B$23)+N116*('3. The decision'!$B$24+'3. The decision'!$B$25)</f>
        <v>611278.064083316</v>
      </c>
      <c r="P116" s="31" t="n">
        <f aca="false">N116-O116</f>
        <v>561294.064110947</v>
      </c>
    </row>
    <row r="117" customFormat="false" ht="15" hidden="false" customHeight="false" outlineLevel="0" collapsed="false">
      <c r="A117" s="27" t="n">
        <f aca="false">110*0.0025</f>
        <v>0.275</v>
      </c>
      <c r="B117" s="27" t="n">
        <f aca="false">IF(A117&gt;0,MIN('3. The decision'!$B$15,'3. The decision'!$B$29*(A117/'3. The decision'!$B$28)^$B$4),0)</f>
        <v>0.207946397529723</v>
      </c>
      <c r="C117" s="15" t="n">
        <f aca="false">(1-'3. The decision'!$B$27-B117)*(1-'3. The decision'!$B$27)^('3. The decision'!$B$12-1)</f>
        <v>0.514329120644669</v>
      </c>
      <c r="D117" s="15" t="n">
        <f aca="false">1+(1-'3. The decision'!$B$27-B117)*(1-(1-'3. The decision'!$B$27)^('3. The decision'!$B$12-1))/'3. The decision'!$B$27</f>
        <v>4.17630799737757</v>
      </c>
      <c r="E117" s="15" t="n">
        <f aca="false">(1-'3. The decision'!$B$14)*(1-'3. The decision'!$B$27)^('3. The decision'!$B$11-1)</f>
        <v>0.690273454655712</v>
      </c>
      <c r="F117" s="15" t="n">
        <f aca="false">1+(1-'3. The decision'!$B$14)*(1-(1-'3. The decision'!$B$27)^('3. The decision'!$B$11-1))/'3. The decision'!$B$27</f>
        <v>4.28912098262087</v>
      </c>
      <c r="G117" s="15" t="n">
        <f aca="false">(1-(1-'3. The decision'!$B$9*MIN(1,('3. The decision'!$B$10/(52/12)))))+(1-(1-'3. The decision'!$B$9*MAX(0,MIN(1,('3. The decision'!$B$10/(52/12))-1))))*(1-'3. The decision'!$B$14)+(1-(1-'3. The decision'!$B$9*MAX(0,MIN(1,('3. The decision'!$B$10/(52/12))-2))))*(1-'3. The decision'!$B$14)*(1-'3. The decision'!$B$27)</f>
        <v>0.884576923076923</v>
      </c>
      <c r="H117" s="15" t="n">
        <f aca="false">IF(A117&lt;=0,0,MAX(0,ROUNDUP(LN('3. The decision'!$B$13)/LN(1+A117)-0.000000000001,0)-1))</f>
        <v>1</v>
      </c>
      <c r="I117" s="15" t="n">
        <f aca="false">IF(A117&lt;=0,1/(1-C117),(1+A117)*(1-(C117*(1+A117))^H117)/(1-C117*(1+A117))+'3. The decision'!$B$13*C117^H117/(1-C117))</f>
        <v>2.99059220629071</v>
      </c>
      <c r="J117" s="17" t="n">
        <f aca="false">F117+E117*D117/(1-C117)</f>
        <v>10.224816680256</v>
      </c>
      <c r="K117" s="15" t="n">
        <f aca="false">F117-G117+E117*D117*I117</f>
        <v>12.0258069702885</v>
      </c>
      <c r="L117" s="17" t="n">
        <f aca="false">'3. The decision'!$B$8*'3. The decision'!$B$5/J117</f>
        <v>45.9313858317745</v>
      </c>
      <c r="M117" s="31" t="n">
        <f aca="false">L117*'3. The decision'!$B$6*'3. The decision'!$B$7*K117</f>
        <v>1059443.38432492</v>
      </c>
      <c r="N117" s="31" t="n">
        <f aca="false">M117*(1+'3. The decision'!$B$19+'3. The decision'!$B$20+'3. The decision'!$B$22)</f>
        <v>1171744.38306336</v>
      </c>
      <c r="O117" s="31" t="n">
        <f aca="false">'3. The decision'!$B$17+'3. The decision'!$B$18*L117*12+M117*('3. The decision'!$B$20*(1-'3. The decision'!$B$21)+'3. The decision'!$B$23)+N117*('3. The decision'!$B$24+'3. The decision'!$B$25)</f>
        <v>611503.065527159</v>
      </c>
      <c r="P117" s="31" t="n">
        <f aca="false">N117-O117</f>
        <v>560241.317536202</v>
      </c>
    </row>
    <row r="118" customFormat="false" ht="15" hidden="false" customHeight="false" outlineLevel="0" collapsed="false">
      <c r="A118" s="27" t="n">
        <f aca="false">111*0.0025</f>
        <v>0.2775</v>
      </c>
      <c r="B118" s="27" t="n">
        <f aca="false">IF(A118&gt;0,MIN('3. The decision'!$B$15,'3. The decision'!$B$29*(A118/'3. The decision'!$B$28)^$B$4),0)</f>
        <v>0.210979311548924</v>
      </c>
      <c r="C118" s="15" t="n">
        <f aca="false">(1-'3. The decision'!$B$27-B118)*(1-'3. The decision'!$B$27)^('3. The decision'!$B$12-1)</f>
        <v>0.51217915406029</v>
      </c>
      <c r="D118" s="15" t="n">
        <f aca="false">1+(1-'3. The decision'!$B$27-B118)*(1-(1-'3. The decision'!$B$27)^('3. The decision'!$B$12-1))/'3. The decision'!$B$27</f>
        <v>4.16303059234264</v>
      </c>
      <c r="E118" s="15" t="n">
        <f aca="false">(1-'3. The decision'!$B$14)*(1-'3. The decision'!$B$27)^('3. The decision'!$B$11-1)</f>
        <v>0.690273454655712</v>
      </c>
      <c r="F118" s="15" t="n">
        <f aca="false">1+(1-'3. The decision'!$B$14)*(1-(1-'3. The decision'!$B$27)^('3. The decision'!$B$11-1))/'3. The decision'!$B$27</f>
        <v>4.28912098262087</v>
      </c>
      <c r="G118" s="15" t="n">
        <f aca="false">(1-(1-'3. The decision'!$B$9*MIN(1,('3. The decision'!$B$10/(52/12)))))+(1-(1-'3. The decision'!$B$9*MAX(0,MIN(1,('3. The decision'!$B$10/(52/12))-1))))*(1-'3. The decision'!$B$14)+(1-(1-'3. The decision'!$B$9*MAX(0,MIN(1,('3. The decision'!$B$10/(52/12))-2))))*(1-'3. The decision'!$B$14)*(1-'3. The decision'!$B$27)</f>
        <v>0.884576923076923</v>
      </c>
      <c r="H118" s="15" t="n">
        <f aca="false">IF(A118&lt;=0,0,MAX(0,ROUNDUP(LN('3. The decision'!$B$13)/LN(1+A118)-0.000000000001,0)-1))</f>
        <v>1</v>
      </c>
      <c r="I118" s="15" t="n">
        <f aca="false">IF(A118&lt;=0,1/(1-C118),(1+A118)*(1-(C118*(1+A118))^H118)/(1-C118*(1+A118))+'3. The decision'!$B$13*C118^H118/(1-C118))</f>
        <v>2.97839129335858</v>
      </c>
      <c r="J118" s="17" t="n">
        <f aca="false">F118+E118*D118/(1-C118)</f>
        <v>10.1798686469159</v>
      </c>
      <c r="K118" s="15" t="n">
        <f aca="false">F118-G118+E118*D118*I118</f>
        <v>11.9633371689332</v>
      </c>
      <c r="L118" s="17" t="n">
        <f aca="false">'3. The decision'!$B$8*'3. The decision'!$B$5/J118</f>
        <v>46.1341905567989</v>
      </c>
      <c r="M118" s="31" t="n">
        <f aca="false">L118*'3. The decision'!$B$6*'3. The decision'!$B$7*K118</f>
        <v>1058593.50178868</v>
      </c>
      <c r="N118" s="31" t="n">
        <f aca="false">M118*(1+'3. The decision'!$B$19+'3. The decision'!$B$20+'3. The decision'!$B$22)</f>
        <v>1170804.41297828</v>
      </c>
      <c r="O118" s="31" t="n">
        <f aca="false">'3. The decision'!$B$17+'3. The decision'!$B$18*L118*12+M118*('3. The decision'!$B$20*(1-'3. The decision'!$B$21)+'3. The decision'!$B$23)+N118*('3. The decision'!$B$24+'3. The decision'!$B$25)</f>
        <v>611718.810392043</v>
      </c>
      <c r="P118" s="31" t="n">
        <f aca="false">N118-O118</f>
        <v>559085.602586239</v>
      </c>
    </row>
    <row r="119" customFormat="false" ht="15" hidden="false" customHeight="false" outlineLevel="0" collapsed="false">
      <c r="A119" s="27" t="n">
        <f aca="false">112*0.0025</f>
        <v>0.28</v>
      </c>
      <c r="B119" s="27" t="n">
        <f aca="false">IF(A119&gt;0,MIN('3. The decision'!$B$15,'3. The decision'!$B$29*(A119/'3. The decision'!$B$28)^$B$4),0)</f>
        <v>0.214028664242441</v>
      </c>
      <c r="C119" s="15" t="n">
        <f aca="false">(1-'3. The decision'!$B$27-B119)*(1-'3. The decision'!$B$27)^('3. The decision'!$B$12-1)</f>
        <v>0.510017534458303</v>
      </c>
      <c r="D119" s="15" t="n">
        <f aca="false">1+(1-'3. The decision'!$B$27-B119)*(1-(1-'3. The decision'!$B$27)^('3. The decision'!$B$12-1))/'3. The decision'!$B$27</f>
        <v>4.1496812225452</v>
      </c>
      <c r="E119" s="15" t="n">
        <f aca="false">(1-'3. The decision'!$B$14)*(1-'3. The decision'!$B$27)^('3. The decision'!$B$11-1)</f>
        <v>0.690273454655712</v>
      </c>
      <c r="F119" s="15" t="n">
        <f aca="false">1+(1-'3. The decision'!$B$14)*(1-(1-'3. The decision'!$B$27)^('3. The decision'!$B$11-1))/'3. The decision'!$B$27</f>
        <v>4.28912098262087</v>
      </c>
      <c r="G119" s="15" t="n">
        <f aca="false">(1-(1-'3. The decision'!$B$9*MIN(1,('3. The decision'!$B$10/(52/12)))))+(1-(1-'3. The decision'!$B$9*MAX(0,MIN(1,('3. The decision'!$B$10/(52/12))-1))))*(1-'3. The decision'!$B$14)+(1-(1-'3. The decision'!$B$9*MAX(0,MIN(1,('3. The decision'!$B$10/(52/12))-2))))*(1-'3. The decision'!$B$14)*(1-'3. The decision'!$B$27)</f>
        <v>0.884576923076923</v>
      </c>
      <c r="H119" s="15" t="n">
        <f aca="false">IF(A119&lt;=0,0,MAX(0,ROUNDUP(LN('3. The decision'!$B$13)/LN(1+A119)-0.000000000001,0)-1))</f>
        <v>1</v>
      </c>
      <c r="I119" s="15" t="n">
        <f aca="false">IF(A119&lt;=0,1/(1-C119),(1+A119)*(1-(C119*(1+A119))^H119)/(1-C119*(1+A119))+'3. The decision'!$B$13*C119^H119/(1-C119))</f>
        <v>2.96624076151178</v>
      </c>
      <c r="J119" s="17" t="n">
        <f aca="false">F119+E119*D119/(1-C119)</f>
        <v>10.135074653717</v>
      </c>
      <c r="K119" s="15" t="n">
        <f aca="false">F119-G119+E119*D119*I119</f>
        <v>11.9010879770296</v>
      </c>
      <c r="L119" s="17" t="n">
        <f aca="false">'3. The decision'!$B$8*'3. The decision'!$B$5/J119</f>
        <v>46.338089855881</v>
      </c>
      <c r="M119" s="31" t="n">
        <f aca="false">L119*'3. The decision'!$B$6*'3. The decision'!$B$7*K119</f>
        <v>1057739.6118478</v>
      </c>
      <c r="N119" s="31" t="n">
        <f aca="false">M119*(1+'3. The decision'!$B$19+'3. The decision'!$B$20+'3. The decision'!$B$22)</f>
        <v>1169860.01070367</v>
      </c>
      <c r="O119" s="31" t="n">
        <f aca="false">'3. The decision'!$B$17+'3. The decision'!$B$18*L119*12+M119*('3. The decision'!$B$20*(1-'3. The decision'!$B$21)+'3. The decision'!$B$23)+N119*('3. The decision'!$B$24+'3. The decision'!$B$25)</f>
        <v>611935.782048258</v>
      </c>
      <c r="P119" s="31" t="n">
        <f aca="false">N119-O119</f>
        <v>557924.22865541</v>
      </c>
    </row>
    <row r="120" customFormat="false" ht="15" hidden="false" customHeight="false" outlineLevel="0" collapsed="false">
      <c r="A120" s="27" t="n">
        <f aca="false">113*0.0025</f>
        <v>0.2825</v>
      </c>
      <c r="B120" s="27" t="n">
        <f aca="false">IF(A120&gt;0,MIN('3. The decision'!$B$15,'3. The decision'!$B$29*(A120/'3. The decision'!$B$28)^$B$4),0)</f>
        <v>0.217094396741608</v>
      </c>
      <c r="C120" s="15" t="n">
        <f aca="false">(1-'3. The decision'!$B$27-B120)*(1-'3. The decision'!$B$27)^('3. The decision'!$B$12-1)</f>
        <v>0.507844303569421</v>
      </c>
      <c r="D120" s="15" t="n">
        <f aca="false">1+(1-'3. The decision'!$B$27-B120)*(1-(1-'3. The decision'!$B$27)^('3. The decision'!$B$12-1))/'3. The decision'!$B$27</f>
        <v>4.13626014569881</v>
      </c>
      <c r="E120" s="15" t="n">
        <f aca="false">(1-'3. The decision'!$B$14)*(1-'3. The decision'!$B$27)^('3. The decision'!$B$11-1)</f>
        <v>0.690273454655712</v>
      </c>
      <c r="F120" s="15" t="n">
        <f aca="false">1+(1-'3. The decision'!$B$14)*(1-(1-'3. The decision'!$B$27)^('3. The decision'!$B$11-1))/'3. The decision'!$B$27</f>
        <v>4.28912098262087</v>
      </c>
      <c r="G120" s="15" t="n">
        <f aca="false">(1-(1-'3. The decision'!$B$9*MIN(1,('3. The decision'!$B$10/(52/12)))))+(1-(1-'3. The decision'!$B$9*MAX(0,MIN(1,('3. The decision'!$B$10/(52/12))-1))))*(1-'3. The decision'!$B$14)+(1-(1-'3. The decision'!$B$9*MAX(0,MIN(1,('3. The decision'!$B$10/(52/12))-2))))*(1-'3. The decision'!$B$14)*(1-'3. The decision'!$B$27)</f>
        <v>0.884576923076923</v>
      </c>
      <c r="H120" s="15" t="n">
        <f aca="false">IF(A120&lt;=0,0,MAX(0,ROUNDUP(LN('3. The decision'!$B$13)/LN(1+A120)-0.000000000001,0)-1))</f>
        <v>1</v>
      </c>
      <c r="I120" s="15" t="n">
        <f aca="false">IF(A120&lt;=0,1/(1-C120),(1+A120)*(1-(C120*(1+A120))^H120)/(1-C120*(1+A120))+'3. The decision'!$B$13*C120^H120/(1-C120))</f>
        <v>2.95414126667486</v>
      </c>
      <c r="J120" s="17" t="n">
        <f aca="false">F120+E120*D120/(1-C120)</f>
        <v>10.0904367061482</v>
      </c>
      <c r="K120" s="15" t="n">
        <f aca="false">F120-G120+E120*D120*I120</f>
        <v>11.8390622108656</v>
      </c>
      <c r="L120" s="17" t="n">
        <f aca="false">'3. The decision'!$B$8*'3. The decision'!$B$5/J120</f>
        <v>46.5430797176344</v>
      </c>
      <c r="M120" s="31" t="n">
        <f aca="false">L120*'3. The decision'!$B$6*'3. The decision'!$B$7*K120</f>
        <v>1056881.74159429</v>
      </c>
      <c r="N120" s="31" t="n">
        <f aca="false">M120*(1+'3. The decision'!$B$19+'3. The decision'!$B$20+'3. The decision'!$B$22)</f>
        <v>1168911.20620328</v>
      </c>
      <c r="O120" s="31" t="n">
        <f aca="false">'3. The decision'!$B$17+'3. The decision'!$B$18*L120*12+M120*('3. The decision'!$B$20*(1-'3. The decision'!$B$21)+'3. The decision'!$B$23)+N120*('3. The decision'!$B$24+'3. The decision'!$B$25)</f>
        <v>612153.977335057</v>
      </c>
      <c r="P120" s="31" t="n">
        <f aca="false">N120-O120</f>
        <v>556757.228868224</v>
      </c>
    </row>
    <row r="121" customFormat="false" ht="15" hidden="false" customHeight="false" outlineLevel="0" collapsed="false">
      <c r="A121" s="27" t="n">
        <f aca="false">114*0.0025</f>
        <v>0.285</v>
      </c>
      <c r="B121" s="27" t="n">
        <f aca="false">IF(A121&gt;0,MIN('3. The decision'!$B$15,'3. The decision'!$B$29*(A121/'3. The decision'!$B$28)^$B$4),0)</f>
        <v>0.220176450909079</v>
      </c>
      <c r="C121" s="15" t="n">
        <f aca="false">(1-'3. The decision'!$B$27-B121)*(1-'3. The decision'!$B$27)^('3. The decision'!$B$12-1)</f>
        <v>0.50565950260594</v>
      </c>
      <c r="D121" s="15" t="n">
        <f aca="false">1+(1-'3. The decision'!$B$27-B121)*(1-(1-'3. The decision'!$B$27)^('3. The decision'!$B$12-1))/'3. The decision'!$B$27</f>
        <v>4.12276761631552</v>
      </c>
      <c r="E121" s="15" t="n">
        <f aca="false">(1-'3. The decision'!$B$14)*(1-'3. The decision'!$B$27)^('3. The decision'!$B$11-1)</f>
        <v>0.690273454655712</v>
      </c>
      <c r="F121" s="15" t="n">
        <f aca="false">1+(1-'3. The decision'!$B$14)*(1-(1-'3. The decision'!$B$27)^('3. The decision'!$B$11-1))/'3. The decision'!$B$27</f>
        <v>4.28912098262087</v>
      </c>
      <c r="G121" s="15" t="n">
        <f aca="false">(1-(1-'3. The decision'!$B$9*MIN(1,('3. The decision'!$B$10/(52/12)))))+(1-(1-'3. The decision'!$B$9*MAX(0,MIN(1,('3. The decision'!$B$10/(52/12))-1))))*(1-'3. The decision'!$B$14)+(1-(1-'3. The decision'!$B$9*MAX(0,MIN(1,('3. The decision'!$B$10/(52/12))-2))))*(1-'3. The decision'!$B$14)*(1-'3. The decision'!$B$27)</f>
        <v>0.884576923076923</v>
      </c>
      <c r="H121" s="15" t="n">
        <f aca="false">IF(A121&lt;=0,0,MAX(0,ROUNDUP(LN('3. The decision'!$B$13)/LN(1+A121)-0.000000000001,0)-1))</f>
        <v>1</v>
      </c>
      <c r="I121" s="15" t="n">
        <f aca="false">IF(A121&lt;=0,1/(1-C121),(1+A121)*(1-(C121*(1+A121))^H121)/(1-C121*(1+A121))+'3. The decision'!$B$13*C121^H121/(1-C121))</f>
        <v>2.94209343770115</v>
      </c>
      <c r="J121" s="17" t="n">
        <f aca="false">F121+E121*D121/(1-C121)</f>
        <v>10.0459567269282</v>
      </c>
      <c r="K121" s="15" t="n">
        <f aca="false">F121-G121+E121*D121*I121</f>
        <v>11.7772625551608</v>
      </c>
      <c r="L121" s="17" t="n">
        <f aca="false">'3. The decision'!$B$8*'3. The decision'!$B$5/J121</f>
        <v>46.7491561795332</v>
      </c>
      <c r="M121" s="31" t="n">
        <f aca="false">L121*'3. The decision'!$B$6*'3. The decision'!$B$7*K121</f>
        <v>1056019.9165604</v>
      </c>
      <c r="N121" s="31" t="n">
        <f aca="false">M121*(1+'3. The decision'!$B$19+'3. The decision'!$B$20+'3. The decision'!$B$22)</f>
        <v>1167958.0277158</v>
      </c>
      <c r="O121" s="31" t="n">
        <f aca="false">'3. The decision'!$B$17+'3. The decision'!$B$18*L121*12+M121*('3. The decision'!$B$20*(1-'3. The decision'!$B$21)+'3. The decision'!$B$23)+N121*('3. The decision'!$B$24+'3. The decision'!$B$25)</f>
        <v>612373.392997837</v>
      </c>
      <c r="P121" s="31" t="n">
        <f aca="false">N121-O121</f>
        <v>555584.634717963</v>
      </c>
    </row>
    <row r="122" customFormat="false" ht="15" hidden="false" customHeight="false" outlineLevel="0" collapsed="false">
      <c r="A122" s="27" t="n">
        <f aca="false">115*0.0025</f>
        <v>0.2875</v>
      </c>
      <c r="B122" s="27" t="n">
        <f aca="false">IF(A122&gt;0,MIN('3. The decision'!$B$15,'3. The decision'!$B$29*(A122/'3. The decision'!$B$28)^$B$4),0)</f>
        <v>0.223274769323385</v>
      </c>
      <c r="C122" s="15" t="n">
        <f aca="false">(1-'3. The decision'!$B$27-B122)*(1-'3. The decision'!$B$27)^('3. The decision'!$B$12-1)</f>
        <v>0.503463172272685</v>
      </c>
      <c r="D122" s="15" t="n">
        <f aca="false">1+(1-'3. The decision'!$B$27-B122)*(1-(1-'3. The decision'!$B$27)^('3. The decision'!$B$12-1))/'3. The decision'!$B$27</f>
        <v>4.10920388577338</v>
      </c>
      <c r="E122" s="15" t="n">
        <f aca="false">(1-'3. The decision'!$B$14)*(1-'3. The decision'!$B$27)^('3. The decision'!$B$11-1)</f>
        <v>0.690273454655712</v>
      </c>
      <c r="F122" s="15" t="n">
        <f aca="false">1+(1-'3. The decision'!$B$14)*(1-(1-'3. The decision'!$B$27)^('3. The decision'!$B$11-1))/'3. The decision'!$B$27</f>
        <v>4.28912098262087</v>
      </c>
      <c r="G122" s="15" t="n">
        <f aca="false">(1-(1-'3. The decision'!$B$9*MIN(1,('3. The decision'!$B$10/(52/12)))))+(1-(1-'3. The decision'!$B$9*MAX(0,MIN(1,('3. The decision'!$B$10/(52/12))-1))))*(1-'3. The decision'!$B$14)+(1-(1-'3. The decision'!$B$9*MAX(0,MIN(1,('3. The decision'!$B$10/(52/12))-2))))*(1-'3. The decision'!$B$14)*(1-'3. The decision'!$B$27)</f>
        <v>0.884576923076923</v>
      </c>
      <c r="H122" s="15" t="n">
        <f aca="false">IF(A122&lt;=0,0,MAX(0,ROUNDUP(LN('3. The decision'!$B$13)/LN(1+A122)-0.000000000001,0)-1))</f>
        <v>1</v>
      </c>
      <c r="I122" s="15" t="n">
        <f aca="false">IF(A122&lt;=0,1/(1-C122),(1+A122)*(1-(C122*(1+A122))^H122)/(1-C122*(1+A122))+'3. The decision'!$B$13*C122^H122/(1-C122))</f>
        <v>2.93009787700916</v>
      </c>
      <c r="J122" s="17" t="n">
        <f aca="false">F122+E122*D122/(1-C122)</f>
        <v>10.0016365579513</v>
      </c>
      <c r="K122" s="15" t="n">
        <f aca="false">F122-G122+E122*D122*I122</f>
        <v>11.7156915661752</v>
      </c>
      <c r="L122" s="17" t="n">
        <f aca="false">'3. The decision'!$B$8*'3. The decision'!$B$5/J122</f>
        <v>46.9563153268786</v>
      </c>
      <c r="M122" s="31" t="n">
        <f aca="false">L122*'3. The decision'!$B$6*'3. The decision'!$B$7*K122</f>
        <v>1055154.16072669</v>
      </c>
      <c r="N122" s="31" t="n">
        <f aca="false">M122*(1+'3. The decision'!$B$19+'3. The decision'!$B$20+'3. The decision'!$B$22)</f>
        <v>1167000.50176372</v>
      </c>
      <c r="O122" s="31" t="n">
        <f aca="false">'3. The decision'!$B$17+'3. The decision'!$B$18*L122*12+M122*('3. The decision'!$B$20*(1-'3. The decision'!$B$21)+'3. The decision'!$B$23)+N122*('3. The decision'!$B$24+'3. The decision'!$B$25)</f>
        <v>612594.025687442</v>
      </c>
      <c r="P122" s="31" t="n">
        <f aca="false">N122-O122</f>
        <v>554406.476076279</v>
      </c>
    </row>
    <row r="123" customFormat="false" ht="15" hidden="false" customHeight="false" outlineLevel="0" collapsed="false">
      <c r="A123" s="27" t="n">
        <f aca="false">116*0.0025</f>
        <v>0.29</v>
      </c>
      <c r="B123" s="27" t="n">
        <f aca="false">IF(A123&gt;0,MIN('3. The decision'!$B$15,'3. The decision'!$B$29*(A123/'3. The decision'!$B$28)^$B$4),0)</f>
        <v>0.226389295263961</v>
      </c>
      <c r="C123" s="15" t="n">
        <f aca="false">(1-'3. The decision'!$B$27-B123)*(1-'3. The decision'!$B$27)^('3. The decision'!$B$12-1)</f>
        <v>0.50125535277763</v>
      </c>
      <c r="D123" s="15" t="n">
        <f aca="false">1+(1-'3. The decision'!$B$27-B123)*(1-(1-'3. The decision'!$B$27)^('3. The decision'!$B$12-1))/'3. The decision'!$B$27</f>
        <v>4.09556920238209</v>
      </c>
      <c r="E123" s="15" t="n">
        <f aca="false">(1-'3. The decision'!$B$14)*(1-'3. The decision'!$B$27)^('3. The decision'!$B$11-1)</f>
        <v>0.690273454655712</v>
      </c>
      <c r="F123" s="15" t="n">
        <f aca="false">1+(1-'3. The decision'!$B$14)*(1-(1-'3. The decision'!$B$27)^('3. The decision'!$B$11-1))/'3. The decision'!$B$27</f>
        <v>4.28912098262087</v>
      </c>
      <c r="G123" s="15" t="n">
        <f aca="false">(1-(1-'3. The decision'!$B$9*MIN(1,('3. The decision'!$B$10/(52/12)))))+(1-(1-'3. The decision'!$B$9*MAX(0,MIN(1,('3. The decision'!$B$10/(52/12))-1))))*(1-'3. The decision'!$B$14)+(1-(1-'3. The decision'!$B$9*MAX(0,MIN(1,('3. The decision'!$B$10/(52/12))-2))))*(1-'3. The decision'!$B$14)*(1-'3. The decision'!$B$27)</f>
        <v>0.884576923076923</v>
      </c>
      <c r="H123" s="15" t="n">
        <f aca="false">IF(A123&lt;=0,0,MAX(0,ROUNDUP(LN('3. The decision'!$B$13)/LN(1+A123)-0.000000000001,0)-1))</f>
        <v>1</v>
      </c>
      <c r="I123" s="15" t="n">
        <f aca="false">IF(A123&lt;=0,1/(1-C123),(1+A123)*(1-(C123*(1+A123))^H123)/(1-C123*(1+A123))+'3. The decision'!$B$13*C123^H123/(1-C123))</f>
        <v>2.91815516120759</v>
      </c>
      <c r="J123" s="17" t="n">
        <f aca="false">F123+E123*D123/(1-C123)</f>
        <v>9.95747796219834</v>
      </c>
      <c r="K123" s="15" t="n">
        <f aca="false">F123-G123+E123*D123*I123</f>
        <v>11.6543516747632</v>
      </c>
      <c r="L123" s="17" t="n">
        <f aca="false">'3. The decision'!$B$8*'3. The decision'!$B$5/J123</f>
        <v>47.1645532917972</v>
      </c>
      <c r="M123" s="31" t="n">
        <f aca="false">L123*'3. The decision'!$B$6*'3. The decision'!$B$7*K123</f>
        <v>1054284.49652979</v>
      </c>
      <c r="N123" s="31" t="n">
        <f aca="false">M123*(1+'3. The decision'!$B$19+'3. The decision'!$B$20+'3. The decision'!$B$22)</f>
        <v>1166038.65316194</v>
      </c>
      <c r="O123" s="31" t="n">
        <f aca="false">'3. The decision'!$B$17+'3. The decision'!$B$18*L123*12+M123*('3. The decision'!$B$20*(1-'3. The decision'!$B$21)+'3. The decision'!$B$23)+N123*('3. The decision'!$B$24+'3. The decision'!$B$25)</f>
        <v>612815.871959477</v>
      </c>
      <c r="P123" s="31" t="n">
        <f aca="false">N123-O123</f>
        <v>553222.781202466</v>
      </c>
    </row>
    <row r="124" customFormat="false" ht="15" hidden="false" customHeight="false" outlineLevel="0" collapsed="false">
      <c r="A124" s="27" t="n">
        <f aca="false">117*0.0025</f>
        <v>0.2925</v>
      </c>
      <c r="B124" s="27" t="n">
        <f aca="false">IF(A124&gt;0,MIN('3. The decision'!$B$15,'3. The decision'!$B$29*(A124/'3. The decision'!$B$28)^$B$4),0)</f>
        <v>0.229519972696601</v>
      </c>
      <c r="C124" s="15" t="n">
        <f aca="false">(1-'3. The decision'!$B$27-B124)*(1-'3. The decision'!$B$27)^('3. The decision'!$B$12-1)</f>
        <v>0.4990360838422</v>
      </c>
      <c r="D124" s="15" t="n">
        <f aca="false">1+(1-'3. The decision'!$B$27-B124)*(1-(1-'3. The decision'!$B$27)^('3. The decision'!$B$12-1))/'3. The decision'!$B$27</f>
        <v>4.08186381144661</v>
      </c>
      <c r="E124" s="15" t="n">
        <f aca="false">(1-'3. The decision'!$B$14)*(1-'3. The decision'!$B$27)^('3. The decision'!$B$11-1)</f>
        <v>0.690273454655712</v>
      </c>
      <c r="F124" s="15" t="n">
        <f aca="false">1+(1-'3. The decision'!$B$14)*(1-(1-'3. The decision'!$B$27)^('3. The decision'!$B$11-1))/'3. The decision'!$B$27</f>
        <v>4.28912098262087</v>
      </c>
      <c r="G124" s="15" t="n">
        <f aca="false">(1-(1-'3. The decision'!$B$9*MIN(1,('3. The decision'!$B$10/(52/12)))))+(1-(1-'3. The decision'!$B$9*MAX(0,MIN(1,('3. The decision'!$B$10/(52/12))-1))))*(1-'3. The decision'!$B$14)+(1-(1-'3. The decision'!$B$9*MAX(0,MIN(1,('3. The decision'!$B$10/(52/12))-2))))*(1-'3. The decision'!$B$14)*(1-'3. The decision'!$B$27)</f>
        <v>0.884576923076923</v>
      </c>
      <c r="H124" s="15" t="n">
        <f aca="false">IF(A124&lt;=0,0,MAX(0,ROUNDUP(LN('3. The decision'!$B$13)/LN(1+A124)-0.000000000001,0)-1))</f>
        <v>1</v>
      </c>
      <c r="I124" s="15" t="n">
        <f aca="false">IF(A124&lt;=0,1/(1-C124),(1+A124)*(1-(C124*(1+A124))^H124)/(1-C124*(1+A124))+'3. The decision'!$B$13*C124^H124/(1-C124))</f>
        <v>2.90626584170927</v>
      </c>
      <c r="J124" s="17" t="n">
        <f aca="false">F124+E124*D124/(1-C124)</f>
        <v>9.91348262561366</v>
      </c>
      <c r="K124" s="15" t="n">
        <f aca="false">F124-G124+E124*D124*I124</f>
        <v>11.5932451893734</v>
      </c>
      <c r="L124" s="17" t="n">
        <f aca="false">'3. The decision'!$B$8*'3. The decision'!$B$5/J124</f>
        <v>47.3738662522676</v>
      </c>
      <c r="M124" s="31" t="n">
        <f aca="false">L124*'3. The decision'!$B$6*'3. The decision'!$B$7*K124</f>
        <v>1053410.94486986</v>
      </c>
      <c r="N124" s="31" t="n">
        <f aca="false">M124*(1+'3. The decision'!$B$19+'3. The decision'!$B$20+'3. The decision'!$B$22)</f>
        <v>1165072.50502606</v>
      </c>
      <c r="O124" s="31" t="n">
        <f aca="false">'3. The decision'!$B$17+'3. The decision'!$B$18*L124*12+M124*('3. The decision'!$B$20*(1-'3. The decision'!$B$21)+'3. The decision'!$B$23)+N124*('3. The decision'!$B$24+'3. The decision'!$B$25)</f>
        <v>613038.928273643</v>
      </c>
      <c r="P124" s="31" t="n">
        <f aca="false">N124-O124</f>
        <v>552033.576752418</v>
      </c>
    </row>
    <row r="125" customFormat="false" ht="15" hidden="false" customHeight="false" outlineLevel="0" collapsed="false">
      <c r="A125" s="27" t="n">
        <f aca="false">118*0.0025</f>
        <v>0.295</v>
      </c>
      <c r="B125" s="27" t="n">
        <f aca="false">IF(A125&gt;0,MIN('3. The decision'!$B$15,'3. The decision'!$B$29*(A125/'3. The decision'!$B$28)^$B$4),0)</f>
        <v>0.232666746259341</v>
      </c>
      <c r="C125" s="15" t="n">
        <f aca="false">(1-'3. The decision'!$B$27-B125)*(1-'3. The decision'!$B$27)^('3. The decision'!$B$12-1)</f>
        <v>0.496805404711283</v>
      </c>
      <c r="D125" s="15" t="n">
        <f aca="false">1+(1-'3. The decision'!$B$27-B125)*(1-(1-'3. The decision'!$B$27)^('3. The decision'!$B$12-1))/'3. The decision'!$B$27</f>
        <v>4.06808795532897</v>
      </c>
      <c r="E125" s="15" t="n">
        <f aca="false">(1-'3. The decision'!$B$14)*(1-'3. The decision'!$B$27)^('3. The decision'!$B$11-1)</f>
        <v>0.690273454655712</v>
      </c>
      <c r="F125" s="15" t="n">
        <f aca="false">1+(1-'3. The decision'!$B$14)*(1-(1-'3. The decision'!$B$27)^('3. The decision'!$B$11-1))/'3. The decision'!$B$27</f>
        <v>4.28912098262087</v>
      </c>
      <c r="G125" s="15" t="n">
        <f aca="false">(1-(1-'3. The decision'!$B$9*MIN(1,('3. The decision'!$B$10/(52/12)))))+(1-(1-'3. The decision'!$B$9*MAX(0,MIN(1,('3. The decision'!$B$10/(52/12))-1))))*(1-'3. The decision'!$B$14)+(1-(1-'3. The decision'!$B$9*MAX(0,MIN(1,('3. The decision'!$B$10/(52/12))-2))))*(1-'3. The decision'!$B$14)*(1-'3. The decision'!$B$27)</f>
        <v>0.884576923076923</v>
      </c>
      <c r="H125" s="15" t="n">
        <f aca="false">IF(A125&lt;=0,0,MAX(0,ROUNDUP(LN('3. The decision'!$B$13)/LN(1+A125)-0.000000000001,0)-1))</f>
        <v>1</v>
      </c>
      <c r="I125" s="15" t="n">
        <f aca="false">IF(A125&lt;=0,1/(1-C125),(1+A125)*(1-(C125*(1+A125))^H125)/(1-C125*(1+A125))+'3. The decision'!$B$13*C125^H125/(1-C125))</f>
        <v>2.89443044533397</v>
      </c>
      <c r="J125" s="17" t="n">
        <f aca="false">F125+E125*D125/(1-C125)</f>
        <v>9.86965215894844</v>
      </c>
      <c r="K125" s="15" t="n">
        <f aca="false">F125-G125+E125*D125*I125</f>
        <v>11.5323742989949</v>
      </c>
      <c r="L125" s="17" t="n">
        <f aca="false">'3. The decision'!$B$8*'3. The decision'!$B$5/J125</f>
        <v>47.5842504311761</v>
      </c>
      <c r="M125" s="31" t="n">
        <f aca="false">L125*'3. The decision'!$B$6*'3. The decision'!$B$7*K125</f>
        <v>1052533.52511787</v>
      </c>
      <c r="N125" s="31" t="n">
        <f aca="false">M125*(1+'3. The decision'!$B$19+'3. The decision'!$B$20+'3. The decision'!$B$22)</f>
        <v>1164102.07878036</v>
      </c>
      <c r="O125" s="31" t="n">
        <f aca="false">'3. The decision'!$B$17+'3. The decision'!$B$18*L125*12+M125*('3. The decision'!$B$20*(1-'3. The decision'!$B$21)+'3. The decision'!$B$23)+N125*('3. The decision'!$B$24+'3. The decision'!$B$25)</f>
        <v>613263.190993086</v>
      </c>
      <c r="P125" s="31" t="n">
        <f aca="false">N125-O125</f>
        <v>550838.887787278</v>
      </c>
    </row>
    <row r="126" customFormat="false" ht="15" hidden="false" customHeight="false" outlineLevel="0" collapsed="false">
      <c r="A126" s="27" t="n">
        <f aca="false">119*0.0025</f>
        <v>0.2975</v>
      </c>
      <c r="B126" s="27" t="n">
        <f aca="false">IF(A126&gt;0,MIN('3. The decision'!$B$15,'3. The decision'!$B$29*(A126/'3. The decision'!$B$28)^$B$4),0)</f>
        <v>0.235829561248756</v>
      </c>
      <c r="C126" s="15" t="n">
        <f aca="false">(1-'3. The decision'!$B$27-B126)*(1-'3. The decision'!$B$27)^('3. The decision'!$B$12-1)</f>
        <v>0.494563354162944</v>
      </c>
      <c r="D126" s="15" t="n">
        <f aca="false">1+(1-'3. The decision'!$B$27-B126)*(1-(1-'3. The decision'!$B$27)^('3. The decision'!$B$12-1))/'3. The decision'!$B$27</f>
        <v>4.05424187350827</v>
      </c>
      <c r="E126" s="15" t="n">
        <f aca="false">(1-'3. The decision'!$B$14)*(1-'3. The decision'!$B$27)^('3. The decision'!$B$11-1)</f>
        <v>0.690273454655712</v>
      </c>
      <c r="F126" s="15" t="n">
        <f aca="false">1+(1-'3. The decision'!$B$14)*(1-(1-'3. The decision'!$B$27)^('3. The decision'!$B$11-1))/'3. The decision'!$B$27</f>
        <v>4.28912098262087</v>
      </c>
      <c r="G126" s="15" t="n">
        <f aca="false">(1-(1-'3. The decision'!$B$9*MIN(1,('3. The decision'!$B$10/(52/12)))))+(1-(1-'3. The decision'!$B$9*MAX(0,MIN(1,('3. The decision'!$B$10/(52/12))-1))))*(1-'3. The decision'!$B$14)+(1-(1-'3. The decision'!$B$9*MAX(0,MIN(1,('3. The decision'!$B$10/(52/12))-2))))*(1-'3. The decision'!$B$14)*(1-'3. The decision'!$B$27)</f>
        <v>0.884576923076923</v>
      </c>
      <c r="H126" s="15" t="n">
        <f aca="false">IF(A126&lt;=0,0,MAX(0,ROUNDUP(LN('3. The decision'!$B$13)/LN(1+A126)-0.000000000001,0)-1))</f>
        <v>1</v>
      </c>
      <c r="I126" s="15" t="n">
        <f aca="false">IF(A126&lt;=0,1/(1-C126),(1+A126)*(1-(C126*(1+A126))^H126)/(1-C126*(1+A126))+'3. The decision'!$B$13*C126^H126/(1-C126))</f>
        <v>2.88264947490028</v>
      </c>
      <c r="J126" s="17" t="n">
        <f aca="false">F126+E126*D126/(1-C126)</f>
        <v>9.82598809957028</v>
      </c>
      <c r="K126" s="15" t="n">
        <f aca="false">F126-G126+E126*D126*I126</f>
        <v>11.4717410760502</v>
      </c>
      <c r="L126" s="17" t="n">
        <f aca="false">'3. The decision'!$B$8*'3. The decision'!$B$5/J126</f>
        <v>47.7957020953993</v>
      </c>
      <c r="M126" s="31" t="n">
        <f aca="false">L126*'3. The decision'!$B$6*'3. The decision'!$B$7*K126</f>
        <v>1051652.25512257</v>
      </c>
      <c r="N126" s="31" t="n">
        <f aca="false">M126*(1+'3. The decision'!$B$19+'3. The decision'!$B$20+'3. The decision'!$B$22)</f>
        <v>1163127.39416556</v>
      </c>
      <c r="O126" s="31" t="n">
        <f aca="false">'3. The decision'!$B$17+'3. The decision'!$B$18*L126*12+M126*('3. The decision'!$B$20*(1-'3. The decision'!$B$21)+'3. The decision'!$B$23)+N126*('3. The decision'!$B$24+'3. The decision'!$B$25)</f>
        <v>613488.656383755</v>
      </c>
      <c r="P126" s="31" t="n">
        <f aca="false">N126-O126</f>
        <v>549638.737781807</v>
      </c>
    </row>
    <row r="127" customFormat="false" ht="15" hidden="false" customHeight="false" outlineLevel="0" collapsed="false">
      <c r="A127" s="27" t="n">
        <f aca="false">120*0.0025</f>
        <v>0.3</v>
      </c>
      <c r="B127" s="27" t="n">
        <f aca="false">IF(A127&gt;0,MIN('3. The decision'!$B$15,'3. The decision'!$B$29*(A127/'3. The decision'!$B$28)^$B$4),0)</f>
        <v>0.23900836360664</v>
      </c>
      <c r="C127" s="15" t="n">
        <f aca="false">(1-'3. The decision'!$B$27-B127)*(1-'3. The decision'!$B$27)^('3. The decision'!$B$12-1)</f>
        <v>0.492309970517866</v>
      </c>
      <c r="D127" s="15" t="n">
        <f aca="false">1+(1-'3. The decision'!$B$27-B127)*(1-(1-'3. The decision'!$B$27)^('3. The decision'!$B$12-1))/'3. The decision'!$B$27</f>
        <v>4.040325802639</v>
      </c>
      <c r="E127" s="15" t="n">
        <f aca="false">(1-'3. The decision'!$B$14)*(1-'3. The decision'!$B$27)^('3. The decision'!$B$11-1)</f>
        <v>0.690273454655712</v>
      </c>
      <c r="F127" s="15" t="n">
        <f aca="false">1+(1-'3. The decision'!$B$14)*(1-(1-'3. The decision'!$B$27)^('3. The decision'!$B$11-1))/'3. The decision'!$B$27</f>
        <v>4.28912098262087</v>
      </c>
      <c r="G127" s="15" t="n">
        <f aca="false">(1-(1-'3. The decision'!$B$9*MIN(1,('3. The decision'!$B$10/(52/12)))))+(1-(1-'3. The decision'!$B$9*MAX(0,MIN(1,('3. The decision'!$B$10/(52/12))-1))))*(1-'3. The decision'!$B$14)+(1-(1-'3. The decision'!$B$9*MAX(0,MIN(1,('3. The decision'!$B$10/(52/12))-2))))*(1-'3. The decision'!$B$14)*(1-'3. The decision'!$B$27)</f>
        <v>0.884576923076923</v>
      </c>
      <c r="H127" s="15" t="n">
        <f aca="false">IF(A127&lt;=0,0,MAX(0,ROUNDUP(LN('3. The decision'!$B$13)/LN(1+A127)-0.000000000001,0)-1))</f>
        <v>1</v>
      </c>
      <c r="I127" s="15" t="n">
        <f aca="false">IF(A127&lt;=0,1/(1-C127),(1+A127)*(1-(C127*(1+A127))^H127)/(1-C127*(1+A127))+'3. The decision'!$B$13*C127^H127/(1-C127))</f>
        <v>2.87092340980671</v>
      </c>
      <c r="J127" s="17" t="n">
        <f aca="false">F127+E127*D127/(1-C127)</f>
        <v>9.78249191323983</v>
      </c>
      <c r="K127" s="15" t="n">
        <f aca="false">F127-G127+E127*D127*I127</f>
        <v>11.4113474792355</v>
      </c>
      <c r="L127" s="17" t="n">
        <f aca="false">'3. The decision'!$B$8*'3. The decision'!$B$5/J127</f>
        <v>48.0082175549135</v>
      </c>
      <c r="M127" s="31" t="n">
        <f aca="false">L127*'3. The decision'!$B$6*'3. The decision'!$B$7*K127</f>
        <v>1050767.15121722</v>
      </c>
      <c r="N127" s="31" t="n">
        <f aca="false">M127*(1+'3. The decision'!$B$19+'3. The decision'!$B$20+'3. The decision'!$B$22)</f>
        <v>1162148.46924625</v>
      </c>
      <c r="O127" s="31" t="n">
        <f aca="false">'3. The decision'!$B$17+'3. The decision'!$B$18*L127*12+M127*('3. The decision'!$B$20*(1-'3. The decision'!$B$21)+'3. The decision'!$B$23)+N127*('3. The decision'!$B$24+'3. The decision'!$B$25)</f>
        <v>613715.320613784</v>
      </c>
      <c r="P127" s="31" t="n">
        <f aca="false">N127-O127</f>
        <v>548433.148632463</v>
      </c>
    </row>
    <row r="128" customFormat="false" ht="15" hidden="false" customHeight="false" outlineLevel="0" collapsed="false">
      <c r="A128" s="27" t="n">
        <f aca="false">'3. The decision'!$B$13^(1/1)-1</f>
        <v>0.62</v>
      </c>
      <c r="B128" s="27" t="n">
        <f aca="false">IF(A128&gt;0,MIN('3. The decision'!$B$15,'3. The decision'!$B$29*(A128/'3. The decision'!$B$28)^$B$4),0)</f>
        <v>0.75</v>
      </c>
      <c r="C128" s="15" t="n">
        <f aca="false">(1-'3. The decision'!$B$27-B128)*(1-'3. The decision'!$B$27)^('3. The decision'!$B$12-1)</f>
        <v>0.130079146898265</v>
      </c>
      <c r="D128" s="15" t="n">
        <f aca="false">1+(1-'3. The decision'!$B$27-B128)*(1-(1-'3. The decision'!$B$27)^('3. The decision'!$B$12-1))/'3. The decision'!$B$27</f>
        <v>1.80332109927421</v>
      </c>
      <c r="E128" s="15" t="n">
        <f aca="false">(1-'3. The decision'!$B$14)*(1-'3. The decision'!$B$27)^('3. The decision'!$B$11-1)</f>
        <v>0.690273454655712</v>
      </c>
      <c r="F128" s="15" t="n">
        <f aca="false">1+(1-'3. The decision'!$B$14)*(1-(1-'3. The decision'!$B$27)^('3. The decision'!$B$11-1))/'3. The decision'!$B$27</f>
        <v>4.28912098262087</v>
      </c>
      <c r="G128" s="15" t="n">
        <f aca="false">(1-(1-'3. The decision'!$B$9*MIN(1,('3. The decision'!$B$10/(52/12)))))+(1-(1-'3. The decision'!$B$9*MAX(0,MIN(1,('3. The decision'!$B$10/(52/12))-1))))*(1-'3. The decision'!$B$14)+(1-(1-'3. The decision'!$B$9*MAX(0,MIN(1,('3. The decision'!$B$10/(52/12))-2))))*(1-'3. The decision'!$B$14)*(1-'3. The decision'!$B$27)</f>
        <v>0.884576923076923</v>
      </c>
      <c r="H128" s="15" t="n">
        <f aca="false">IF(A128&lt;=0,0,MAX(0,ROUNDUP(LN('3. The decision'!$B$13)/LN(1+A128)-0.000000000001,0)-1))</f>
        <v>0</v>
      </c>
      <c r="I128" s="15" t="n">
        <f aca="false">IF(A128&lt;=0,1/(1-C128),(1+A128)*(1-(C128*(1+A128))^H128)/(1-C128*(1+A128))+'3. The decision'!$B$13*C128^H128/(1-C128))</f>
        <v>1.86223837976045</v>
      </c>
      <c r="J128" s="17" t="n">
        <f aca="false">F128+E128*D128/(1-C128)</f>
        <v>5.72003815239697</v>
      </c>
      <c r="K128" s="15" t="n">
        <f aca="false">F128-G128+E128*D128*I128</f>
        <v>5.72262987458123</v>
      </c>
      <c r="L128" s="17" t="n">
        <f aca="false">'3. The decision'!$B$8*'3. The decision'!$B$5/J128</f>
        <v>82.104347468941</v>
      </c>
      <c r="M128" s="31" t="n">
        <f aca="false">L128*'3. The decision'!$B$6*'3. The decision'!$B$7*K128</f>
        <v>901188.803450794</v>
      </c>
      <c r="N128" s="31" t="n">
        <f aca="false">M128*(1+'3. The decision'!$B$19+'3. The decision'!$B$20+'3. The decision'!$B$22)</f>
        <v>996714.816616578</v>
      </c>
      <c r="O128" s="31" t="n">
        <f aca="false">'3. The decision'!$B$17+'3. The decision'!$B$18*L128*12+M128*('3. The decision'!$B$20*(1-'3. The decision'!$B$21)+'3. The decision'!$B$23)+N128*('3. The decision'!$B$24+'3. The decision'!$B$25)</f>
        <v>649266.574805342</v>
      </c>
      <c r="P128" s="31" t="n">
        <f aca="false">N128-O128</f>
        <v>347448.241811236</v>
      </c>
    </row>
    <row r="129" customFormat="false" ht="15" hidden="false" customHeight="false" outlineLevel="0" collapsed="false">
      <c r="A129" s="27" t="n">
        <f aca="false">'3. The decision'!$B$13^(1/2)-1</f>
        <v>0.272792206135786</v>
      </c>
      <c r="B129" s="27" t="n">
        <f aca="false">IF(A129&gt;0,MIN('3. The decision'!$B$15,'3. The decision'!$B$29*(A129/'3. The decision'!$B$28)^$B$4),0)</f>
        <v>0.205281694440734</v>
      </c>
      <c r="C129" s="15" t="n">
        <f aca="false">(1-'3. The decision'!$B$27-B129)*(1-'3. The decision'!$B$27)^('3. The decision'!$B$12-1)</f>
        <v>0.51621807053324</v>
      </c>
      <c r="D129" s="15" t="n">
        <f aca="false">1+(1-'3. The decision'!$B$27-B129)*(1-(1-'3. The decision'!$B$27)^('3. The decision'!$B$12-1))/'3. The decision'!$B$27</f>
        <v>4.18797345903798</v>
      </c>
      <c r="E129" s="15" t="n">
        <f aca="false">(1-'3. The decision'!$B$14)*(1-'3. The decision'!$B$27)^('3. The decision'!$B$11-1)</f>
        <v>0.690273454655712</v>
      </c>
      <c r="F129" s="15" t="n">
        <f aca="false">1+(1-'3. The decision'!$B$14)*(1-(1-'3. The decision'!$B$27)^('3. The decision'!$B$11-1))/'3. The decision'!$B$27</f>
        <v>4.28912098262087</v>
      </c>
      <c r="G129" s="15" t="n">
        <f aca="false">(1-(1-'3. The decision'!$B$9*MIN(1,('3. The decision'!$B$10/(52/12)))))+(1-(1-'3. The decision'!$B$9*MAX(0,MIN(1,('3. The decision'!$B$10/(52/12))-1))))*(1-'3. The decision'!$B$14)+(1-(1-'3. The decision'!$B$9*MAX(0,MIN(1,('3. The decision'!$B$10/(52/12))-2))))*(1-'3. The decision'!$B$14)*(1-'3. The decision'!$B$27)</f>
        <v>0.884576923076923</v>
      </c>
      <c r="H129" s="15" t="n">
        <f aca="false">IF(A129&lt;=0,0,MAX(0,ROUNDUP(LN('3. The decision'!$B$13)/LN(1+A129)-0.000000000001,0)-1))</f>
        <v>1</v>
      </c>
      <c r="I129" s="15" t="n">
        <f aca="false">IF(A129&lt;=0,1/(1-C129),(1+A129)*(1-(C129*(1+A129))^H129)/(1-C129*(1+A129))+'3. The decision'!$B$13*C129^H129/(1-C129))</f>
        <v>3.00140839315546</v>
      </c>
      <c r="J129" s="17" t="n">
        <f aca="false">F129+E129*D129/(1-C129)</f>
        <v>10.2646374942917</v>
      </c>
      <c r="K129" s="15" t="n">
        <f aca="false">F129-G129+E129*D129*I129</f>
        <v>12.0811562312718</v>
      </c>
      <c r="L129" s="17" t="n">
        <f aca="false">'3. The decision'!$B$8*'3. The decision'!$B$5/J129</f>
        <v>45.7531988110807</v>
      </c>
      <c r="M129" s="31" t="n">
        <f aca="false">L129*'3. The decision'!$B$6*'3. The decision'!$B$7*K129</f>
        <v>1060190.57545331</v>
      </c>
      <c r="N129" s="31" t="n">
        <f aca="false">M129*(1+'3. The decision'!$B$19+'3. The decision'!$B$20+'3. The decision'!$B$22)</f>
        <v>1172570.77645136</v>
      </c>
      <c r="O129" s="31" t="n">
        <f aca="false">'3. The decision'!$B$17+'3. The decision'!$B$18*L129*12+M129*('3. The decision'!$B$20*(1-'3. The decision'!$B$21)+'3. The decision'!$B$23)+N129*('3. The decision'!$B$24+'3. The decision'!$B$25)</f>
        <v>611313.559990775</v>
      </c>
      <c r="P129" s="31" t="n">
        <f aca="false">N129-O129</f>
        <v>561257.21646059</v>
      </c>
    </row>
    <row r="130" customFormat="false" ht="15" hidden="false" customHeight="false" outlineLevel="0" collapsed="false">
      <c r="A130" s="27" t="n">
        <f aca="false">'3. The decision'!$B$13^(1/3)-1</f>
        <v>0.174460292350659</v>
      </c>
      <c r="B130" s="27" t="n">
        <f aca="false">IF(A130&gt;0,MIN('3. The decision'!$B$15,'3. The decision'!$B$29*(A130/'3. The decision'!$B$28)^$B$4),0)</f>
        <v>0.100399984175084</v>
      </c>
      <c r="C130" s="15" t="n">
        <f aca="false">(1-'3. The decision'!$B$27-B130)*(1-'3. The decision'!$B$27)^('3. The decision'!$B$12-1)</f>
        <v>0.59056642691791</v>
      </c>
      <c r="D130" s="15" t="n">
        <f aca="false">1+(1-'3. The decision'!$B$27-B130)*(1-(1-'3. The decision'!$B$27)^('3. The decision'!$B$12-1))/'3. The decision'!$B$27</f>
        <v>4.64712163769935</v>
      </c>
      <c r="E130" s="15" t="n">
        <f aca="false">(1-'3. The decision'!$B$14)*(1-'3. The decision'!$B$27)^('3. The decision'!$B$11-1)</f>
        <v>0.690273454655712</v>
      </c>
      <c r="F130" s="15" t="n">
        <f aca="false">1+(1-'3. The decision'!$B$14)*(1-(1-'3. The decision'!$B$27)^('3. The decision'!$B$11-1))/'3. The decision'!$B$27</f>
        <v>4.28912098262087</v>
      </c>
      <c r="G130" s="15" t="n">
        <f aca="false">(1-(1-'3. The decision'!$B$9*MIN(1,('3. The decision'!$B$10/(52/12)))))+(1-(1-'3. The decision'!$B$9*MAX(0,MIN(1,('3. The decision'!$B$10/(52/12))-1))))*(1-'3. The decision'!$B$14)+(1-(1-'3. The decision'!$B$9*MAX(0,MIN(1,('3. The decision'!$B$10/(52/12))-2))))*(1-'3. The decision'!$B$14)*(1-'3. The decision'!$B$27)</f>
        <v>0.884576923076923</v>
      </c>
      <c r="H130" s="15" t="n">
        <f aca="false">IF(A130&lt;=0,0,MAX(0,ROUNDUP(LN('3. The decision'!$B$13)/LN(1+A130)-0.000000000001,0)-1))</f>
        <v>2</v>
      </c>
      <c r="I130" s="15" t="n">
        <f aca="false">IF(A130&lt;=0,1/(1-C130),(1+A130)*(1-(C130*(1+A130))^H130)/(1-C130*(1+A130))+'3. The decision'!$B$13*C130^H130/(1-C130))</f>
        <v>3.36903039149285</v>
      </c>
      <c r="J130" s="17" t="n">
        <f aca="false">F130+E130*D130/(1-C130)</f>
        <v>12.1238099723703</v>
      </c>
      <c r="K130" s="15" t="n">
        <f aca="false">F130-G130+E130*D130*I130</f>
        <v>14.2116682269952</v>
      </c>
      <c r="L130" s="17" t="n">
        <f aca="false">'3. The decision'!$B$8*'3. The decision'!$B$5/J130</f>
        <v>38.7369977812495</v>
      </c>
      <c r="M130" s="31" t="n">
        <f aca="false">L130*'3. The decision'!$B$6*'3. The decision'!$B$7*K130</f>
        <v>1055905.36071043</v>
      </c>
      <c r="N130" s="31" t="n">
        <f aca="false">M130*(1+'3. The decision'!$B$19+'3. The decision'!$B$20+'3. The decision'!$B$22)</f>
        <v>1167831.32894574</v>
      </c>
      <c r="O130" s="31" t="n">
        <f aca="false">'3. The decision'!$B$17+'3. The decision'!$B$18*L130*12+M130*('3. The decision'!$B$20*(1-'3. The decision'!$B$21)+'3. The decision'!$B$23)+N130*('3. The decision'!$B$24+'3. The decision'!$B$25)</f>
        <v>600223.986390944</v>
      </c>
      <c r="P130" s="31" t="n">
        <f aca="false">N130-O130</f>
        <v>567607.342554796</v>
      </c>
    </row>
    <row r="131" customFormat="false" ht="15" hidden="false" customHeight="false" outlineLevel="0" collapsed="false">
      <c r="A131" s="27" t="n">
        <f aca="false">'3. The decision'!$B$13^(1/4)-1</f>
        <v>0.128180927925918</v>
      </c>
      <c r="B131" s="27" t="n">
        <f aca="false">IF(A131&gt;0,MIN('3. The decision'!$B$15,'3. The decision'!$B$29*(A131/'3. The decision'!$B$28)^$B$4),0)</f>
        <v>0.0613107387121014</v>
      </c>
      <c r="C131" s="15" t="n">
        <f aca="false">(1-'3. The decision'!$B$27-B131)*(1-'3. The decision'!$B$27)^('3. The decision'!$B$12-1)</f>
        <v>0.61827594028424</v>
      </c>
      <c r="D131" s="15" t="n">
        <f aca="false">1+(1-'3. The decision'!$B$27-B131)*(1-(1-'3. The decision'!$B$27)^('3. The decision'!$B$12-1))/'3. The decision'!$B$27</f>
        <v>4.81824542862645</v>
      </c>
      <c r="E131" s="15" t="n">
        <f aca="false">(1-'3. The decision'!$B$14)*(1-'3. The decision'!$B$27)^('3. The decision'!$B$11-1)</f>
        <v>0.690273454655712</v>
      </c>
      <c r="F131" s="15" t="n">
        <f aca="false">1+(1-'3. The decision'!$B$14)*(1-(1-'3. The decision'!$B$27)^('3. The decision'!$B$11-1))/'3. The decision'!$B$27</f>
        <v>4.28912098262087</v>
      </c>
      <c r="G131" s="15" t="n">
        <f aca="false">(1-(1-'3. The decision'!$B$9*MIN(1,('3. The decision'!$B$10/(52/12)))))+(1-(1-'3. The decision'!$B$9*MAX(0,MIN(1,('3. The decision'!$B$10/(52/12))-1))))*(1-'3. The decision'!$B$14)+(1-(1-'3. The decision'!$B$9*MAX(0,MIN(1,('3. The decision'!$B$10/(52/12))-2))))*(1-'3. The decision'!$B$14)*(1-'3. The decision'!$B$27)</f>
        <v>0.884576923076923</v>
      </c>
      <c r="H131" s="15" t="n">
        <f aca="false">IF(A131&lt;=0,0,MAX(0,ROUNDUP(LN('3. The decision'!$B$13)/LN(1+A131)-0.000000000001,0)-1))</f>
        <v>3</v>
      </c>
      <c r="I131" s="15" t="n">
        <f aca="false">IF(A131&lt;=0,1/(1-C131),(1+A131)*(1-(C131*(1+A131))^H131)/(1-C131*(1+A131))+'3. The decision'!$B$13*C131^H131/(1-C131))</f>
        <v>3.46705424872116</v>
      </c>
      <c r="J131" s="17" t="n">
        <f aca="false">F131+E131*D131/(1-C131)</f>
        <v>13.0019773843725</v>
      </c>
      <c r="K131" s="15" t="n">
        <f aca="false">F131-G131+E131*D131*I131</f>
        <v>14.9356437683566</v>
      </c>
      <c r="L131" s="17" t="n">
        <f aca="false">'3. The decision'!$B$8*'3. The decision'!$B$5/J131</f>
        <v>36.1206596593897</v>
      </c>
      <c r="M131" s="31" t="n">
        <f aca="false">L131*'3. The decision'!$B$6*'3. The decision'!$B$7*K131</f>
        <v>1034745.61700886</v>
      </c>
      <c r="N131" s="31" t="n">
        <f aca="false">M131*(1+'3. The decision'!$B$19+'3. The decision'!$B$20+'3. The decision'!$B$22)</f>
        <v>1144428.6524118</v>
      </c>
      <c r="O131" s="31" t="n">
        <f aca="false">'3. The decision'!$B$17+'3. The decision'!$B$18*L131*12+M131*('3. The decision'!$B$20*(1-'3. The decision'!$B$21)+'3. The decision'!$B$23)+N131*('3. The decision'!$B$24+'3. The decision'!$B$25)</f>
        <v>593983.312844113</v>
      </c>
      <c r="P131" s="31" t="n">
        <f aca="false">N131-O131</f>
        <v>550445.339567682</v>
      </c>
    </row>
    <row r="132" customFormat="false" ht="15" hidden="false" customHeight="false" outlineLevel="0" collapsed="false">
      <c r="A132" s="27" t="n">
        <f aca="false">'3. The decision'!$B$13^(1/5)-1</f>
        <v>0.101293314754956</v>
      </c>
      <c r="B132" s="27" t="n">
        <f aca="false">IF(A132&gt;0,MIN('3. The decision'!$B$15,'3. The decision'!$B$29*(A132/'3. The decision'!$B$28)^$B$4),0)</f>
        <v>0.0420676589422224</v>
      </c>
      <c r="C132" s="15" t="n">
        <f aca="false">(1-'3. The decision'!$B$27-B132)*(1-'3. The decision'!$B$27)^('3. The decision'!$B$12-1)</f>
        <v>0.631916939740159</v>
      </c>
      <c r="D132" s="15" t="n">
        <f aca="false">1+(1-'3. The decision'!$B$27-B132)*(1-(1-'3. The decision'!$B$27)^('3. The decision'!$B$12-1))/'3. The decision'!$B$27</f>
        <v>4.90248723785893</v>
      </c>
      <c r="E132" s="15" t="n">
        <f aca="false">(1-'3. The decision'!$B$14)*(1-'3. The decision'!$B$27)^('3. The decision'!$B$11-1)</f>
        <v>0.690273454655712</v>
      </c>
      <c r="F132" s="15" t="n">
        <f aca="false">1+(1-'3. The decision'!$B$14)*(1-(1-'3. The decision'!$B$27)^('3. The decision'!$B$11-1))/'3. The decision'!$B$27</f>
        <v>4.28912098262087</v>
      </c>
      <c r="G132" s="15" t="n">
        <f aca="false">(1-(1-'3. The decision'!$B$9*MIN(1,('3. The decision'!$B$10/(52/12)))))+(1-(1-'3. The decision'!$B$9*MAX(0,MIN(1,('3. The decision'!$B$10/(52/12))-1))))*(1-'3. The decision'!$B$14)+(1-(1-'3. The decision'!$B$9*MAX(0,MIN(1,('3. The decision'!$B$10/(52/12))-2))))*(1-'3. The decision'!$B$14)*(1-'3. The decision'!$B$27)</f>
        <v>0.884576923076923</v>
      </c>
      <c r="H132" s="15" t="n">
        <f aca="false">IF(A132&lt;=0,0,MAX(0,ROUNDUP(LN('3. The decision'!$B$13)/LN(1+A132)-0.000000000001,0)-1))</f>
        <v>4</v>
      </c>
      <c r="I132" s="15" t="n">
        <f aca="false">IF(A132&lt;=0,1/(1-C132),(1+A132)*(1-(C132*(1+A132))^H132)/(1-C132*(1+A132))+'3. The decision'!$B$13*C132^H132/(1-C132))</f>
        <v>3.47406195792099</v>
      </c>
      <c r="J132" s="17" t="n">
        <f aca="false">F132+E132*D132/(1-C132)</f>
        <v>13.482852418383</v>
      </c>
      <c r="K132" s="15" t="n">
        <f aca="false">F132-G132+E132*D132*I132</f>
        <v>15.1609670591022</v>
      </c>
      <c r="L132" s="17" t="n">
        <f aca="false">'3. The decision'!$B$8*'3. The decision'!$B$5/J132</f>
        <v>34.8323919469501</v>
      </c>
      <c r="M132" s="31" t="n">
        <f aca="false">L132*'3. The decision'!$B$6*'3. The decision'!$B$7*K132</f>
        <v>1012894.41956364</v>
      </c>
      <c r="N132" s="31" t="n">
        <f aca="false">M132*(1+'3. The decision'!$B$19+'3. The decision'!$B$20+'3. The decision'!$B$22)</f>
        <v>1120261.22803738</v>
      </c>
      <c r="O132" s="31" t="n">
        <f aca="false">'3. The decision'!$B$17+'3. The decision'!$B$18*L132*12+M132*('3. The decision'!$B$20*(1-'3. The decision'!$B$21)+'3. The decision'!$B$23)+N132*('3. The decision'!$B$24+'3. The decision'!$B$25)</f>
        <v>589680.024318862</v>
      </c>
      <c r="P132" s="31" t="n">
        <f aca="false">N132-O132</f>
        <v>530581.203718523</v>
      </c>
    </row>
    <row r="133" customFormat="false" ht="15" hidden="false" customHeight="false" outlineLevel="0" collapsed="false">
      <c r="A133" s="27" t="n">
        <f aca="false">'3. The decision'!$B$13^(1/6)-1</f>
        <v>0.0837251922653912</v>
      </c>
      <c r="B133" s="27" t="n">
        <f aca="false">IF(A133&gt;0,MIN('3. The decision'!$B$15,'3. The decision'!$B$29*(A133/'3. The decision'!$B$28)^$B$4),0)</f>
        <v>0.0310162248600405</v>
      </c>
      <c r="C133" s="15" t="n">
        <f aca="false">(1-'3. The decision'!$B$27-B133)*(1-'3. The decision'!$B$27)^('3. The decision'!$B$12-1)</f>
        <v>0.639751060271018</v>
      </c>
      <c r="D133" s="15" t="n">
        <f aca="false">1+(1-'3. The decision'!$B$27-B133)*(1-(1-'3. The decision'!$B$27)^('3. The decision'!$B$12-1))/'3. The decision'!$B$27</f>
        <v>4.95086789276604</v>
      </c>
      <c r="E133" s="15" t="n">
        <f aca="false">(1-'3. The decision'!$B$14)*(1-'3. The decision'!$B$27)^('3. The decision'!$B$11-1)</f>
        <v>0.690273454655712</v>
      </c>
      <c r="F133" s="15" t="n">
        <f aca="false">1+(1-'3. The decision'!$B$14)*(1-(1-'3. The decision'!$B$27)^('3. The decision'!$B$11-1))/'3. The decision'!$B$27</f>
        <v>4.28912098262087</v>
      </c>
      <c r="G133" s="15" t="n">
        <f aca="false">(1-(1-'3. The decision'!$B$9*MIN(1,('3. The decision'!$B$10/(52/12)))))+(1-(1-'3. The decision'!$B$9*MAX(0,MIN(1,('3. The decision'!$B$10/(52/12))-1))))*(1-'3. The decision'!$B$14)+(1-(1-'3. The decision'!$B$9*MAX(0,MIN(1,('3. The decision'!$B$10/(52/12))-2))))*(1-'3. The decision'!$B$14)*(1-'3. The decision'!$B$27)</f>
        <v>0.884576923076923</v>
      </c>
      <c r="H133" s="15" t="n">
        <f aca="false">IF(A133&lt;=0,0,MAX(0,ROUNDUP(LN('3. The decision'!$B$13)/LN(1+A133)-0.000000000001,0)-1))</f>
        <v>5</v>
      </c>
      <c r="I133" s="15" t="n">
        <f aca="false">IF(A133&lt;=0,1/(1-C133),(1+A133)*(1-(C133*(1+A133))^H133)/(1-C133*(1+A133))+'3. The decision'!$B$13*C133^H133/(1-C133))</f>
        <v>3.44950079865503</v>
      </c>
      <c r="J133" s="17" t="n">
        <f aca="false">F133+E133*D133/(1-C133)</f>
        <v>13.7754852907425</v>
      </c>
      <c r="K133" s="15" t="n">
        <f aca="false">F133-G133+E133*D133*I133</f>
        <v>15.1930498219664</v>
      </c>
      <c r="L133" s="17" t="n">
        <f aca="false">'3. The decision'!$B$8*'3. The decision'!$B$5/J133</f>
        <v>34.0924468421895</v>
      </c>
      <c r="M133" s="31" t="n">
        <f aca="false">L133*'3. The decision'!$B$6*'3. The decision'!$B$7*K133</f>
        <v>993475.381663189</v>
      </c>
      <c r="N133" s="31" t="n">
        <f aca="false">M133*(1+'3. The decision'!$B$19+'3. The decision'!$B$20+'3. The decision'!$B$22)</f>
        <v>1098783.77211949</v>
      </c>
      <c r="O133" s="31" t="n">
        <f aca="false">'3. The decision'!$B$17+'3. The decision'!$B$18*L133*12+M133*('3. The decision'!$B$20*(1-'3. The decision'!$B$21)+'3. The decision'!$B$23)+N133*('3. The decision'!$B$24+'3. The decision'!$B$25)</f>
        <v>586469.11869225</v>
      </c>
      <c r="P133" s="31" t="n">
        <f aca="false">N133-O133</f>
        <v>512314.653427236</v>
      </c>
    </row>
    <row r="134" customFormat="false" ht="15" hidden="false" customHeight="false" outlineLevel="0" collapsed="false">
      <c r="A134" s="27" t="n">
        <f aca="false">'3. The decision'!$B$13^(1/7)-1</f>
        <v>0.0713483778230704</v>
      </c>
      <c r="B134" s="27" t="n">
        <f aca="false">IF(A134&gt;0,MIN('3. The decision'!$B$15,'3. The decision'!$B$29*(A134/'3. The decision'!$B$28)^$B$4),0)</f>
        <v>0.0240122942384899</v>
      </c>
      <c r="C134" s="15" t="n">
        <f aca="false">(1-'3. The decision'!$B$27-B134)*(1-'3. The decision'!$B$27)^('3. The decision'!$B$12-1)</f>
        <v>0.644715993896009</v>
      </c>
      <c r="D134" s="15" t="n">
        <f aca="false">1+(1-'3. The decision'!$B$27-B134)*(1-(1-'3. The decision'!$B$27)^('3. The decision'!$B$12-1))/'3. The decision'!$B$27</f>
        <v>4.98152950173685</v>
      </c>
      <c r="E134" s="15" t="n">
        <f aca="false">(1-'3. The decision'!$B$14)*(1-'3. The decision'!$B$27)^('3. The decision'!$B$11-1)</f>
        <v>0.690273454655712</v>
      </c>
      <c r="F134" s="15" t="n">
        <f aca="false">1+(1-'3. The decision'!$B$14)*(1-(1-'3. The decision'!$B$27)^('3. The decision'!$B$11-1))/'3. The decision'!$B$27</f>
        <v>4.28912098262087</v>
      </c>
      <c r="G134" s="15" t="n">
        <f aca="false">(1-(1-'3. The decision'!$B$9*MIN(1,('3. The decision'!$B$10/(52/12)))))+(1-(1-'3. The decision'!$B$9*MAX(0,MIN(1,('3. The decision'!$B$10/(52/12))-1))))*(1-'3. The decision'!$B$14)+(1-(1-'3. The decision'!$B$9*MAX(0,MIN(1,('3. The decision'!$B$10/(52/12))-2))))*(1-'3. The decision'!$B$14)*(1-'3. The decision'!$B$27)</f>
        <v>0.884576923076923</v>
      </c>
      <c r="H134" s="15" t="n">
        <f aca="false">IF(A134&lt;=0,0,MAX(0,ROUNDUP(LN('3. The decision'!$B$13)/LN(1+A134)-0.000000000001,0)-1))</f>
        <v>6</v>
      </c>
      <c r="I134" s="15" t="n">
        <f aca="false">IF(A134&lt;=0,1/(1-C134),(1+A134)*(1-(C134*(1+A134))^H134)/(1-C134*(1+A134))+'3. The decision'!$B$13*C134^H134/(1-C134))</f>
        <v>3.41525508731172</v>
      </c>
      <c r="J134" s="17" t="n">
        <f aca="false">F134+E134*D134/(1-C134)</f>
        <v>13.9676247135959</v>
      </c>
      <c r="K134" s="15" t="n">
        <f aca="false">F134-G134+E134*D134*I134</f>
        <v>15.1483002382906</v>
      </c>
      <c r="L134" s="17" t="n">
        <f aca="false">'3. The decision'!$B$8*'3. The decision'!$B$5/J134</f>
        <v>33.623469246196</v>
      </c>
      <c r="M134" s="31" t="n">
        <f aca="false">L134*'3. The decision'!$B$6*'3. The decision'!$B$7*K134</f>
        <v>976923.150994787</v>
      </c>
      <c r="N134" s="31" t="n">
        <f aca="false">M134*(1+'3. The decision'!$B$19+'3. The decision'!$B$20+'3. The decision'!$B$22)</f>
        <v>1080477.00500023</v>
      </c>
      <c r="O134" s="31" t="n">
        <f aca="false">'3. The decision'!$B$17+'3. The decision'!$B$18*L134*12+M134*('3. The decision'!$B$20*(1-'3. The decision'!$B$21)+'3. The decision'!$B$23)+N134*('3. The decision'!$B$24+'3. The decision'!$B$25)</f>
        <v>583977.229294938</v>
      </c>
      <c r="P134" s="31" t="n">
        <f aca="false">N134-O134</f>
        <v>496499.775705297</v>
      </c>
    </row>
    <row r="135" customFormat="false" ht="15" hidden="false" customHeight="false" outlineLevel="0" collapsed="false">
      <c r="A135" s="27" t="n">
        <f aca="false">'3. The decision'!$B$13^(1/8)-1</f>
        <v>0.062158617121717</v>
      </c>
      <c r="B135" s="27" t="n">
        <f aca="false">IF(A135&gt;0,MIN('3. The decision'!$B$15,'3. The decision'!$B$29*(A135/'3. The decision'!$B$28)^$B$4),0)</f>
        <v>0.0192584460435114</v>
      </c>
      <c r="C135" s="15" t="n">
        <f aca="false">(1-'3. The decision'!$B$27-B135)*(1-'3. The decision'!$B$27)^('3. The decision'!$B$12-1)</f>
        <v>0.648085893174956</v>
      </c>
      <c r="D135" s="15" t="n">
        <f aca="false">1+(1-'3. The decision'!$B$27-B135)*(1-(1-'3. The decision'!$B$27)^('3. The decision'!$B$12-1))/'3. The decision'!$B$27</f>
        <v>5.00234076363207</v>
      </c>
      <c r="E135" s="15" t="n">
        <f aca="false">(1-'3. The decision'!$B$14)*(1-'3. The decision'!$B$27)^('3. The decision'!$B$11-1)</f>
        <v>0.690273454655712</v>
      </c>
      <c r="F135" s="15" t="n">
        <f aca="false">1+(1-'3. The decision'!$B$14)*(1-(1-'3. The decision'!$B$27)^('3. The decision'!$B$11-1))/'3. The decision'!$B$27</f>
        <v>4.28912098262087</v>
      </c>
      <c r="G135" s="15" t="n">
        <f aca="false">(1-(1-'3. The decision'!$B$9*MIN(1,('3. The decision'!$B$10/(52/12)))))+(1-(1-'3. The decision'!$B$9*MAX(0,MIN(1,('3. The decision'!$B$10/(52/12))-1))))*(1-'3. The decision'!$B$14)+(1-(1-'3. The decision'!$B$9*MAX(0,MIN(1,('3. The decision'!$B$10/(52/12))-2))))*(1-'3. The decision'!$B$14)*(1-'3. The decision'!$B$27)</f>
        <v>0.884576923076923</v>
      </c>
      <c r="H135" s="15" t="n">
        <f aca="false">IF(A135&lt;=0,0,MAX(0,ROUNDUP(LN('3. The decision'!$B$13)/LN(1+A135)-0.000000000001,0)-1))</f>
        <v>7</v>
      </c>
      <c r="I135" s="15" t="n">
        <f aca="false">IF(A135&lt;=0,1/(1-C135),(1+A135)*(1-(C135*(1+A135))^H135)/(1-C135*(1+A135))+'3. The decision'!$B$13*C135^H135/(1-C135))</f>
        <v>3.37982075589695</v>
      </c>
      <c r="J135" s="17" t="n">
        <f aca="false">F135+E135*D135/(1-C135)</f>
        <v>14.1011261660166</v>
      </c>
      <c r="K135" s="15" t="n">
        <f aca="false">F135-G135+E135*D135*I135</f>
        <v>15.0750078088337</v>
      </c>
      <c r="L135" s="17" t="n">
        <f aca="false">'3. The decision'!$B$8*'3. The decision'!$B$5/J135</f>
        <v>33.3051413391239</v>
      </c>
      <c r="M135" s="31" t="n">
        <f aca="false">L135*'3. The decision'!$B$6*'3. The decision'!$B$7*K135</f>
        <v>962992.273381125</v>
      </c>
      <c r="N135" s="31" t="n">
        <f aca="false">M135*(1+'3. The decision'!$B$19+'3. The decision'!$B$20+'3. The decision'!$B$22)</f>
        <v>1065069.45435952</v>
      </c>
      <c r="O135" s="31" t="n">
        <f aca="false">'3. The decision'!$B$17+'3. The decision'!$B$18*L135*12+M135*('3. The decision'!$B$20*(1-'3. The decision'!$B$21)+'3. The decision'!$B$23)+N135*('3. The decision'!$B$24+'3. The decision'!$B$25)</f>
        <v>581995.67729585</v>
      </c>
      <c r="P135" s="31" t="n">
        <f aca="false">N135-O135</f>
        <v>483073.777063675</v>
      </c>
    </row>
    <row r="136" customFormat="false" ht="15" hidden="false" customHeight="false" outlineLevel="0" collapsed="false">
      <c r="A136" s="27" t="n">
        <f aca="false">'3. The decision'!$B$13^(1/9)-1</f>
        <v>0.0550655582002784</v>
      </c>
      <c r="B136" s="27" t="n">
        <f aca="false">IF(A136&gt;0,MIN('3. The decision'!$B$15,'3. The decision'!$B$29*(A136/'3. The decision'!$B$28)^$B$4),0)</f>
        <v>0.0158645283293644</v>
      </c>
      <c r="C136" s="15" t="n">
        <f aca="false">(1-'3. The decision'!$B$27-B136)*(1-'3. The decision'!$B$27)^('3. The decision'!$B$12-1)</f>
        <v>0.650491767403289</v>
      </c>
      <c r="D136" s="15" t="n">
        <f aca="false">1+(1-'3. The decision'!$B$27-B136)*(1-(1-'3. The decision'!$B$27)^('3. The decision'!$B$12-1))/'3. The decision'!$B$27</f>
        <v>5.01719856041123</v>
      </c>
      <c r="E136" s="15" t="n">
        <f aca="false">(1-'3. The decision'!$B$14)*(1-'3. The decision'!$B$27)^('3. The decision'!$B$11-1)</f>
        <v>0.690273454655712</v>
      </c>
      <c r="F136" s="15" t="n">
        <f aca="false">1+(1-'3. The decision'!$B$14)*(1-(1-'3. The decision'!$B$27)^('3. The decision'!$B$11-1))/'3. The decision'!$B$27</f>
        <v>4.28912098262087</v>
      </c>
      <c r="G136" s="15" t="n">
        <f aca="false">(1-(1-'3. The decision'!$B$9*MIN(1,('3. The decision'!$B$10/(52/12)))))+(1-(1-'3. The decision'!$B$9*MAX(0,MIN(1,('3. The decision'!$B$10/(52/12))-1))))*(1-'3. The decision'!$B$14)+(1-(1-'3. The decision'!$B$9*MAX(0,MIN(1,('3. The decision'!$B$10/(52/12))-2))))*(1-'3. The decision'!$B$14)*(1-'3. The decision'!$B$27)</f>
        <v>0.884576923076923</v>
      </c>
      <c r="H136" s="15" t="n">
        <f aca="false">IF(A136&lt;=0,0,MAX(0,ROUNDUP(LN('3. The decision'!$B$13)/LN(1+A136)-0.000000000001,0)-1))</f>
        <v>8</v>
      </c>
      <c r="I136" s="15" t="n">
        <f aca="false">IF(A136&lt;=0,1/(1-C136),(1+A136)*(1-(C136*(1+A136))^H136)/(1-C136*(1+A136))+'3. The decision'!$B$13*C136^H136/(1-C136))</f>
        <v>3.34645020480949</v>
      </c>
      <c r="J136" s="17" t="n">
        <f aca="false">F136+E136*D136/(1-C136)</f>
        <v>14.1980119900177</v>
      </c>
      <c r="K136" s="15" t="n">
        <f aca="false">F136-G136+E136*D136*I136</f>
        <v>14.9941008634708</v>
      </c>
      <c r="L136" s="17" t="n">
        <f aca="false">'3. The decision'!$B$8*'3. The decision'!$B$5/J136</f>
        <v>33.0778703617233</v>
      </c>
      <c r="M136" s="31" t="n">
        <f aca="false">L136*'3. The decision'!$B$6*'3. The decision'!$B$7*K136</f>
        <v>951287.838140732</v>
      </c>
      <c r="N136" s="31" t="n">
        <f aca="false">M136*(1+'3. The decision'!$B$19+'3. The decision'!$B$20+'3. The decision'!$B$22)</f>
        <v>1052124.34898365</v>
      </c>
      <c r="O136" s="31" t="n">
        <f aca="false">'3. The decision'!$B$17+'3. The decision'!$B$18*L136*12+M136*('3. The decision'!$B$20*(1-'3. The decision'!$B$21)+'3. The decision'!$B$23)+N136*('3. The decision'!$B$24+'3. The decision'!$B$25)</f>
        <v>580391.686599298</v>
      </c>
      <c r="P136" s="31" t="n">
        <f aca="false">N136-O136</f>
        <v>471732.662384351</v>
      </c>
    </row>
    <row r="137" customFormat="false" ht="15" hidden="false" customHeight="false" outlineLevel="0" collapsed="false">
      <c r="A137" s="27" t="n">
        <f aca="false">'3. The decision'!$B$13^(1/10)-1</f>
        <v>0.0494252306643652</v>
      </c>
      <c r="B137" s="27" t="n">
        <f aca="false">IF(A137&gt;0,MIN('3. The decision'!$B$15,'3. The decision'!$B$29*(A137/'3. The decision'!$B$28)^$B$4),0)</f>
        <v>0.0133455666512437</v>
      </c>
      <c r="C137" s="15" t="n">
        <f aca="false">(1-'3. The decision'!$B$27-B137)*(1-'3. The decision'!$B$27)^('3. The decision'!$B$12-1)</f>
        <v>0.652277404385084</v>
      </c>
      <c r="D137" s="15" t="n">
        <f aca="false">1+(1-'3. The decision'!$B$27-B137)*(1-(1-'3. The decision'!$B$27)^('3. The decision'!$B$12-1))/'3. The decision'!$B$27</f>
        <v>5.02822599945372</v>
      </c>
      <c r="E137" s="15" t="n">
        <f aca="false">(1-'3. The decision'!$B$14)*(1-'3. The decision'!$B$27)^('3. The decision'!$B$11-1)</f>
        <v>0.690273454655712</v>
      </c>
      <c r="F137" s="15" t="n">
        <f aca="false">1+(1-'3. The decision'!$B$14)*(1-(1-'3. The decision'!$B$27)^('3. The decision'!$B$11-1))/'3. The decision'!$B$27</f>
        <v>4.28912098262087</v>
      </c>
      <c r="G137" s="15" t="n">
        <f aca="false">(1-(1-'3. The decision'!$B$9*MIN(1,('3. The decision'!$B$10/(52/12)))))+(1-(1-'3. The decision'!$B$9*MAX(0,MIN(1,('3. The decision'!$B$10/(52/12))-1))))*(1-'3. The decision'!$B$14)+(1-(1-'3. The decision'!$B$9*MAX(0,MIN(1,('3. The decision'!$B$10/(52/12))-2))))*(1-'3. The decision'!$B$14)*(1-'3. The decision'!$B$27)</f>
        <v>0.884576923076923</v>
      </c>
      <c r="H137" s="15" t="n">
        <f aca="false">IF(A137&lt;=0,0,MAX(0,ROUNDUP(LN('3. The decision'!$B$13)/LN(1+A137)-0.000000000001,0)-1))</f>
        <v>9</v>
      </c>
      <c r="I137" s="15" t="n">
        <f aca="false">IF(A137&lt;=0,1/(1-C137),(1+A137)*(1-(C137*(1+A137))^H137)/(1-C137*(1+A137))+'3. The decision'!$B$13*C137^H137/(1-C137))</f>
        <v>3.31622548167534</v>
      </c>
      <c r="J137" s="17" t="n">
        <f aca="false">F137+E137*D137/(1-C137)</f>
        <v>14.2707873316101</v>
      </c>
      <c r="K137" s="15" t="n">
        <f aca="false">F137-G137+E137*D137*I137</f>
        <v>14.9146683614573</v>
      </c>
      <c r="L137" s="17" t="n">
        <f aca="false">'3. The decision'!$B$8*'3. The decision'!$B$5/J137</f>
        <v>32.9091863740228</v>
      </c>
      <c r="M137" s="31" t="n">
        <f aca="false">L137*'3. The decision'!$B$6*'3. The decision'!$B$7*K137</f>
        <v>941422.821165223</v>
      </c>
      <c r="N137" s="31" t="n">
        <f aca="false">M137*(1+'3. The decision'!$B$19+'3. The decision'!$B$20+'3. The decision'!$B$22)</f>
        <v>1041213.64020874</v>
      </c>
      <c r="O137" s="31" t="n">
        <f aca="false">'3. The decision'!$B$17+'3. The decision'!$B$18*L137*12+M137*('3. The decision'!$B$20*(1-'3. The decision'!$B$21)+'3. The decision'!$B$23)+N137*('3. The decision'!$B$24+'3. The decision'!$B$25)</f>
        <v>579074.416443792</v>
      </c>
      <c r="P137" s="31" t="n">
        <f aca="false">N137-O137</f>
        <v>462139.223764945</v>
      </c>
    </row>
    <row r="138" customFormat="false" ht="15" hidden="false" customHeight="false" outlineLevel="0" collapsed="false">
      <c r="A138" s="27" t="n">
        <f aca="false">'3. The decision'!$B$13^(1/11)-1</f>
        <v>0.0448328522867396</v>
      </c>
      <c r="B138" s="27" t="n">
        <f aca="false">IF(A138&gt;0,MIN('3. The decision'!$B$15,'3. The decision'!$B$29*(A138/'3. The decision'!$B$28)^$B$4),0)</f>
        <v>0.0114175594739833</v>
      </c>
      <c r="C138" s="15" t="n">
        <f aca="false">(1-'3. The decision'!$B$27-B138)*(1-'3. The decision'!$B$27)^('3. The decision'!$B$12-1)</f>
        <v>0.65364412661305</v>
      </c>
      <c r="D138" s="15" t="n">
        <f aca="false">1+(1-'3. The decision'!$B$27-B138)*(1-(1-'3. The decision'!$B$27)^('3. The decision'!$B$12-1))/'3. The decision'!$B$27</f>
        <v>5.03666637463108</v>
      </c>
      <c r="E138" s="15" t="n">
        <f aca="false">(1-'3. The decision'!$B$14)*(1-'3. The decision'!$B$27)^('3. The decision'!$B$11-1)</f>
        <v>0.690273454655712</v>
      </c>
      <c r="F138" s="15" t="n">
        <f aca="false">1+(1-'3. The decision'!$B$14)*(1-(1-'3. The decision'!$B$27)^('3. The decision'!$B$11-1))/'3. The decision'!$B$27</f>
        <v>4.28912098262087</v>
      </c>
      <c r="G138" s="15" t="n">
        <f aca="false">(1-(1-'3. The decision'!$B$9*MIN(1,('3. The decision'!$B$10/(52/12)))))+(1-(1-'3. The decision'!$B$9*MAX(0,MIN(1,('3. The decision'!$B$10/(52/12))-1))))*(1-'3. The decision'!$B$14)+(1-(1-'3. The decision'!$B$9*MAX(0,MIN(1,('3. The decision'!$B$10/(52/12))-2))))*(1-'3. The decision'!$B$14)*(1-'3. The decision'!$B$27)</f>
        <v>0.884576923076923</v>
      </c>
      <c r="H138" s="15" t="n">
        <f aca="false">IF(A138&lt;=0,0,MAX(0,ROUNDUP(LN('3. The decision'!$B$13)/LN(1+A138)-0.000000000001,0)-1))</f>
        <v>10</v>
      </c>
      <c r="I138" s="15" t="n">
        <f aca="false">IF(A138&lt;=0,1/(1-C138),(1+A138)*(1-(C138*(1+A138))^H138)/(1-C138*(1+A138))+'3. The decision'!$B$13*C138^H138/(1-C138))</f>
        <v>3.28931620993073</v>
      </c>
      <c r="J138" s="17" t="n">
        <f aca="false">F138+E138*D138/(1-C138)</f>
        <v>14.3269963746767</v>
      </c>
      <c r="K138" s="15" t="n">
        <f aca="false">F138-G138+E138*D138*I138</f>
        <v>14.8404343958904</v>
      </c>
      <c r="L138" s="17" t="n">
        <f aca="false">'3. The decision'!$B$8*'3. The decision'!$B$5/J138</f>
        <v>32.7800739051</v>
      </c>
      <c r="M138" s="31" t="n">
        <f aca="false">L138*'3. The decision'!$B$6*'3. The decision'!$B$7*K138</f>
        <v>933062.031955759</v>
      </c>
      <c r="N138" s="31" t="n">
        <f aca="false">M138*(1+'3. The decision'!$B$19+'3. The decision'!$B$20+'3. The decision'!$B$22)</f>
        <v>1031966.60734307</v>
      </c>
      <c r="O138" s="31" t="n">
        <f aca="false">'3. The decision'!$B$17+'3. The decision'!$B$18*L138*12+M138*('3. The decision'!$B$20*(1-'3. The decision'!$B$21)+'3. The decision'!$B$23)+N138*('3. The decision'!$B$24+'3. The decision'!$B$25)</f>
        <v>577978.986029657</v>
      </c>
      <c r="P138" s="31" t="n">
        <f aca="false">N138-O138</f>
        <v>453987.621313413</v>
      </c>
    </row>
    <row r="139" customFormat="false" ht="15" hidden="false" customHeight="false" outlineLevel="0" collapsed="false">
      <c r="A139" s="27" t="n">
        <f aca="false">'3. The decision'!$B$13^(1/12)-1</f>
        <v>0.0410212256555538</v>
      </c>
      <c r="B139" s="27" t="n">
        <f aca="false">IF(A139&gt;0,MIN('3. The decision'!$B$15,'3. The decision'!$B$29*(A139/'3. The decision'!$B$28)^$B$4),0)</f>
        <v>0.00990450789760774</v>
      </c>
      <c r="C139" s="15" t="n">
        <f aca="false">(1-'3. The decision'!$B$27-B139)*(1-'3. The decision'!$B$27)^('3. The decision'!$B$12-1)</f>
        <v>0.654716695867917</v>
      </c>
      <c r="D139" s="15" t="n">
        <f aca="false">1+(1-'3. The decision'!$B$27-B139)*(1-(1-'3. The decision'!$B$27)^('3. The decision'!$B$12-1))/'3. The decision'!$B$27</f>
        <v>5.04329016893948</v>
      </c>
      <c r="E139" s="15" t="n">
        <f aca="false">(1-'3. The decision'!$B$14)*(1-'3. The decision'!$B$27)^('3. The decision'!$B$11-1)</f>
        <v>0.690273454655712</v>
      </c>
      <c r="F139" s="15" t="n">
        <f aca="false">1+(1-'3. The decision'!$B$14)*(1-(1-'3. The decision'!$B$27)^('3. The decision'!$B$11-1))/'3. The decision'!$B$27</f>
        <v>4.28912098262087</v>
      </c>
      <c r="G139" s="15" t="n">
        <f aca="false">(1-(1-'3. The decision'!$B$9*MIN(1,('3. The decision'!$B$10/(52/12)))))+(1-(1-'3. The decision'!$B$9*MAX(0,MIN(1,('3. The decision'!$B$10/(52/12))-1))))*(1-'3. The decision'!$B$14)+(1-(1-'3. The decision'!$B$9*MAX(0,MIN(1,('3. The decision'!$B$10/(52/12))-2))))*(1-'3. The decision'!$B$14)*(1-'3. The decision'!$B$27)</f>
        <v>0.884576923076923</v>
      </c>
      <c r="H139" s="15" t="n">
        <f aca="false">IF(A139&lt;=0,0,MAX(0,ROUNDUP(LN('3. The decision'!$B$13)/LN(1+A139)-0.000000000001,0)-1))</f>
        <v>11</v>
      </c>
      <c r="I139" s="15" t="n">
        <f aca="false">IF(A139&lt;=0,1/(1-C139),(1+A139)*(1-(C139*(1+A139))^H139)/(1-C139*(1+A139))+'3. The decision'!$B$13*C139^H139/(1-C139))</f>
        <v>3.26552226621248</v>
      </c>
      <c r="J139" s="17" t="n">
        <f aca="false">F139+E139*D139/(1-C139)</f>
        <v>14.3714194490806</v>
      </c>
      <c r="K139" s="15" t="n">
        <f aca="false">F139-G139+E139*D139*I139</f>
        <v>14.7726412535326</v>
      </c>
      <c r="L139" s="17" t="n">
        <f aca="false">'3. The decision'!$B$8*'3. The decision'!$B$5/J139</f>
        <v>32.6787483772207</v>
      </c>
      <c r="M139" s="31" t="n">
        <f aca="false">L139*'3. The decision'!$B$6*'3. The decision'!$B$7*K139</f>
        <v>925928.690936804</v>
      </c>
      <c r="N139" s="31" t="n">
        <f aca="false">M139*(1+'3. The decision'!$B$19+'3. The decision'!$B$20+'3. The decision'!$B$22)</f>
        <v>1024077.13217611</v>
      </c>
      <c r="O139" s="31" t="n">
        <f aca="false">'3. The decision'!$B$17+'3. The decision'!$B$18*L139*12+M139*('3. The decision'!$B$20*(1-'3. The decision'!$B$21)+'3. The decision'!$B$23)+N139*('3. The decision'!$B$24+'3. The decision'!$B$25)</f>
        <v>577057.754741097</v>
      </c>
      <c r="P139" s="31" t="n">
        <f aca="false">N139-O139</f>
        <v>447019.377435008</v>
      </c>
    </row>
    <row r="140" customFormat="false" ht="15" hidden="false" customHeight="false" outlineLevel="0" collapsed="false">
      <c r="A140" s="27" t="n">
        <f aca="false">IF(OR(MATCH(MAX(P7:P127),P7:P127,0)=1,MATCH(MAX(P7:P127),P7:P127,0)=121),INDEX(A7:A127,MATCH(MAX(P7:P127),P7:P127,0)),INDEX(A7:A127,MATCH(MAX(P7:P127),P7:P127,0))-0.0025/2*(INDEX(P7:P127,MATCH(MAX(P7:P127),P7:P127,0)+1)-INDEX(P7:P127,MATCH(MAX(P7:P127),P7:P127,0)-1))/(INDEX(P7:P127,MATCH(MAX(P7:P127),P7:P127,0)+1)-2*INDEX(P7:P127,MATCH(MAX(P7:P127),P7:P127,0))+INDEX(P7:P127,MATCH(MAX(P7:P127),P7:P127,0)-1)))</f>
        <v>0.176164380582446</v>
      </c>
      <c r="B140" s="27" t="n">
        <f aca="false">IF(A140&gt;0,MIN('3. The decision'!$B$15,'3. The decision'!$B$29*(A140/'3. The decision'!$B$28)^$B$4),0)</f>
        <v>0.101973670704021</v>
      </c>
      <c r="C140" s="15" t="n">
        <f aca="false">(1-'3. The decision'!$B$27-B140)*(1-'3. The decision'!$B$27)^('3. The decision'!$B$12-1)</f>
        <v>0.58945087486794</v>
      </c>
      <c r="D140" s="15" t="n">
        <f aca="false">1+(1-'3. The decision'!$B$27-B140)*(1-(1-'3. The decision'!$B$27)^('3. The decision'!$B$12-1))/'3. The decision'!$B$27</f>
        <v>4.64023239741412</v>
      </c>
      <c r="E140" s="15" t="n">
        <f aca="false">(1-'3. The decision'!$B$14)*(1-'3. The decision'!$B$27)^('3. The decision'!$B$11-1)</f>
        <v>0.690273454655712</v>
      </c>
      <c r="F140" s="15" t="n">
        <f aca="false">1+(1-'3. The decision'!$B$14)*(1-(1-'3. The decision'!$B$27)^('3. The decision'!$B$11-1))/'3. The decision'!$B$27</f>
        <v>4.28912098262087</v>
      </c>
      <c r="G140" s="15" t="n">
        <f aca="false">(1-(1-'3. The decision'!$B$9*MIN(1,('3. The decision'!$B$10/(52/12)))))+(1-(1-'3. The decision'!$B$9*MAX(0,MIN(1,('3. The decision'!$B$10/(52/12))-1))))*(1-'3. The decision'!$B$14)+(1-(1-'3. The decision'!$B$9*MAX(0,MIN(1,('3. The decision'!$B$10/(52/12))-2))))*(1-'3. The decision'!$B$14)*(1-'3. The decision'!$B$27)</f>
        <v>0.884576923076923</v>
      </c>
      <c r="H140" s="15" t="n">
        <f aca="false">IF(A140&lt;=0,0,MAX(0,ROUNDUP(LN('3. The decision'!$B$13)/LN(1+A140)-0.000000000001,0)-1))</f>
        <v>2</v>
      </c>
      <c r="I140" s="15" t="n">
        <f aca="false">IF(A140&lt;=0,1/(1-C140),(1+A140)*(1-(C140*(1+A140))^H140)/(1-C140*(1+A140))+'3. The decision'!$B$13*C140^H140/(1-C140))</f>
        <v>3.36261289290407</v>
      </c>
      <c r="J140" s="17" t="n">
        <f aca="false">F140+E140*D140/(1-C140)</f>
        <v>12.0909382349122</v>
      </c>
      <c r="K140" s="15" t="n">
        <f aca="false">F140-G140+E140*D140*I140</f>
        <v>14.1750915030938</v>
      </c>
      <c r="L140" s="17" t="n">
        <f aca="false">'3. The decision'!$B$8*'3. The decision'!$B$5/J140</f>
        <v>38.8423123892843</v>
      </c>
      <c r="M140" s="31" t="n">
        <f aca="false">L140*'3. The decision'!$B$6*'3. The decision'!$B$7*K140</f>
        <v>1056051.07629684</v>
      </c>
      <c r="N140" s="31" t="n">
        <f aca="false">M140*(1+'3. The decision'!$B$19+'3. The decision'!$B$20+'3. The decision'!$B$22)</f>
        <v>1167992.4903843</v>
      </c>
      <c r="O140" s="31" t="n">
        <f aca="false">'3. The decision'!$B$17+'3. The decision'!$B$18*L140*12+M140*('3. The decision'!$B$20*(1-'3. The decision'!$B$21)+'3. The decision'!$B$23)+N140*('3. The decision'!$B$24+'3. The decision'!$B$25)</f>
        <v>600399.203305025</v>
      </c>
      <c r="P140" s="31" t="n">
        <f aca="false">N140-O140</f>
        <v>567593.287079275</v>
      </c>
    </row>
    <row r="142" customFormat="false" ht="15" hidden="false" customHeight="false" outlineLevel="0" collapsed="false">
      <c r="A142" s="13" t="s">
        <v>99</v>
      </c>
      <c r="B142" s="34" t="n">
        <f aca="false">INDEX(A7:A140,MATCH(MAX(P7:P140),P7:P140,0))</f>
        <v>0.174460292350659</v>
      </c>
    </row>
    <row r="143" customFormat="false" ht="15" hidden="false" customHeight="false" outlineLevel="0" collapsed="false">
      <c r="A143" s="13" t="s">
        <v>89</v>
      </c>
      <c r="B143" s="35" t="n">
        <f aca="false">MAX(P7:P140)</f>
        <v>567607.342554796</v>
      </c>
    </row>
    <row r="144" customFormat="false" ht="15" hidden="false" customHeight="false" outlineLevel="0" collapsed="false">
      <c r="A144" s="13" t="s">
        <v>125</v>
      </c>
      <c r="B144" s="36" t="n">
        <f aca="false">INDEX(J7:J140,MATCH(MAX(P7:P140),P7:P140,0))</f>
        <v>12.1238099723703</v>
      </c>
    </row>
    <row r="145" customFormat="false" ht="15" hidden="false" customHeight="false" outlineLevel="0" collapsed="false">
      <c r="A145" s="13" t="s">
        <v>126</v>
      </c>
      <c r="B145" s="0" t="str">
        <f aca="false">IF(AND(MATCH(MAX(P7:P127),P7:P127,0)&gt;1,MATCH(MAX(P7:P127),P7:P127,0)&lt;121),"yes","no — widen the range")</f>
        <v>yes</v>
      </c>
    </row>
    <row r="148" customFormat="false" ht="15" hidden="false" customHeight="false" outlineLevel="0" collapsed="false">
      <c r="A148" s="13" t="s">
        <v>127</v>
      </c>
      <c r="B148" s="19" t="n">
        <f aca="false">'3. The decision'!$B$30*0.833333333333333</f>
        <v>2</v>
      </c>
    </row>
    <row r="149" customFormat="false" ht="15" hidden="false" customHeight="false" outlineLevel="0" collapsed="false">
      <c r="A149" s="13"/>
    </row>
    <row r="150" customFormat="false" ht="15" hidden="false" customHeight="false" outlineLevel="0" collapsed="false">
      <c r="A150" s="28" t="s">
        <v>109</v>
      </c>
      <c r="B150" s="28" t="s">
        <v>110</v>
      </c>
      <c r="C150" s="28" t="s">
        <v>111</v>
      </c>
      <c r="D150" s="28" t="s">
        <v>112</v>
      </c>
      <c r="E150" s="28" t="s">
        <v>113</v>
      </c>
      <c r="F150" s="28" t="s">
        <v>114</v>
      </c>
      <c r="G150" s="28" t="s">
        <v>115</v>
      </c>
      <c r="H150" s="28" t="s">
        <v>116</v>
      </c>
      <c r="I150" s="28" t="s">
        <v>117</v>
      </c>
      <c r="J150" s="28" t="s">
        <v>118</v>
      </c>
      <c r="K150" s="28" t="s">
        <v>119</v>
      </c>
      <c r="L150" s="28" t="s">
        <v>120</v>
      </c>
      <c r="M150" s="28" t="s">
        <v>121</v>
      </c>
      <c r="N150" s="28" t="s">
        <v>122</v>
      </c>
      <c r="O150" s="28" t="s">
        <v>123</v>
      </c>
      <c r="P150" s="28" t="s">
        <v>124</v>
      </c>
    </row>
    <row r="151" customFormat="false" ht="15" hidden="false" customHeight="false" outlineLevel="0" collapsed="false">
      <c r="A151" s="27" t="n">
        <f aca="false">0*0.0025</f>
        <v>0</v>
      </c>
      <c r="B151" s="27" t="n">
        <f aca="false">IF(A151&gt;0,MIN('3. The decision'!$B$15,'3. The decision'!$B$29*(A151/'3. The decision'!$B$28)^$B$148),0)</f>
        <v>0</v>
      </c>
      <c r="C151" s="15" t="n">
        <f aca="false">(1-'3. The decision'!$B$27-B151)*(1-'3. The decision'!$B$27)^('3. The decision'!$B$12-1)</f>
        <v>0.661737785447033</v>
      </c>
      <c r="D151" s="15" t="n">
        <f aca="false">1+(1-'3. The decision'!$B$27-B151)*(1-(1-'3. The decision'!$B$27)^('3. The decision'!$B$12-1))/'3. The decision'!$B$27</f>
        <v>5.08664984290175</v>
      </c>
      <c r="E151" s="15" t="n">
        <f aca="false">(1-'3. The decision'!$B$14)*(1-'3. The decision'!$B$27)^('3. The decision'!$B$11-1)</f>
        <v>0.690273454655712</v>
      </c>
      <c r="F151" s="15" t="n">
        <f aca="false">1+(1-'3. The decision'!$B$14)*(1-(1-'3. The decision'!$B$27)^('3. The decision'!$B$11-1))/'3. The decision'!$B$27</f>
        <v>4.28912098262087</v>
      </c>
      <c r="G151" s="15" t="n">
        <f aca="false">(1-(1-'3. The decision'!$B$9*MIN(1,('3. The decision'!$B$10/(52/12)))))+(1-(1-'3. The decision'!$B$9*MAX(0,MIN(1,('3. The decision'!$B$10/(52/12))-1))))*(1-'3. The decision'!$B$14)+(1-(1-'3. The decision'!$B$9*MAX(0,MIN(1,('3. The decision'!$B$10/(52/12))-2))))*(1-'3. The decision'!$B$14)*(1-'3. The decision'!$B$27)</f>
        <v>0.884576923076923</v>
      </c>
      <c r="H151" s="15" t="n">
        <f aca="false">IF(A151&lt;=0,0,MAX(0,ROUNDUP(LN('3. The decision'!$B$13)/LN(1+A151)-0.000000000001,0)-1))</f>
        <v>0</v>
      </c>
      <c r="I151" s="15" t="n">
        <f aca="false">IF(A151&lt;=0,1/(1-C151),(1+A151)*(1-(C151*(1+A151))^H151)/(1-C151*(1+A151))+'3. The decision'!$B$13*C151^H151/(1-C151))</f>
        <v>2.95628644577272</v>
      </c>
      <c r="J151" s="17" t="n">
        <f aca="false">F151+E151*D151/(1-C151)</f>
        <v>14.6691729323308</v>
      </c>
      <c r="K151" s="15" t="n">
        <f aca="false">F151-G151+E151*D151*I151</f>
        <v>13.7845960092539</v>
      </c>
      <c r="L151" s="17" t="n">
        <f aca="false">'3. The decision'!$B$8*'3. The decision'!$B$5/J151</f>
        <v>32.0154382368016</v>
      </c>
      <c r="M151" s="31" t="n">
        <f aca="false">L151*'3. The decision'!$B$6*'3. The decision'!$B$7*K151</f>
        <v>846462.005967676</v>
      </c>
      <c r="N151" s="31" t="n">
        <f aca="false">M151*(1+'3. The decision'!$B$19+'3. The decision'!$B$20+'3. The decision'!$B$22)</f>
        <v>936186.97860025</v>
      </c>
      <c r="O151" s="31" t="n">
        <f aca="false">'3. The decision'!$B$17+'3. The decision'!$B$18*L151*12+M151*('3. The decision'!$B$20*(1-'3. The decision'!$B$21)+'3. The decision'!$B$23)+N151*('3. The decision'!$B$24+'3. The decision'!$B$25)</f>
        <v>567500.190131996</v>
      </c>
      <c r="P151" s="31" t="n">
        <f aca="false">N151-O151</f>
        <v>368686.788468253</v>
      </c>
    </row>
    <row r="152" customFormat="false" ht="15" hidden="false" customHeight="false" outlineLevel="0" collapsed="false">
      <c r="A152" s="27" t="n">
        <f aca="false">1*0.0025</f>
        <v>0.0025</v>
      </c>
      <c r="B152" s="27" t="n">
        <f aca="false">IF(A152&gt;0,MIN('3. The decision'!$B$15,'3. The decision'!$B$29*(A152/'3. The decision'!$B$28)^$B$148),0)</f>
        <v>2.78851873884592E-005</v>
      </c>
      <c r="C152" s="15" t="n">
        <f aca="false">(1-'3. The decision'!$B$27-B152)*(1-'3. The decision'!$B$27)^('3. The decision'!$B$12-1)</f>
        <v>0.661718018246017</v>
      </c>
      <c r="D152" s="15" t="n">
        <f aca="false">1+(1-'3. The decision'!$B$27-B152)*(1-(1-'3. The decision'!$B$27)^('3. The decision'!$B$12-1))/'3. The decision'!$B$27</f>
        <v>5.08652776791872</v>
      </c>
      <c r="E152" s="15" t="n">
        <f aca="false">(1-'3. The decision'!$B$14)*(1-'3. The decision'!$B$27)^('3. The decision'!$B$11-1)</f>
        <v>0.690273454655712</v>
      </c>
      <c r="F152" s="15" t="n">
        <f aca="false">1+(1-'3. The decision'!$B$14)*(1-(1-'3. The decision'!$B$27)^('3. The decision'!$B$11-1))/'3. The decision'!$B$27</f>
        <v>4.28912098262087</v>
      </c>
      <c r="G152" s="15" t="n">
        <f aca="false">(1-(1-'3. The decision'!$B$9*MIN(1,('3. The decision'!$B$10/(52/12)))))+(1-(1-'3. The decision'!$B$9*MAX(0,MIN(1,('3. The decision'!$B$10/(52/12))-1))))*(1-'3. The decision'!$B$14)+(1-(1-'3. The decision'!$B$9*MAX(0,MIN(1,('3. The decision'!$B$10/(52/12))-2))))*(1-'3. The decision'!$B$14)*(1-'3. The decision'!$B$27)</f>
        <v>0.884576923076923</v>
      </c>
      <c r="H152" s="15" t="n">
        <f aca="false">IF(A152&lt;=0,0,MAX(0,ROUNDUP(LN('3. The decision'!$B$13)/LN(1+A152)-0.000000000001,0)-1))</f>
        <v>193</v>
      </c>
      <c r="I152" s="15" t="n">
        <f aca="false">IF(A152&lt;=0,1/(1-C152),(1+A152)*(1-(C152*(1+A152))^H152)/(1-C152*(1+A152))+'3. The decision'!$B$13*C152^H152/(1-C152))</f>
        <v>2.97806757905953</v>
      </c>
      <c r="J152" s="17" t="n">
        <f aca="false">F152+E152*D152/(1-C152)</f>
        <v>14.6683172861264</v>
      </c>
      <c r="K152" s="15" t="n">
        <f aca="false">F152-G152+E152*D152*I152</f>
        <v>13.8608225276583</v>
      </c>
      <c r="L152" s="17" t="n">
        <f aca="false">'3. The decision'!$B$8*'3. The decision'!$B$5/J152</f>
        <v>32.0173057917281</v>
      </c>
      <c r="M152" s="31" t="n">
        <f aca="false">L152*'3. The decision'!$B$6*'3. The decision'!$B$7*K152</f>
        <v>851192.449447447</v>
      </c>
      <c r="N152" s="31" t="n">
        <f aca="false">M152*(1+'3. The decision'!$B$19+'3. The decision'!$B$20+'3. The decision'!$B$22)</f>
        <v>941418.849088877</v>
      </c>
      <c r="O152" s="31" t="n">
        <f aca="false">'3. The decision'!$B$17+'3. The decision'!$B$18*L152*12+M152*('3. The decision'!$B$20*(1-'3. The decision'!$B$21)+'3. The decision'!$B$23)+N152*('3. The decision'!$B$24+'3. The decision'!$B$25)</f>
        <v>568012.142605145</v>
      </c>
      <c r="P152" s="31" t="n">
        <f aca="false">N152-O152</f>
        <v>373406.706483732</v>
      </c>
    </row>
    <row r="153" customFormat="false" ht="15" hidden="false" customHeight="false" outlineLevel="0" collapsed="false">
      <c r="A153" s="27" t="n">
        <f aca="false">2*0.0025</f>
        <v>0.005</v>
      </c>
      <c r="B153" s="27" t="n">
        <f aca="false">IF(A153&gt;0,MIN('3. The decision'!$B$15,'3. The decision'!$B$29*(A153/'3. The decision'!$B$28)^$B$148),0)</f>
        <v>0.000111540749553837</v>
      </c>
      <c r="C153" s="15" t="n">
        <f aca="false">(1-'3. The decision'!$B$27-B153)*(1-'3. The decision'!$B$27)^('3. The decision'!$B$12-1)</f>
        <v>0.661658716642966</v>
      </c>
      <c r="D153" s="15" t="n">
        <f aca="false">1+(1-'3. The decision'!$B$27-B153)*(1-(1-'3. The decision'!$B$27)^('3. The decision'!$B$12-1))/'3. The decision'!$B$27</f>
        <v>5.08616154296962</v>
      </c>
      <c r="E153" s="15" t="n">
        <f aca="false">(1-'3. The decision'!$B$14)*(1-'3. The decision'!$B$27)^('3. The decision'!$B$11-1)</f>
        <v>0.690273454655712</v>
      </c>
      <c r="F153" s="15" t="n">
        <f aca="false">1+(1-'3. The decision'!$B$14)*(1-(1-'3. The decision'!$B$27)^('3. The decision'!$B$11-1))/'3. The decision'!$B$27</f>
        <v>4.28912098262087</v>
      </c>
      <c r="G153" s="15" t="n">
        <f aca="false">(1-(1-'3. The decision'!$B$9*MIN(1,('3. The decision'!$B$10/(52/12)))))+(1-(1-'3. The decision'!$B$9*MAX(0,MIN(1,('3. The decision'!$B$10/(52/12))-1))))*(1-'3. The decision'!$B$14)+(1-(1-'3. The decision'!$B$9*MAX(0,MIN(1,('3. The decision'!$B$10/(52/12))-2))))*(1-'3. The decision'!$B$14)*(1-'3. The decision'!$B$27)</f>
        <v>0.884576923076923</v>
      </c>
      <c r="H153" s="15" t="n">
        <f aca="false">IF(A153&lt;=0,0,MAX(0,ROUNDUP(LN('3. The decision'!$B$13)/LN(1+A153)-0.000000000001,0)-1))</f>
        <v>96</v>
      </c>
      <c r="I153" s="15" t="n">
        <f aca="false">IF(A153&lt;=0,1/(1-C153),(1+A153)*(1-(C153*(1+A153))^H153)/(1-C153*(1+A153))+'3. The decision'!$B$13*C153^H153/(1-C153))</f>
        <v>2.99970459827994</v>
      </c>
      <c r="J153" s="17" t="n">
        <f aca="false">F153+E153*D153/(1-C153)</f>
        <v>14.6657509473948</v>
      </c>
      <c r="K153" s="15" t="n">
        <f aca="false">F153-G153+E153*D153*I153</f>
        <v>13.9360338482979</v>
      </c>
      <c r="L153" s="17" t="n">
        <f aca="false">'3. The decision'!$B$8*'3. The decision'!$B$5/J153</f>
        <v>32.0229084541645</v>
      </c>
      <c r="M153" s="31" t="n">
        <f aca="false">L153*'3. The decision'!$B$6*'3. The decision'!$B$7*K153</f>
        <v>855960.930226092</v>
      </c>
      <c r="N153" s="31" t="n">
        <f aca="false">M153*(1+'3. The decision'!$B$19+'3. The decision'!$B$20+'3. The decision'!$B$22)</f>
        <v>946692.788830058</v>
      </c>
      <c r="O153" s="31" t="n">
        <f aca="false">'3. The decision'!$B$17+'3. The decision'!$B$18*L153*12+M153*('3. The decision'!$B$20*(1-'3. The decision'!$B$21)+'3. The decision'!$B$23)+N153*('3. The decision'!$B$24+'3. The decision'!$B$25)</f>
        <v>568533.846980611</v>
      </c>
      <c r="P153" s="31" t="n">
        <f aca="false">N153-O153</f>
        <v>378158.941849447</v>
      </c>
    </row>
    <row r="154" customFormat="false" ht="15" hidden="false" customHeight="false" outlineLevel="0" collapsed="false">
      <c r="A154" s="27" t="n">
        <f aca="false">3*0.0025</f>
        <v>0.0075</v>
      </c>
      <c r="B154" s="27" t="n">
        <f aca="false">IF(A154&gt;0,MIN('3. The decision'!$B$15,'3. The decision'!$B$29*(A154/'3. The decision'!$B$28)^$B$148),0)</f>
        <v>0.000250966686496133</v>
      </c>
      <c r="C154" s="15" t="n">
        <f aca="false">(1-'3. The decision'!$B$27-B154)*(1-'3. The decision'!$B$27)^('3. The decision'!$B$12-1)</f>
        <v>0.661559880637882</v>
      </c>
      <c r="D154" s="15" t="n">
        <f aca="false">1+(1-'3. The decision'!$B$27-B154)*(1-(1-'3. The decision'!$B$27)^('3. The decision'!$B$12-1))/'3. The decision'!$B$27</f>
        <v>5.08555116805447</v>
      </c>
      <c r="E154" s="15" t="n">
        <f aca="false">(1-'3. The decision'!$B$14)*(1-'3. The decision'!$B$27)^('3. The decision'!$B$11-1)</f>
        <v>0.690273454655712</v>
      </c>
      <c r="F154" s="15" t="n">
        <f aca="false">1+(1-'3. The decision'!$B$14)*(1-(1-'3. The decision'!$B$27)^('3. The decision'!$B$11-1))/'3. The decision'!$B$27</f>
        <v>4.28912098262087</v>
      </c>
      <c r="G154" s="15" t="n">
        <f aca="false">(1-(1-'3. The decision'!$B$9*MIN(1,('3. The decision'!$B$10/(52/12)))))+(1-(1-'3. The decision'!$B$9*MAX(0,MIN(1,('3. The decision'!$B$10/(52/12))-1))))*(1-'3. The decision'!$B$14)+(1-(1-'3. The decision'!$B$9*MAX(0,MIN(1,('3. The decision'!$B$10/(52/12))-2))))*(1-'3. The decision'!$B$14)*(1-'3. The decision'!$B$27)</f>
        <v>0.884576923076923</v>
      </c>
      <c r="H154" s="15" t="n">
        <f aca="false">IF(A154&lt;=0,0,MAX(0,ROUNDUP(LN('3. The decision'!$B$13)/LN(1+A154)-0.000000000001,0)-1))</f>
        <v>64</v>
      </c>
      <c r="I154" s="15" t="n">
        <f aca="false">IF(A154&lt;=0,1/(1-C154),(1+A154)*(1-(C154*(1+A154))^H154)/(1-C154*(1+A154))+'3. The decision'!$B$13*C154^H154/(1-C154))</f>
        <v>3.0211849966857</v>
      </c>
      <c r="J154" s="17" t="n">
        <f aca="false">F154+E154*D154/(1-C154)</f>
        <v>14.6614757147303</v>
      </c>
      <c r="K154" s="15" t="n">
        <f aca="false">F154-G154+E154*D154*I154</f>
        <v>14.0101752370391</v>
      </c>
      <c r="L154" s="17" t="n">
        <f aca="false">'3. The decision'!$B$8*'3. The decision'!$B$5/J154</f>
        <v>32.0322462170814</v>
      </c>
      <c r="M154" s="31" t="n">
        <f aca="false">L154*'3. The decision'!$B$6*'3. The decision'!$B$7*K154</f>
        <v>860765.669044974</v>
      </c>
      <c r="N154" s="31" t="n">
        <f aca="false">M154*(1+'3. The decision'!$B$19+'3. The decision'!$B$20+'3. The decision'!$B$22)</f>
        <v>952006.829963742</v>
      </c>
      <c r="O154" s="31" t="n">
        <f aca="false">'3. The decision'!$B$17+'3. The decision'!$B$18*L154*12+M154*('3. The decision'!$B$20*(1-'3. The decision'!$B$21)+'3. The decision'!$B$23)+N154*('3. The decision'!$B$24+'3. The decision'!$B$25)</f>
        <v>569065.111751477</v>
      </c>
      <c r="P154" s="31" t="n">
        <f aca="false">N154-O154</f>
        <v>382941.718212264</v>
      </c>
    </row>
    <row r="155" customFormat="false" ht="15" hidden="false" customHeight="false" outlineLevel="0" collapsed="false">
      <c r="A155" s="27" t="n">
        <f aca="false">4*0.0025</f>
        <v>0.01</v>
      </c>
      <c r="B155" s="27" t="n">
        <f aca="false">IF(A155&gt;0,MIN('3. The decision'!$B$15,'3. The decision'!$B$29*(A155/'3. The decision'!$B$28)^$B$148),0)</f>
        <v>0.000446162998215348</v>
      </c>
      <c r="C155" s="15" t="n">
        <f aca="false">(1-'3. The decision'!$B$27-B155)*(1-'3. The decision'!$B$27)^('3. The decision'!$B$12-1)</f>
        <v>0.661421510230764</v>
      </c>
      <c r="D155" s="15" t="n">
        <f aca="false">1+(1-'3. The decision'!$B$27-B155)*(1-(1-'3. The decision'!$B$27)^('3. The decision'!$B$12-1))/'3. The decision'!$B$27</f>
        <v>5.08469664317324</v>
      </c>
      <c r="E155" s="15" t="n">
        <f aca="false">(1-'3. The decision'!$B$14)*(1-'3. The decision'!$B$27)^('3. The decision'!$B$11-1)</f>
        <v>0.690273454655712</v>
      </c>
      <c r="F155" s="15" t="n">
        <f aca="false">1+(1-'3. The decision'!$B$14)*(1-(1-'3. The decision'!$B$27)^('3. The decision'!$B$11-1))/'3. The decision'!$B$27</f>
        <v>4.28912098262087</v>
      </c>
      <c r="G155" s="15" t="n">
        <f aca="false">(1-(1-'3. The decision'!$B$9*MIN(1,('3. The decision'!$B$10/(52/12)))))+(1-(1-'3. The decision'!$B$9*MAX(0,MIN(1,('3. The decision'!$B$10/(52/12))-1))))*(1-'3. The decision'!$B$14)+(1-(1-'3. The decision'!$B$9*MAX(0,MIN(1,('3. The decision'!$B$10/(52/12))-2))))*(1-'3. The decision'!$B$14)*(1-'3. The decision'!$B$27)</f>
        <v>0.884576923076923</v>
      </c>
      <c r="H155" s="15" t="n">
        <f aca="false">IF(A155&lt;=0,0,MAX(0,ROUNDUP(LN('3. The decision'!$B$13)/LN(1+A155)-0.000000000001,0)-1))</f>
        <v>48</v>
      </c>
      <c r="I155" s="15" t="n">
        <f aca="false">IF(A155&lt;=0,1/(1-C155),(1+A155)*(1-(C155*(1+A155))^H155)/(1-C155*(1+A155))+'3. The decision'!$B$13*C155^H155/(1-C155))</f>
        <v>3.04249606653237</v>
      </c>
      <c r="J155" s="17" t="n">
        <f aca="false">F155+E155*D155/(1-C155)</f>
        <v>14.6554945822895</v>
      </c>
      <c r="K155" s="15" t="n">
        <f aca="false">F155-G155+E155*D155*I155</f>
        <v>14.0831914295201</v>
      </c>
      <c r="L155" s="17" t="n">
        <f aca="false">'3. The decision'!$B$8*'3. The decision'!$B$5/J155</f>
        <v>32.0453190687633</v>
      </c>
      <c r="M155" s="31" t="n">
        <f aca="false">L155*'3. The decision'!$B$6*'3. The decision'!$B$7*K155</f>
        <v>865604.804798094</v>
      </c>
      <c r="N155" s="31" t="n">
        <f aca="false">M155*(1+'3. The decision'!$B$19+'3. The decision'!$B$20+'3. The decision'!$B$22)</f>
        <v>957358.914106692</v>
      </c>
      <c r="O155" s="31" t="n">
        <f aca="false">'3. The decision'!$B$17+'3. The decision'!$B$18*L155*12+M155*('3. The decision'!$B$20*(1-'3. The decision'!$B$21)+'3. The decision'!$B$23)+N155*('3. The decision'!$B$24+'3. The decision'!$B$25)</f>
        <v>569605.736594742</v>
      </c>
      <c r="P155" s="31" t="n">
        <f aca="false">N155-O155</f>
        <v>387753.17751195</v>
      </c>
    </row>
    <row r="156" customFormat="false" ht="15" hidden="false" customHeight="false" outlineLevel="0" collapsed="false">
      <c r="A156" s="27" t="n">
        <f aca="false">5*0.0025</f>
        <v>0.0125</v>
      </c>
      <c r="B156" s="27" t="n">
        <f aca="false">IF(A156&gt;0,MIN('3. The decision'!$B$15,'3. The decision'!$B$29*(A156/'3. The decision'!$B$28)^$B$148),0)</f>
        <v>0.000697129684711481</v>
      </c>
      <c r="C156" s="15" t="n">
        <f aca="false">(1-'3. The decision'!$B$27-B156)*(1-'3. The decision'!$B$27)^('3. The decision'!$B$12-1)</f>
        <v>0.661243605421613</v>
      </c>
      <c r="D156" s="15" t="n">
        <f aca="false">1+(1-'3. The decision'!$B$27-B156)*(1-(1-'3. The decision'!$B$27)^('3. The decision'!$B$12-1))/'3. The decision'!$B$27</f>
        <v>5.08359796832596</v>
      </c>
      <c r="E156" s="15" t="n">
        <f aca="false">(1-'3. The decision'!$B$14)*(1-'3. The decision'!$B$27)^('3. The decision'!$B$11-1)</f>
        <v>0.690273454655712</v>
      </c>
      <c r="F156" s="15" t="n">
        <f aca="false">1+(1-'3. The decision'!$B$14)*(1-(1-'3. The decision'!$B$27)^('3. The decision'!$B$11-1))/'3. The decision'!$B$27</f>
        <v>4.28912098262087</v>
      </c>
      <c r="G156" s="15" t="n">
        <f aca="false">(1-(1-'3. The decision'!$B$9*MIN(1,('3. The decision'!$B$10/(52/12)))))+(1-(1-'3. The decision'!$B$9*MAX(0,MIN(1,('3. The decision'!$B$10/(52/12))-1))))*(1-'3. The decision'!$B$14)+(1-(1-'3. The decision'!$B$9*MAX(0,MIN(1,('3. The decision'!$B$10/(52/12))-2))))*(1-'3. The decision'!$B$14)*(1-'3. The decision'!$B$27)</f>
        <v>0.884576923076923</v>
      </c>
      <c r="H156" s="15" t="n">
        <f aca="false">IF(A156&lt;=0,0,MAX(0,ROUNDUP(LN('3. The decision'!$B$13)/LN(1+A156)-0.000000000001,0)-1))</f>
        <v>38</v>
      </c>
      <c r="I156" s="15" t="n">
        <f aca="false">IF(A156&lt;=0,1/(1-C156),(1+A156)*(1-(C156*(1+A156))^H156)/(1-C156*(1+A156))+'3. The decision'!$B$13*C156^H156/(1-C156))</f>
        <v>3.06362489341459</v>
      </c>
      <c r="J156" s="17" t="n">
        <f aca="false">F156+E156*D156/(1-C156)</f>
        <v>14.6478117345533</v>
      </c>
      <c r="K156" s="15" t="n">
        <f aca="false">F156-G156+E156*D156*I156</f>
        <v>14.1550266331123</v>
      </c>
      <c r="L156" s="17" t="n">
        <f aca="false">'3. The decision'!$B$8*'3. The decision'!$B$5/J156</f>
        <v>32.0621269928086</v>
      </c>
      <c r="M156" s="31" t="n">
        <f aca="false">L156*'3. The decision'!$B$6*'3. The decision'!$B$7*K156</f>
        <v>870476.390643029</v>
      </c>
      <c r="N156" s="31" t="n">
        <f aca="false">M156*(1+'3. The decision'!$B$19+'3. The decision'!$B$20+'3. The decision'!$B$22)</f>
        <v>962746.88805119</v>
      </c>
      <c r="O156" s="31" t="n">
        <f aca="false">'3. The decision'!$B$17+'3. The decision'!$B$18*L156*12+M156*('3. The decision'!$B$20*(1-'3. The decision'!$B$21)+'3. The decision'!$B$23)+N156*('3. The decision'!$B$24+'3. The decision'!$B$25)</f>
        <v>570155.511952749</v>
      </c>
      <c r="P156" s="31" t="n">
        <f aca="false">N156-O156</f>
        <v>392591.376098441</v>
      </c>
    </row>
    <row r="157" customFormat="false" ht="15" hidden="false" customHeight="false" outlineLevel="0" collapsed="false">
      <c r="A157" s="27" t="n">
        <f aca="false">6*0.0025</f>
        <v>0.015</v>
      </c>
      <c r="B157" s="27" t="n">
        <f aca="false">IF(A157&gt;0,MIN('3. The decision'!$B$15,'3. The decision'!$B$29*(A157/'3. The decision'!$B$28)^$B$148),0)</f>
        <v>0.00100386674598453</v>
      </c>
      <c r="C157" s="15" t="n">
        <f aca="false">(1-'3. The decision'!$B$27-B157)*(1-'3. The decision'!$B$27)^('3. The decision'!$B$12-1)</f>
        <v>0.661026166210427</v>
      </c>
      <c r="D157" s="15" t="n">
        <f aca="false">1+(1-'3. The decision'!$B$27-B157)*(1-(1-'3. The decision'!$B$27)^('3. The decision'!$B$12-1))/'3. The decision'!$B$27</f>
        <v>5.0822551435126</v>
      </c>
      <c r="E157" s="15" t="n">
        <f aca="false">(1-'3. The decision'!$B$14)*(1-'3. The decision'!$B$27)^('3. The decision'!$B$11-1)</f>
        <v>0.690273454655712</v>
      </c>
      <c r="F157" s="15" t="n">
        <f aca="false">1+(1-'3. The decision'!$B$14)*(1-(1-'3. The decision'!$B$27)^('3. The decision'!$B$11-1))/'3. The decision'!$B$27</f>
        <v>4.28912098262087</v>
      </c>
      <c r="G157" s="15" t="n">
        <f aca="false">(1-(1-'3. The decision'!$B$9*MIN(1,('3. The decision'!$B$10/(52/12)))))+(1-(1-'3. The decision'!$B$9*MAX(0,MIN(1,('3. The decision'!$B$10/(52/12))-1))))*(1-'3. The decision'!$B$14)+(1-(1-'3. The decision'!$B$9*MAX(0,MIN(1,('3. The decision'!$B$10/(52/12))-2))))*(1-'3. The decision'!$B$14)*(1-'3. The decision'!$B$27)</f>
        <v>0.884576923076923</v>
      </c>
      <c r="H157" s="15" t="n">
        <f aca="false">IF(A157&lt;=0,0,MAX(0,ROUNDUP(LN('3. The decision'!$B$13)/LN(1+A157)-0.000000000001,0)-1))</f>
        <v>32</v>
      </c>
      <c r="I157" s="15" t="n">
        <f aca="false">IF(A157&lt;=0,1/(1-C157),(1+A157)*(1-(C157*(1+A157))^H157)/(1-C157*(1+A157))+'3. The decision'!$B$13*C157^H157/(1-C157))</f>
        <v>3.08455813120609</v>
      </c>
      <c r="J157" s="17" t="n">
        <f aca="false">F157+E157*D157/(1-C157)</f>
        <v>14.6384325390167</v>
      </c>
      <c r="K157" s="15" t="n">
        <f aca="false">F157-G157+E157*D157*I157</f>
        <v>14.2256237597514</v>
      </c>
      <c r="L157" s="17" t="n">
        <f aca="false">'3. The decision'!$B$8*'3. The decision'!$B$5/J157</f>
        <v>32.0826699681296</v>
      </c>
      <c r="M157" s="31" t="n">
        <f aca="false">L157*'3. The decision'!$B$6*'3. The decision'!$B$7*K157</f>
        <v>875378.34272684</v>
      </c>
      <c r="N157" s="31" t="n">
        <f aca="false">M157*(1+'3. The decision'!$B$19+'3. The decision'!$B$20+'3. The decision'!$B$22)</f>
        <v>968168.447055885</v>
      </c>
      <c r="O157" s="31" t="n">
        <f aca="false">'3. The decision'!$B$17+'3. The decision'!$B$18*L157*12+M157*('3. The decision'!$B$20*(1-'3. The decision'!$B$21)+'3. The decision'!$B$23)+N157*('3. The decision'!$B$24+'3. The decision'!$B$25)</f>
        <v>570714.213514715</v>
      </c>
      <c r="P157" s="31" t="n">
        <f aca="false">N157-O157</f>
        <v>397454.23354117</v>
      </c>
    </row>
    <row r="158" customFormat="false" ht="15" hidden="false" customHeight="false" outlineLevel="0" collapsed="false">
      <c r="A158" s="27" t="n">
        <f aca="false">7*0.0025</f>
        <v>0.0175</v>
      </c>
      <c r="B158" s="27" t="n">
        <f aca="false">IF(A158&gt;0,MIN('3. The decision'!$B$15,'3. The decision'!$B$29*(A158/'3. The decision'!$B$28)^$B$148),0)</f>
        <v>0.0013663741820345</v>
      </c>
      <c r="C158" s="15" t="n">
        <f aca="false">(1-'3. The decision'!$B$27-B158)*(1-'3. The decision'!$B$27)^('3. The decision'!$B$12-1)</f>
        <v>0.660769192597209</v>
      </c>
      <c r="D158" s="15" t="n">
        <f aca="false">1+(1-'3. The decision'!$B$27-B158)*(1-(1-'3. The decision'!$B$27)^('3. The decision'!$B$12-1))/'3. The decision'!$B$27</f>
        <v>5.08066816873319</v>
      </c>
      <c r="E158" s="15" t="n">
        <f aca="false">(1-'3. The decision'!$B$14)*(1-'3. The decision'!$B$27)^('3. The decision'!$B$11-1)</f>
        <v>0.690273454655712</v>
      </c>
      <c r="F158" s="15" t="n">
        <f aca="false">1+(1-'3. The decision'!$B$14)*(1-(1-'3. The decision'!$B$27)^('3. The decision'!$B$11-1))/'3. The decision'!$B$27</f>
        <v>4.28912098262087</v>
      </c>
      <c r="G158" s="15" t="n">
        <f aca="false">(1-(1-'3. The decision'!$B$9*MIN(1,('3. The decision'!$B$10/(52/12)))))+(1-(1-'3. The decision'!$B$9*MAX(0,MIN(1,('3. The decision'!$B$10/(52/12))-1))))*(1-'3. The decision'!$B$14)+(1-(1-'3. The decision'!$B$9*MAX(0,MIN(1,('3. The decision'!$B$10/(52/12))-2))))*(1-'3. The decision'!$B$14)*(1-'3. The decision'!$B$27)</f>
        <v>0.884576923076923</v>
      </c>
      <c r="H158" s="15" t="n">
        <f aca="false">IF(A158&lt;=0,0,MAX(0,ROUNDUP(LN('3. The decision'!$B$13)/LN(1+A158)-0.000000000001,0)-1))</f>
        <v>27</v>
      </c>
      <c r="I158" s="15" t="n">
        <f aca="false">IF(A158&lt;=0,1/(1-C158),(1+A158)*(1-(C158*(1+A158))^H158)/(1-C158*(1+A158))+'3. The decision'!$B$13*C158^H158/(1-C158))</f>
        <v>3.10528092343301</v>
      </c>
      <c r="J158" s="17" t="n">
        <f aca="false">F158+E158*D158/(1-C158)</f>
        <v>14.6273635368315</v>
      </c>
      <c r="K158" s="15" t="n">
        <f aca="false">F158-G158+E158*D158*I158</f>
        <v>14.2949206672686</v>
      </c>
      <c r="L158" s="17" t="n">
        <f aca="false">'3. The decision'!$B$8*'3. The decision'!$B$5/J158</f>
        <v>32.1069479689524</v>
      </c>
      <c r="M158" s="31" t="n">
        <f aca="false">L158*'3. The decision'!$B$6*'3. The decision'!$B$7*K158</f>
        <v>880308.204418827</v>
      </c>
      <c r="N158" s="31" t="n">
        <f aca="false">M158*(1+'3. The decision'!$B$19+'3. The decision'!$B$20+'3. The decision'!$B$22)</f>
        <v>973620.874087222</v>
      </c>
      <c r="O158" s="31" t="n">
        <f aca="false">'3. The decision'!$B$17+'3. The decision'!$B$18*L158*12+M158*('3. The decision'!$B$20*(1-'3. The decision'!$B$21)+'3. The decision'!$B$23)+N158*('3. The decision'!$B$24+'3. The decision'!$B$25)</f>
        <v>571281.576841803</v>
      </c>
      <c r="P158" s="31" t="n">
        <f aca="false">N158-O158</f>
        <v>402339.297245419</v>
      </c>
    </row>
    <row r="159" customFormat="false" ht="15" hidden="false" customHeight="false" outlineLevel="0" collapsed="false">
      <c r="A159" s="27" t="n">
        <f aca="false">8*0.0025</f>
        <v>0.02</v>
      </c>
      <c r="B159" s="27" t="n">
        <f aca="false">IF(A159&gt;0,MIN('3. The decision'!$B$15,'3. The decision'!$B$29*(A159/'3. The decision'!$B$28)^$B$148),0)</f>
        <v>0.00178465199286139</v>
      </c>
      <c r="C159" s="15" t="n">
        <f aca="false">(1-'3. The decision'!$B$27-B159)*(1-'3. The decision'!$B$27)^('3. The decision'!$B$12-1)</f>
        <v>0.660472684581956</v>
      </c>
      <c r="D159" s="15" t="n">
        <f aca="false">1+(1-'3. The decision'!$B$27-B159)*(1-(1-'3. The decision'!$B$27)^('3. The decision'!$B$12-1))/'3. The decision'!$B$27</f>
        <v>5.07883704398771</v>
      </c>
      <c r="E159" s="15" t="n">
        <f aca="false">(1-'3. The decision'!$B$14)*(1-'3. The decision'!$B$27)^('3. The decision'!$B$11-1)</f>
        <v>0.690273454655712</v>
      </c>
      <c r="F159" s="15" t="n">
        <f aca="false">1+(1-'3. The decision'!$B$14)*(1-(1-'3. The decision'!$B$27)^('3. The decision'!$B$11-1))/'3. The decision'!$B$27</f>
        <v>4.28912098262087</v>
      </c>
      <c r="G159" s="15" t="n">
        <f aca="false">(1-(1-'3. The decision'!$B$9*MIN(1,('3. The decision'!$B$10/(52/12)))))+(1-(1-'3. The decision'!$B$9*MAX(0,MIN(1,('3. The decision'!$B$10/(52/12))-1))))*(1-'3. The decision'!$B$14)+(1-(1-'3. The decision'!$B$9*MAX(0,MIN(1,('3. The decision'!$B$10/(52/12))-2))))*(1-'3. The decision'!$B$14)*(1-'3. The decision'!$B$27)</f>
        <v>0.884576923076923</v>
      </c>
      <c r="H159" s="15" t="n">
        <f aca="false">IF(A159&lt;=0,0,MAX(0,ROUNDUP(LN('3. The decision'!$B$13)/LN(1+A159)-0.000000000001,0)-1))</f>
        <v>24</v>
      </c>
      <c r="I159" s="15" t="n">
        <f aca="false">IF(A159&lt;=0,1/(1-C159),(1+A159)*(1-(C159*(1+A159))^H159)/(1-C159*(1+A159))+'3. The decision'!$B$13*C159^H159/(1-C159))</f>
        <v>3.12577443252677</v>
      </c>
      <c r="J159" s="17" t="n">
        <f aca="false">F159+E159*D159/(1-C159)</f>
        <v>14.614612431432</v>
      </c>
      <c r="K159" s="15" t="n">
        <f aca="false">F159-G159+E159*D159*I159</f>
        <v>14.3628415295166</v>
      </c>
      <c r="L159" s="17" t="n">
        <f aca="false">'3. The decision'!$B$8*'3. The decision'!$B$5/J159</f>
        <v>32.1349609648173</v>
      </c>
      <c r="M159" s="31" t="n">
        <f aca="false">L159*'3. The decision'!$B$6*'3. The decision'!$B$7*K159</f>
        <v>885262.608952884</v>
      </c>
      <c r="N159" s="31" t="n">
        <f aca="false">M159*(1+'3. The decision'!$B$19+'3. The decision'!$B$20+'3. The decision'!$B$22)</f>
        <v>979100.44550189</v>
      </c>
      <c r="O159" s="31" t="n">
        <f aca="false">'3. The decision'!$B$17+'3. The decision'!$B$18*L159*12+M159*('3. The decision'!$B$20*(1-'3. The decision'!$B$21)+'3. The decision'!$B$23)+N159*('3. The decision'!$B$24+'3. The decision'!$B$25)</f>
        <v>571857.239532938</v>
      </c>
      <c r="P159" s="31" t="n">
        <f aca="false">N159-O159</f>
        <v>407243.205968952</v>
      </c>
    </row>
    <row r="160" customFormat="false" ht="15" hidden="false" customHeight="false" outlineLevel="0" collapsed="false">
      <c r="A160" s="27" t="n">
        <f aca="false">9*0.0025</f>
        <v>0.0225</v>
      </c>
      <c r="B160" s="27" t="n">
        <f aca="false">IF(A160&gt;0,MIN('3. The decision'!$B$15,'3. The decision'!$B$29*(A160/'3. The decision'!$B$28)^$B$148),0)</f>
        <v>0.0022587001784652</v>
      </c>
      <c r="C160" s="15" t="n">
        <f aca="false">(1-'3. The decision'!$B$27-B160)*(1-'3. The decision'!$B$27)^('3. The decision'!$B$12-1)</f>
        <v>0.66013664216467</v>
      </c>
      <c r="D160" s="15" t="n">
        <f aca="false">1+(1-'3. The decision'!$B$27-B160)*(1-(1-'3. The decision'!$B$27)^('3. The decision'!$B$12-1))/'3. The decision'!$B$27</f>
        <v>5.07676176927617</v>
      </c>
      <c r="E160" s="15" t="n">
        <f aca="false">(1-'3. The decision'!$B$14)*(1-'3. The decision'!$B$27)^('3. The decision'!$B$11-1)</f>
        <v>0.690273454655712</v>
      </c>
      <c r="F160" s="15" t="n">
        <f aca="false">1+(1-'3. The decision'!$B$14)*(1-(1-'3. The decision'!$B$27)^('3. The decision'!$B$11-1))/'3. The decision'!$B$27</f>
        <v>4.28912098262087</v>
      </c>
      <c r="G160" s="15" t="n">
        <f aca="false">(1-(1-'3. The decision'!$B$9*MIN(1,('3. The decision'!$B$10/(52/12)))))+(1-(1-'3. The decision'!$B$9*MAX(0,MIN(1,('3. The decision'!$B$10/(52/12))-1))))*(1-'3. The decision'!$B$14)+(1-(1-'3. The decision'!$B$9*MAX(0,MIN(1,('3. The decision'!$B$10/(52/12))-2))))*(1-'3. The decision'!$B$14)*(1-'3. The decision'!$B$27)</f>
        <v>0.884576923076923</v>
      </c>
      <c r="H160" s="15" t="n">
        <f aca="false">IF(A160&lt;=0,0,MAX(0,ROUNDUP(LN('3. The decision'!$B$13)/LN(1+A160)-0.000000000001,0)-1))</f>
        <v>21</v>
      </c>
      <c r="I160" s="15" t="n">
        <f aca="false">IF(A160&lt;=0,1/(1-C160),(1+A160)*(1-(C160*(1+A160))^H160)/(1-C160*(1+A160))+'3. The decision'!$B$13*C160^H160/(1-C160))</f>
        <v>3.14601300366063</v>
      </c>
      <c r="J160" s="17" t="n">
        <f aca="false">F160+E160*D160/(1-C160)</f>
        <v>14.6001880751794</v>
      </c>
      <c r="K160" s="15" t="n">
        <f aca="false">F160-G160+E160*D160*I160</f>
        <v>14.4292869510011</v>
      </c>
      <c r="L160" s="17" t="n">
        <f aca="false">'3. The decision'!$B$8*'3. The decision'!$B$5/J160</f>
        <v>32.1667089205788</v>
      </c>
      <c r="M160" s="31" t="n">
        <f aca="false">L160*'3. The decision'!$B$6*'3. The decision'!$B$7*K160</f>
        <v>890236.660914357</v>
      </c>
      <c r="N160" s="31" t="n">
        <f aca="false">M160*(1+'3. The decision'!$B$19+'3. The decision'!$B$20+'3. The decision'!$B$22)</f>
        <v>984601.746971279</v>
      </c>
      <c r="O160" s="31" t="n">
        <f aca="false">'3. The decision'!$B$17+'3. The decision'!$B$18*L160*12+M160*('3. The decision'!$B$20*(1-'3. The decision'!$B$21)+'3. The decision'!$B$23)+N160*('3. The decision'!$B$24+'3. The decision'!$B$25)</f>
        <v>572440.674656085</v>
      </c>
      <c r="P160" s="31" t="n">
        <f aca="false">N160-O160</f>
        <v>412161.072315194</v>
      </c>
    </row>
    <row r="161" customFormat="false" ht="15" hidden="false" customHeight="false" outlineLevel="0" collapsed="false">
      <c r="A161" s="27" t="n">
        <f aca="false">10*0.0025</f>
        <v>0.025</v>
      </c>
      <c r="B161" s="27" t="n">
        <f aca="false">IF(A161&gt;0,MIN('3. The decision'!$B$15,'3. The decision'!$B$29*(A161/'3. The decision'!$B$28)^$B$148),0)</f>
        <v>0.00278851873884593</v>
      </c>
      <c r="C161" s="15" t="n">
        <f aca="false">(1-'3. The decision'!$B$27-B161)*(1-'3. The decision'!$B$27)^('3. The decision'!$B$12-1)</f>
        <v>0.65976106534535</v>
      </c>
      <c r="D161" s="15" t="n">
        <f aca="false">1+(1-'3. The decision'!$B$27-B161)*(1-(1-'3. The decision'!$B$27)^('3. The decision'!$B$12-1))/'3. The decision'!$B$27</f>
        <v>5.07444234459856</v>
      </c>
      <c r="E161" s="15" t="n">
        <f aca="false">(1-'3. The decision'!$B$14)*(1-'3. The decision'!$B$27)^('3. The decision'!$B$11-1)</f>
        <v>0.690273454655712</v>
      </c>
      <c r="F161" s="15" t="n">
        <f aca="false">1+(1-'3. The decision'!$B$14)*(1-(1-'3. The decision'!$B$27)^('3. The decision'!$B$11-1))/'3. The decision'!$B$27</f>
        <v>4.28912098262087</v>
      </c>
      <c r="G161" s="15" t="n">
        <f aca="false">(1-(1-'3. The decision'!$B$9*MIN(1,('3. The decision'!$B$10/(52/12)))))+(1-(1-'3. The decision'!$B$9*MAX(0,MIN(1,('3. The decision'!$B$10/(52/12))-1))))*(1-'3. The decision'!$B$14)+(1-(1-'3. The decision'!$B$9*MAX(0,MIN(1,('3. The decision'!$B$10/(52/12))-2))))*(1-'3. The decision'!$B$14)*(1-'3. The decision'!$B$27)</f>
        <v>0.884576923076923</v>
      </c>
      <c r="H161" s="15" t="n">
        <f aca="false">IF(A161&lt;=0,0,MAX(0,ROUNDUP(LN('3. The decision'!$B$13)/LN(1+A161)-0.000000000001,0)-1))</f>
        <v>19</v>
      </c>
      <c r="I161" s="15" t="n">
        <f aca="false">IF(A161&lt;=0,1/(1-C161),(1+A161)*(1-(C161*(1+A161))^H161)/(1-C161*(1+A161))+'3. The decision'!$B$13*C161^H161/(1-C161))</f>
        <v>3.16596189444311</v>
      </c>
      <c r="J161" s="17" t="n">
        <f aca="false">F161+E161*D161/(1-C161)</f>
        <v>14.5841004540698</v>
      </c>
      <c r="K161" s="15" t="n">
        <f aca="false">F161-G161+E161*D161*I161</f>
        <v>14.494126100879</v>
      </c>
      <c r="L161" s="17" t="n">
        <f aca="false">'3. The decision'!$B$8*'3. The decision'!$B$5/J161</f>
        <v>32.2021917964055</v>
      </c>
      <c r="M161" s="31" t="n">
        <f aca="false">L161*'3. The decision'!$B$6*'3. The decision'!$B$7*K161</f>
        <v>895223.436945412</v>
      </c>
      <c r="N161" s="31" t="n">
        <f aca="false">M161*(1+'3. The decision'!$B$19+'3. The decision'!$B$20+'3. The decision'!$B$22)</f>
        <v>990117.121261625</v>
      </c>
      <c r="O161" s="31" t="n">
        <f aca="false">'3. The decision'!$B$17+'3. The decision'!$B$18*L161*12+M161*('3. The decision'!$B$20*(1-'3. The decision'!$B$21)+'3. The decision'!$B$23)+N161*('3. The decision'!$B$24+'3. The decision'!$B$25)</f>
        <v>573031.137010674</v>
      </c>
      <c r="P161" s="31" t="n">
        <f aca="false">N161-O161</f>
        <v>417085.984250951</v>
      </c>
    </row>
    <row r="162" customFormat="false" ht="15" hidden="false" customHeight="false" outlineLevel="0" collapsed="false">
      <c r="A162" s="27" t="n">
        <f aca="false">11*0.0025</f>
        <v>0.0275</v>
      </c>
      <c r="B162" s="27" t="n">
        <f aca="false">IF(A162&gt;0,MIN('3. The decision'!$B$15,'3. The decision'!$B$29*(A162/'3. The decision'!$B$28)^$B$148),0)</f>
        <v>0.00337410767400357</v>
      </c>
      <c r="C162" s="15" t="n">
        <f aca="false">(1-'3. The decision'!$B$27-B162)*(1-'3. The decision'!$B$27)^('3. The decision'!$B$12-1)</f>
        <v>0.659345954123996</v>
      </c>
      <c r="D162" s="15" t="n">
        <f aca="false">1+(1-'3. The decision'!$B$27-B162)*(1-(1-'3. The decision'!$B$27)^('3. The decision'!$B$12-1))/'3. The decision'!$B$27</f>
        <v>5.07187876995489</v>
      </c>
      <c r="E162" s="15" t="n">
        <f aca="false">(1-'3. The decision'!$B$14)*(1-'3. The decision'!$B$27)^('3. The decision'!$B$11-1)</f>
        <v>0.690273454655712</v>
      </c>
      <c r="F162" s="15" t="n">
        <f aca="false">1+(1-'3. The decision'!$B$14)*(1-(1-'3. The decision'!$B$27)^('3. The decision'!$B$11-1))/'3. The decision'!$B$27</f>
        <v>4.28912098262087</v>
      </c>
      <c r="G162" s="15" t="n">
        <f aca="false">(1-(1-'3. The decision'!$B$9*MIN(1,('3. The decision'!$B$10/(52/12)))))+(1-(1-'3. The decision'!$B$9*MAX(0,MIN(1,('3. The decision'!$B$10/(52/12))-1))))*(1-'3. The decision'!$B$14)+(1-(1-'3. The decision'!$B$9*MAX(0,MIN(1,('3. The decision'!$B$10/(52/12))-2))))*(1-'3. The decision'!$B$14)*(1-'3. The decision'!$B$27)</f>
        <v>0.884576923076923</v>
      </c>
      <c r="H162" s="15" t="n">
        <f aca="false">IF(A162&lt;=0,0,MAX(0,ROUNDUP(LN('3. The decision'!$B$13)/LN(1+A162)-0.000000000001,0)-1))</f>
        <v>17</v>
      </c>
      <c r="I162" s="15" t="n">
        <f aca="false">IF(A162&lt;=0,1/(1-C162),(1+A162)*(1-(C162*(1+A162))^H162)/(1-C162*(1+A162))+'3. The decision'!$B$13*C162^H162/(1-C162))</f>
        <v>3.18557899176258</v>
      </c>
      <c r="J162" s="17" t="n">
        <f aca="false">F162+E162*D162/(1-C162)</f>
        <v>14.5663606705536</v>
      </c>
      <c r="K162" s="15" t="n">
        <f aca="false">F162-G162+E162*D162*I162</f>
        <v>14.5572028472436</v>
      </c>
      <c r="L162" s="17" t="n">
        <f aca="false">'3. The decision'!$B$8*'3. The decision'!$B$5/J162</f>
        <v>32.2414095477804</v>
      </c>
      <c r="M162" s="31" t="n">
        <f aca="false">L162*'3. The decision'!$B$6*'3. The decision'!$B$7*K162</f>
        <v>900214.346142813</v>
      </c>
      <c r="N162" s="31" t="n">
        <f aca="false">M162*(1+'3. The decision'!$B$19+'3. The decision'!$B$20+'3. The decision'!$B$22)</f>
        <v>995637.066833951</v>
      </c>
      <c r="O162" s="31" t="n">
        <f aca="false">'3. The decision'!$B$17+'3. The decision'!$B$18*L162*12+M162*('3. The decision'!$B$20*(1-'3. The decision'!$B$21)+'3. The decision'!$B$23)+N162*('3. The decision'!$B$24+'3. The decision'!$B$25)</f>
        <v>573627.701916127</v>
      </c>
      <c r="P162" s="31" t="n">
        <f aca="false">N162-O162</f>
        <v>422009.364917824</v>
      </c>
    </row>
    <row r="163" customFormat="false" ht="15" hidden="false" customHeight="false" outlineLevel="0" collapsed="false">
      <c r="A163" s="27" t="n">
        <f aca="false">12*0.0025</f>
        <v>0.03</v>
      </c>
      <c r="B163" s="27" t="n">
        <f aca="false">IF(A163&gt;0,MIN('3. The decision'!$B$15,'3. The decision'!$B$29*(A163/'3. The decision'!$B$28)^$B$148),0)</f>
        <v>0.00401546698393813</v>
      </c>
      <c r="C163" s="15" t="n">
        <f aca="false">(1-'3. The decision'!$B$27-B163)*(1-'3. The decision'!$B$27)^('3. The decision'!$B$12-1)</f>
        <v>0.658891308500609</v>
      </c>
      <c r="D163" s="15" t="n">
        <f aca="false">1+(1-'3. The decision'!$B$27-B163)*(1-(1-'3. The decision'!$B$27)^('3. The decision'!$B$12-1))/'3. The decision'!$B$27</f>
        <v>5.06907104534515</v>
      </c>
      <c r="E163" s="15" t="n">
        <f aca="false">(1-'3. The decision'!$B$14)*(1-'3. The decision'!$B$27)^('3. The decision'!$B$11-1)</f>
        <v>0.690273454655712</v>
      </c>
      <c r="F163" s="15" t="n">
        <f aca="false">1+(1-'3. The decision'!$B$14)*(1-(1-'3. The decision'!$B$27)^('3. The decision'!$B$11-1))/'3. The decision'!$B$27</f>
        <v>4.28912098262087</v>
      </c>
      <c r="G163" s="15" t="n">
        <f aca="false">(1-(1-'3. The decision'!$B$9*MIN(1,('3. The decision'!$B$10/(52/12)))))+(1-(1-'3. The decision'!$B$9*MAX(0,MIN(1,('3. The decision'!$B$10/(52/12))-1))))*(1-'3. The decision'!$B$14)+(1-(1-'3. The decision'!$B$9*MAX(0,MIN(1,('3. The decision'!$B$10/(52/12))-2))))*(1-'3. The decision'!$B$14)*(1-'3. The decision'!$B$27)</f>
        <v>0.884576923076923</v>
      </c>
      <c r="H163" s="15" t="n">
        <f aca="false">IF(A163&lt;=0,0,MAX(0,ROUNDUP(LN('3. The decision'!$B$13)/LN(1+A163)-0.000000000001,0)-1))</f>
        <v>16</v>
      </c>
      <c r="I163" s="15" t="n">
        <f aca="false">IF(A163&lt;=0,1/(1-C163),(1+A163)*(1-(C163*(1+A163))^H163)/(1-C163*(1+A163))+'3. The decision'!$B$13*C163^H163/(1-C163))</f>
        <v>3.20481058004578</v>
      </c>
      <c r="J163" s="17" t="n">
        <f aca="false">F163+E163*D163/(1-C163)</f>
        <v>14.5469809245212</v>
      </c>
      <c r="K163" s="15" t="n">
        <f aca="false">F163-G163+E163*D163*I163</f>
        <v>14.6183210800475</v>
      </c>
      <c r="L163" s="17" t="n">
        <f aca="false">'3. The decision'!$B$8*'3. The decision'!$B$5/J163</f>
        <v>32.2843621255012</v>
      </c>
      <c r="M163" s="31" t="n">
        <f aca="false">L163*'3. The decision'!$B$6*'3. The decision'!$B$7*K163</f>
        <v>905198.201425691</v>
      </c>
      <c r="N163" s="31" t="n">
        <f aca="false">M163*(1+'3. The decision'!$B$19+'3. The decision'!$B$20+'3. The decision'!$B$22)</f>
        <v>1001149.21077681</v>
      </c>
      <c r="O163" s="31" t="n">
        <f aca="false">'3. The decision'!$B$17+'3. The decision'!$B$18*L163*12+M163*('3. The decision'!$B$20*(1-'3. The decision'!$B$21)+'3. The decision'!$B$23)+N163*('3. The decision'!$B$24+'3. The decision'!$B$25)</f>
        <v>574229.165265957</v>
      </c>
      <c r="P163" s="31" t="n">
        <f aca="false">N163-O163</f>
        <v>426920.045510857</v>
      </c>
    </row>
    <row r="164" customFormat="false" ht="15" hidden="false" customHeight="false" outlineLevel="0" collapsed="false">
      <c r="A164" s="27" t="n">
        <f aca="false">13*0.0025</f>
        <v>0.0325</v>
      </c>
      <c r="B164" s="27" t="n">
        <f aca="false">IF(A164&gt;0,MIN('3. The decision'!$B$15,'3. The decision'!$B$29*(A164/'3. The decision'!$B$28)^$B$148),0)</f>
        <v>0.00471259666864961</v>
      </c>
      <c r="C164" s="15" t="n">
        <f aca="false">(1-'3. The decision'!$B$27-B164)*(1-'3. The decision'!$B$27)^('3. The decision'!$B$12-1)</f>
        <v>0.658397128475188</v>
      </c>
      <c r="D164" s="15" t="n">
        <f aca="false">1+(1-'3. The decision'!$B$27-B164)*(1-(1-'3. The decision'!$B$27)^('3. The decision'!$B$12-1))/'3. The decision'!$B$27</f>
        <v>5.06601917076935</v>
      </c>
      <c r="E164" s="15" t="n">
        <f aca="false">(1-'3. The decision'!$B$14)*(1-'3. The decision'!$B$27)^('3. The decision'!$B$11-1)</f>
        <v>0.690273454655712</v>
      </c>
      <c r="F164" s="15" t="n">
        <f aca="false">1+(1-'3. The decision'!$B$14)*(1-(1-'3. The decision'!$B$27)^('3. The decision'!$B$11-1))/'3. The decision'!$B$27</f>
        <v>4.28912098262087</v>
      </c>
      <c r="G164" s="15" t="n">
        <f aca="false">(1-(1-'3. The decision'!$B$9*MIN(1,('3. The decision'!$B$10/(52/12)))))+(1-(1-'3. The decision'!$B$9*MAX(0,MIN(1,('3. The decision'!$B$10/(52/12))-1))))*(1-'3. The decision'!$B$14)+(1-(1-'3. The decision'!$B$9*MAX(0,MIN(1,('3. The decision'!$B$10/(52/12))-2))))*(1-'3. The decision'!$B$14)*(1-'3. The decision'!$B$27)</f>
        <v>0.884576923076923</v>
      </c>
      <c r="H164" s="15" t="n">
        <f aca="false">IF(A164&lt;=0,0,MAX(0,ROUNDUP(LN('3. The decision'!$B$13)/LN(1+A164)-0.000000000001,0)-1))</f>
        <v>15</v>
      </c>
      <c r="I164" s="15" t="n">
        <f aca="false">IF(A164&lt;=0,1/(1-C164),(1+A164)*(1-(C164*(1+A164))^H164)/(1-C164*(1+A164))+'3. The decision'!$B$13*C164^H164/(1-C164))</f>
        <v>3.22361211785357</v>
      </c>
      <c r="J164" s="17" t="n">
        <f aca="false">F164+E164*D164/(1-C164)</f>
        <v>14.525974492516</v>
      </c>
      <c r="K164" s="15" t="n">
        <f aca="false">F164-G164+E164*D164*I164</f>
        <v>14.6773175587651</v>
      </c>
      <c r="L164" s="17" t="n">
        <f aca="false">'3. The decision'!$B$8*'3. The decision'!$B$5/J164</f>
        <v>32.33104947568</v>
      </c>
      <c r="M164" s="31" t="n">
        <f aca="false">L164*'3. The decision'!$B$6*'3. The decision'!$B$7*K164</f>
        <v>910165.707859044</v>
      </c>
      <c r="N164" s="31" t="n">
        <f aca="false">M164*(1+'3. The decision'!$B$19+'3. The decision'!$B$20+'3. The decision'!$B$22)</f>
        <v>1006643.2728921</v>
      </c>
      <c r="O164" s="31" t="n">
        <f aca="false">'3. The decision'!$B$17+'3. The decision'!$B$18*L164*12+M164*('3. The decision'!$B$20*(1-'3. The decision'!$B$21)+'3. The decision'!$B$23)+N164*('3. The decision'!$B$24+'3. The decision'!$B$25)</f>
        <v>574834.526592564</v>
      </c>
      <c r="P164" s="31" t="n">
        <f aca="false">N164-O164</f>
        <v>431808.746299538</v>
      </c>
    </row>
    <row r="165" customFormat="false" ht="15" hidden="false" customHeight="false" outlineLevel="0" collapsed="false">
      <c r="A165" s="27" t="n">
        <f aca="false">14*0.0025</f>
        <v>0.035</v>
      </c>
      <c r="B165" s="27" t="n">
        <f aca="false">IF(A165&gt;0,MIN('3. The decision'!$B$15,'3. The decision'!$B$29*(A165/'3. The decision'!$B$28)^$B$148),0)</f>
        <v>0.00546549672813801</v>
      </c>
      <c r="C165" s="15" t="n">
        <f aca="false">(1-'3. The decision'!$B$27-B165)*(1-'3. The decision'!$B$27)^('3. The decision'!$B$12-1)</f>
        <v>0.657863414047734</v>
      </c>
      <c r="D165" s="15" t="n">
        <f aca="false">1+(1-'3. The decision'!$B$27-B165)*(1-(1-'3. The decision'!$B$27)^('3. The decision'!$B$12-1))/'3. The decision'!$B$27</f>
        <v>5.06272314622749</v>
      </c>
      <c r="E165" s="15" t="n">
        <f aca="false">(1-'3. The decision'!$B$14)*(1-'3. The decision'!$B$27)^('3. The decision'!$B$11-1)</f>
        <v>0.690273454655712</v>
      </c>
      <c r="F165" s="15" t="n">
        <f aca="false">1+(1-'3. The decision'!$B$14)*(1-(1-'3. The decision'!$B$27)^('3. The decision'!$B$11-1))/'3. The decision'!$B$27</f>
        <v>4.28912098262087</v>
      </c>
      <c r="G165" s="15" t="n">
        <f aca="false">(1-(1-'3. The decision'!$B$9*MIN(1,('3. The decision'!$B$10/(52/12)))))+(1-(1-'3. The decision'!$B$9*MAX(0,MIN(1,('3. The decision'!$B$10/(52/12))-1))))*(1-'3. The decision'!$B$14)+(1-(1-'3. The decision'!$B$9*MAX(0,MIN(1,('3. The decision'!$B$10/(52/12))-2))))*(1-'3. The decision'!$B$14)*(1-'3. The decision'!$B$27)</f>
        <v>0.884576923076923</v>
      </c>
      <c r="H165" s="15" t="n">
        <f aca="false">IF(A165&lt;=0,0,MAX(0,ROUNDUP(LN('3. The decision'!$B$13)/LN(1+A165)-0.000000000001,0)-1))</f>
        <v>14</v>
      </c>
      <c r="I165" s="15" t="n">
        <f aca="false">IF(A165&lt;=0,1/(1-C165),(1+A165)*(1-(C165*(1+A165))^H165)/(1-C165*(1+A165))+'3. The decision'!$B$13*C165^H165/(1-C165))</f>
        <v>3.24191697937723</v>
      </c>
      <c r="J165" s="17" t="n">
        <f aca="false">F165+E165*D165/(1-C165)</f>
        <v>14.5033557052397</v>
      </c>
      <c r="K165" s="15" t="n">
        <f aca="false">F165-G165+E165*D165*I165</f>
        <v>14.7339526606072</v>
      </c>
      <c r="L165" s="17" t="n">
        <f aca="false">'3. The decision'!$B$8*'3. The decision'!$B$5/J165</f>
        <v>32.3814715397439</v>
      </c>
      <c r="M165" s="31" t="n">
        <f aca="false">L165*'3. The decision'!$B$6*'3. The decision'!$B$7*K165</f>
        <v>915102.679042166</v>
      </c>
      <c r="N165" s="31" t="n">
        <f aca="false">M165*(1+'3. The decision'!$B$19+'3. The decision'!$B$20+'3. The decision'!$B$22)</f>
        <v>1012103.56302064</v>
      </c>
      <c r="O165" s="31" t="n">
        <f aca="false">'3. The decision'!$B$17+'3. The decision'!$B$18*L165*12+M165*('3. The decision'!$B$20*(1-'3. The decision'!$B$21)+'3. The decision'!$B$23)+N165*('3. The decision'!$B$24+'3. The decision'!$B$25)</f>
        <v>575442.258967471</v>
      </c>
      <c r="P165" s="31" t="n">
        <f aca="false">N165-O165</f>
        <v>436661.304053165</v>
      </c>
    </row>
    <row r="166" customFormat="false" ht="15" hidden="false" customHeight="false" outlineLevel="0" collapsed="false">
      <c r="A166" s="27" t="n">
        <f aca="false">15*0.0025</f>
        <v>0.0375</v>
      </c>
      <c r="B166" s="27" t="n">
        <f aca="false">IF(A166&gt;0,MIN('3. The decision'!$B$15,'3. The decision'!$B$29*(A166/'3. The decision'!$B$28)^$B$148),0)</f>
        <v>0.00627416716240333</v>
      </c>
      <c r="C166" s="15" t="n">
        <f aca="false">(1-'3. The decision'!$B$27-B166)*(1-'3. The decision'!$B$27)^('3. The decision'!$B$12-1)</f>
        <v>0.657290165218246</v>
      </c>
      <c r="D166" s="15" t="n">
        <f aca="false">1+(1-'3. The decision'!$B$27-B166)*(1-(1-'3. The decision'!$B$27)^('3. The decision'!$B$12-1))/'3. The decision'!$B$27</f>
        <v>5.05918297171956</v>
      </c>
      <c r="E166" s="15" t="n">
        <f aca="false">(1-'3. The decision'!$B$14)*(1-'3. The decision'!$B$27)^('3. The decision'!$B$11-1)</f>
        <v>0.690273454655712</v>
      </c>
      <c r="F166" s="15" t="n">
        <f aca="false">1+(1-'3. The decision'!$B$14)*(1-(1-'3. The decision'!$B$27)^('3. The decision'!$B$11-1))/'3. The decision'!$B$27</f>
        <v>4.28912098262087</v>
      </c>
      <c r="G166" s="15" t="n">
        <f aca="false">(1-(1-'3. The decision'!$B$9*MIN(1,('3. The decision'!$B$10/(52/12)))))+(1-(1-'3. The decision'!$B$9*MAX(0,MIN(1,('3. The decision'!$B$10/(52/12))-1))))*(1-'3. The decision'!$B$14)+(1-(1-'3. The decision'!$B$9*MAX(0,MIN(1,('3. The decision'!$B$10/(52/12))-2))))*(1-'3. The decision'!$B$14)*(1-'3. The decision'!$B$27)</f>
        <v>0.884576923076923</v>
      </c>
      <c r="H166" s="15" t="n">
        <f aca="false">IF(A166&lt;=0,0,MAX(0,ROUNDUP(LN('3. The decision'!$B$13)/LN(1+A166)-0.000000000001,0)-1))</f>
        <v>13</v>
      </c>
      <c r="I166" s="15" t="n">
        <f aca="false">IF(A166&lt;=0,1/(1-C166),(1+A166)*(1-(C166*(1+A166))^H166)/(1-C166*(1+A166))+'3. The decision'!$B$13*C166^H166/(1-C166))</f>
        <v>3.2596528552266</v>
      </c>
      <c r="J166" s="17" t="n">
        <f aca="false">F166+E166*D166/(1-C166)</f>
        <v>14.47913992342</v>
      </c>
      <c r="K166" s="15" t="n">
        <f aca="false">F166-G166+E166*D166*I166</f>
        <v>14.7879680005798</v>
      </c>
      <c r="L166" s="17" t="n">
        <f aca="false">'3. The decision'!$B$8*'3. The decision'!$B$5/J166</f>
        <v>32.435628254435</v>
      </c>
      <c r="M166" s="31" t="n">
        <f aca="false">L166*'3. The decision'!$B$6*'3. The decision'!$B$7*K166</f>
        <v>919993.570421044</v>
      </c>
      <c r="N166" s="31" t="n">
        <f aca="false">M166*(1+'3. The decision'!$B$19+'3. The decision'!$B$20+'3. The decision'!$B$22)</f>
        <v>1017512.88888567</v>
      </c>
      <c r="O166" s="31" t="n">
        <f aca="false">'3. The decision'!$B$17+'3. The decision'!$B$18*L166*12+M166*('3. The decision'!$B$20*(1-'3. The decision'!$B$21)+'3. The decision'!$B$23)+N166*('3. The decision'!$B$24+'3. The decision'!$B$25)</f>
        <v>576050.689281138</v>
      </c>
      <c r="P166" s="31" t="n">
        <f aca="false">N166-O166</f>
        <v>441462.199604537</v>
      </c>
    </row>
    <row r="167" customFormat="false" ht="15" hidden="false" customHeight="false" outlineLevel="0" collapsed="false">
      <c r="A167" s="27" t="n">
        <f aca="false">16*0.0025</f>
        <v>0.04</v>
      </c>
      <c r="B167" s="27" t="n">
        <f aca="false">IF(A167&gt;0,MIN('3. The decision'!$B$15,'3. The decision'!$B$29*(A167/'3. The decision'!$B$28)^$B$148),0)</f>
        <v>0.00713860797144557</v>
      </c>
      <c r="C167" s="15" t="n">
        <f aca="false">(1-'3. The decision'!$B$27-B167)*(1-'3. The decision'!$B$27)^('3. The decision'!$B$12-1)</f>
        <v>0.656677381986724</v>
      </c>
      <c r="D167" s="15" t="n">
        <f aca="false">1+(1-'3. The decision'!$B$27-B167)*(1-(1-'3. The decision'!$B$27)^('3. The decision'!$B$12-1))/'3. The decision'!$B$27</f>
        <v>5.05539864724557</v>
      </c>
      <c r="E167" s="15" t="n">
        <f aca="false">(1-'3. The decision'!$B$14)*(1-'3. The decision'!$B$27)^('3. The decision'!$B$11-1)</f>
        <v>0.690273454655712</v>
      </c>
      <c r="F167" s="15" t="n">
        <f aca="false">1+(1-'3. The decision'!$B$14)*(1-(1-'3. The decision'!$B$27)^('3. The decision'!$B$11-1))/'3. The decision'!$B$27</f>
        <v>4.28912098262087</v>
      </c>
      <c r="G167" s="15" t="n">
        <f aca="false">(1-(1-'3. The decision'!$B$9*MIN(1,('3. The decision'!$B$10/(52/12)))))+(1-(1-'3. The decision'!$B$9*MAX(0,MIN(1,('3. The decision'!$B$10/(52/12))-1))))*(1-'3. The decision'!$B$14)+(1-(1-'3. The decision'!$B$9*MAX(0,MIN(1,('3. The decision'!$B$10/(52/12))-2))))*(1-'3. The decision'!$B$14)*(1-'3. The decision'!$B$27)</f>
        <v>0.884576923076923</v>
      </c>
      <c r="H167" s="15" t="n">
        <f aca="false">IF(A167&lt;=0,0,MAX(0,ROUNDUP(LN('3. The decision'!$B$13)/LN(1+A167)-0.000000000001,0)-1))</f>
        <v>12</v>
      </c>
      <c r="I167" s="15" t="n">
        <f aca="false">IF(A167&lt;=0,1/(1-C167),(1+A167)*(1-(C167*(1+A167))^H167)/(1-C167*(1+A167))+'3. The decision'!$B$13*C167^H167/(1-C167))</f>
        <v>3.27675473274592</v>
      </c>
      <c r="J167" s="17" t="n">
        <f aca="false">F167+E167*D167/(1-C167)</f>
        <v>14.4533435121166</v>
      </c>
      <c r="K167" s="15" t="n">
        <f aca="false">F167-G167+E167*D167*I167</f>
        <v>14.8391319142096</v>
      </c>
      <c r="L167" s="17" t="n">
        <f aca="false">'3. The decision'!$B$8*'3. The decision'!$B$5/J167</f>
        <v>32.4935195518108</v>
      </c>
      <c r="M167" s="31" t="n">
        <f aca="false">L167*'3. The decision'!$B$6*'3. The decision'!$B$7*K167</f>
        <v>924824.286343124</v>
      </c>
      <c r="N167" s="31" t="n">
        <f aca="false">M167*(1+'3. The decision'!$B$19+'3. The decision'!$B$20+'3. The decision'!$B$22)</f>
        <v>1022855.6606955</v>
      </c>
      <c r="O167" s="31" t="n">
        <f aca="false">'3. The decision'!$B$17+'3. The decision'!$B$18*L167*12+M167*('3. The decision'!$B$20*(1-'3. The decision'!$B$21)+'3. The decision'!$B$23)+N167*('3. The decision'!$B$24+'3. The decision'!$B$25)</f>
        <v>576658.300357846</v>
      </c>
      <c r="P167" s="31" t="n">
        <f aca="false">N167-O167</f>
        <v>446197.360337649</v>
      </c>
    </row>
    <row r="168" customFormat="false" ht="15" hidden="false" customHeight="false" outlineLevel="0" collapsed="false">
      <c r="A168" s="27" t="n">
        <f aca="false">17*0.0025</f>
        <v>0.0425</v>
      </c>
      <c r="B168" s="27" t="n">
        <f aca="false">IF(A168&gt;0,MIN('3. The decision'!$B$15,'3. The decision'!$B$29*(A168/'3. The decision'!$B$28)^$B$148),0)</f>
        <v>0.00805881915526472</v>
      </c>
      <c r="C168" s="15" t="n">
        <f aca="false">(1-'3. The decision'!$B$27-B168)*(1-'3. The decision'!$B$27)^('3. The decision'!$B$12-1)</f>
        <v>0.656025064353168</v>
      </c>
      <c r="D168" s="15" t="n">
        <f aca="false">1+(1-'3. The decision'!$B$27-B168)*(1-(1-'3. The decision'!$B$27)^('3. The decision'!$B$12-1))/'3. The decision'!$B$27</f>
        <v>5.05137017280552</v>
      </c>
      <c r="E168" s="15" t="n">
        <f aca="false">(1-'3. The decision'!$B$14)*(1-'3. The decision'!$B$27)^('3. The decision'!$B$11-1)</f>
        <v>0.690273454655712</v>
      </c>
      <c r="F168" s="15" t="n">
        <f aca="false">1+(1-'3. The decision'!$B$14)*(1-(1-'3. The decision'!$B$27)^('3. The decision'!$B$11-1))/'3. The decision'!$B$27</f>
        <v>4.28912098262087</v>
      </c>
      <c r="G168" s="15" t="n">
        <f aca="false">(1-(1-'3. The decision'!$B$9*MIN(1,('3. The decision'!$B$10/(52/12)))))+(1-(1-'3. The decision'!$B$9*MAX(0,MIN(1,('3. The decision'!$B$10/(52/12))-1))))*(1-'3. The decision'!$B$14)+(1-(1-'3. The decision'!$B$9*MAX(0,MIN(1,('3. The decision'!$B$10/(52/12))-2))))*(1-'3. The decision'!$B$14)*(1-'3. The decision'!$B$27)</f>
        <v>0.884576923076923</v>
      </c>
      <c r="H168" s="15" t="n">
        <f aca="false">IF(A168&lt;=0,0,MAX(0,ROUNDUP(LN('3. The decision'!$B$13)/LN(1+A168)-0.000000000001,0)-1))</f>
        <v>11</v>
      </c>
      <c r="I168" s="15" t="n">
        <f aca="false">IF(A168&lt;=0,1/(1-C168),(1+A168)*(1-(C168*(1+A168))^H168)/(1-C168*(1+A168))+'3. The decision'!$B$13*C168^H168/(1-C168))</f>
        <v>3.29319460078167</v>
      </c>
      <c r="J168" s="17" t="n">
        <f aca="false">F168+E168*D168/(1-C168)</f>
        <v>14.4259838135433</v>
      </c>
      <c r="K168" s="15" t="n">
        <f aca="false">F168-G168+E168*D168*I168</f>
        <v>14.8873430533336</v>
      </c>
      <c r="L168" s="17" t="n">
        <f aca="false">'3. The decision'!$B$8*'3. The decision'!$B$5/J168</f>
        <v>32.5551453592439</v>
      </c>
      <c r="M168" s="31" t="n">
        <f aca="false">L168*'3. The decision'!$B$6*'3. The decision'!$B$7*K168</f>
        <v>929588.646022742</v>
      </c>
      <c r="N168" s="31" t="n">
        <f aca="false">M168*(1+'3. The decision'!$B$19+'3. The decision'!$B$20+'3. The decision'!$B$22)</f>
        <v>1028125.04250115</v>
      </c>
      <c r="O168" s="31" t="n">
        <f aca="false">'3. The decision'!$B$17+'3. The decision'!$B$18*L168*12+M168*('3. The decision'!$B$20*(1-'3. The decision'!$B$21)+'3. The decision'!$B$23)+N168*('3. The decision'!$B$24+'3. The decision'!$B$25)</f>
        <v>577264.426868158</v>
      </c>
      <c r="P168" s="31" t="n">
        <f aca="false">N168-O168</f>
        <v>450860.615632994</v>
      </c>
    </row>
    <row r="169" customFormat="false" ht="15" hidden="false" customHeight="false" outlineLevel="0" collapsed="false">
      <c r="A169" s="27" t="n">
        <f aca="false">18*0.0025</f>
        <v>0.045</v>
      </c>
      <c r="B169" s="27" t="n">
        <f aca="false">IF(A169&gt;0,MIN('3. The decision'!$B$15,'3. The decision'!$B$29*(A169/'3. The decision'!$B$28)^$B$148),0)</f>
        <v>0.00903480071386079</v>
      </c>
      <c r="C169" s="15" t="n">
        <f aca="false">(1-'3. The decision'!$B$27-B169)*(1-'3. The decision'!$B$27)^('3. The decision'!$B$12-1)</f>
        <v>0.655333212317579</v>
      </c>
      <c r="D169" s="15" t="n">
        <f aca="false">1+(1-'3. The decision'!$B$27-B169)*(1-(1-'3. The decision'!$B$27)^('3. The decision'!$B$12-1))/'3. The decision'!$B$27</f>
        <v>5.0470975483994</v>
      </c>
      <c r="E169" s="15" t="n">
        <f aca="false">(1-'3. The decision'!$B$14)*(1-'3. The decision'!$B$27)^('3. The decision'!$B$11-1)</f>
        <v>0.690273454655712</v>
      </c>
      <c r="F169" s="15" t="n">
        <f aca="false">1+(1-'3. The decision'!$B$14)*(1-(1-'3. The decision'!$B$27)^('3. The decision'!$B$11-1))/'3. The decision'!$B$27</f>
        <v>4.28912098262087</v>
      </c>
      <c r="G169" s="15" t="n">
        <f aca="false">(1-(1-'3. The decision'!$B$9*MIN(1,('3. The decision'!$B$10/(52/12)))))+(1-(1-'3. The decision'!$B$9*MAX(0,MIN(1,('3. The decision'!$B$10/(52/12))-1))))*(1-'3. The decision'!$B$14)+(1-(1-'3. The decision'!$B$9*MAX(0,MIN(1,('3. The decision'!$B$10/(52/12))-2))))*(1-'3. The decision'!$B$14)*(1-'3. The decision'!$B$27)</f>
        <v>0.884576923076923</v>
      </c>
      <c r="H169" s="15" t="n">
        <f aca="false">IF(A169&lt;=0,0,MAX(0,ROUNDUP(LN('3. The decision'!$B$13)/LN(1+A169)-0.000000000001,0)-1))</f>
        <v>10</v>
      </c>
      <c r="I169" s="15" t="n">
        <f aca="false">IF(A169&lt;=0,1/(1-C169),(1+A169)*(1-(C169*(1+A169))^H169)/(1-C169*(1+A169))+'3. The decision'!$B$13*C169^H169/(1-C169))</f>
        <v>3.30904242619171</v>
      </c>
      <c r="J169" s="17" t="n">
        <f aca="false">F169+E169*D169/(1-C169)</f>
        <v>14.3970791184889</v>
      </c>
      <c r="K169" s="15" t="n">
        <f aca="false">F169-G169+E169*D169*I169</f>
        <v>14.9328423847129</v>
      </c>
      <c r="L169" s="17" t="n">
        <f aca="false">'3. The decision'!$B$8*'3. The decision'!$B$5/J169</f>
        <v>32.6205055994228</v>
      </c>
      <c r="M169" s="31" t="n">
        <f aca="false">L169*'3. The decision'!$B$6*'3. The decision'!$B$7*K169</f>
        <v>934301.712729692</v>
      </c>
      <c r="N169" s="31" t="n">
        <f aca="false">M169*(1+'3. The decision'!$B$19+'3. The decision'!$B$20+'3. The decision'!$B$22)</f>
        <v>1033337.69427904</v>
      </c>
      <c r="O169" s="31" t="n">
        <f aca="false">'3. The decision'!$B$17+'3. The decision'!$B$18*L169*12+M169*('3. The decision'!$B$20*(1-'3. The decision'!$B$21)+'3. The decision'!$B$23)+N169*('3. The decision'!$B$24+'3. The decision'!$B$25)</f>
        <v>577870.689909499</v>
      </c>
      <c r="P169" s="31" t="n">
        <f aca="false">N169-O169</f>
        <v>455467.00436954</v>
      </c>
    </row>
    <row r="170" customFormat="false" ht="15" hidden="false" customHeight="false" outlineLevel="0" collapsed="false">
      <c r="A170" s="27" t="n">
        <f aca="false">19*0.0025</f>
        <v>0.0475</v>
      </c>
      <c r="B170" s="27" t="n">
        <f aca="false">IF(A170&gt;0,MIN('3. The decision'!$B$15,'3. The decision'!$B$29*(A170/'3. The decision'!$B$28)^$B$148),0)</f>
        <v>0.0100665526472338</v>
      </c>
      <c r="C170" s="15" t="n">
        <f aca="false">(1-'3. The decision'!$B$27-B170)*(1-'3. The decision'!$B$27)^('3. The decision'!$B$12-1)</f>
        <v>0.654601825879956</v>
      </c>
      <c r="D170" s="15" t="n">
        <f aca="false">1+(1-'3. The decision'!$B$27-B170)*(1-(1-'3. The decision'!$B$27)^('3. The decision'!$B$12-1))/'3. The decision'!$B$27</f>
        <v>5.04258077402722</v>
      </c>
      <c r="E170" s="15" t="n">
        <f aca="false">(1-'3. The decision'!$B$14)*(1-'3. The decision'!$B$27)^('3. The decision'!$B$11-1)</f>
        <v>0.690273454655712</v>
      </c>
      <c r="F170" s="15" t="n">
        <f aca="false">1+(1-'3. The decision'!$B$14)*(1-(1-'3. The decision'!$B$27)^('3. The decision'!$B$11-1))/'3. The decision'!$B$27</f>
        <v>4.28912098262087</v>
      </c>
      <c r="G170" s="15" t="n">
        <f aca="false">(1-(1-'3. The decision'!$B$9*MIN(1,('3. The decision'!$B$10/(52/12)))))+(1-(1-'3. The decision'!$B$9*MAX(0,MIN(1,('3. The decision'!$B$10/(52/12))-1))))*(1-'3. The decision'!$B$14)+(1-(1-'3. The decision'!$B$9*MAX(0,MIN(1,('3. The decision'!$B$10/(52/12))-2))))*(1-'3. The decision'!$B$14)*(1-'3. The decision'!$B$27)</f>
        <v>0.884576923076923</v>
      </c>
      <c r="H170" s="15" t="n">
        <f aca="false">IF(A170&lt;=0,0,MAX(0,ROUNDUP(LN('3. The decision'!$B$13)/LN(1+A170)-0.000000000001,0)-1))</f>
        <v>10</v>
      </c>
      <c r="I170" s="15" t="n">
        <f aca="false">IF(A170&lt;=0,1/(1-C170),(1+A170)*(1-(C170*(1+A170))^H170)/(1-C170*(1+A170))+'3. The decision'!$B$13*C170^H170/(1-C170))</f>
        <v>3.32393335977172</v>
      </c>
      <c r="J170" s="17" t="n">
        <f aca="false">F170+E170*D170/(1-C170)</f>
        <v>14.3666486364251</v>
      </c>
      <c r="K170" s="15" t="n">
        <f aca="false">F170-G170+E170*D170*I170</f>
        <v>14.9743571817418</v>
      </c>
      <c r="L170" s="17" t="n">
        <f aca="false">'3. The decision'!$B$8*'3. The decision'!$B$5/J170</f>
        <v>32.6896001903518</v>
      </c>
      <c r="M170" s="31" t="n">
        <f aca="false">L170*'3. The decision'!$B$6*'3. The decision'!$B$7*K170</f>
        <v>938883.64269894</v>
      </c>
      <c r="N170" s="31" t="n">
        <f aca="false">M170*(1+'3. The decision'!$B$19+'3. The decision'!$B$20+'3. The decision'!$B$22)</f>
        <v>1038405.30882503</v>
      </c>
      <c r="O170" s="31" t="n">
        <f aca="false">'3. The decision'!$B$17+'3. The decision'!$B$18*L170*12+M170*('3. The decision'!$B$20*(1-'3. The decision'!$B$21)+'3. The decision'!$B$23)+N170*('3. The decision'!$B$24+'3. The decision'!$B$25)</f>
        <v>578468.496012759</v>
      </c>
      <c r="P170" s="31" t="n">
        <f aca="false">N170-O170</f>
        <v>459936.812812269</v>
      </c>
    </row>
    <row r="171" customFormat="false" ht="15" hidden="false" customHeight="false" outlineLevel="0" collapsed="false">
      <c r="A171" s="27" t="n">
        <f aca="false">20*0.0025</f>
        <v>0.05</v>
      </c>
      <c r="B171" s="27" t="n">
        <f aca="false">IF(A171&gt;0,MIN('3. The decision'!$B$15,'3. The decision'!$B$29*(A171/'3. The decision'!$B$28)^$B$148),0)</f>
        <v>0.0111540749553837</v>
      </c>
      <c r="C171" s="15" t="n">
        <f aca="false">(1-'3. The decision'!$B$27-B171)*(1-'3. The decision'!$B$27)^('3. The decision'!$B$12-1)</f>
        <v>0.6538309050403</v>
      </c>
      <c r="D171" s="15" t="n">
        <f aca="false">1+(1-'3. The decision'!$B$27-B171)*(1-(1-'3. The decision'!$B$27)^('3. The decision'!$B$12-1))/'3. The decision'!$B$27</f>
        <v>5.03781984968897</v>
      </c>
      <c r="E171" s="15" t="n">
        <f aca="false">(1-'3. The decision'!$B$14)*(1-'3. The decision'!$B$27)^('3. The decision'!$B$11-1)</f>
        <v>0.690273454655712</v>
      </c>
      <c r="F171" s="15" t="n">
        <f aca="false">1+(1-'3. The decision'!$B$14)*(1-(1-'3. The decision'!$B$27)^('3. The decision'!$B$11-1))/'3. The decision'!$B$27</f>
        <v>4.28912098262087</v>
      </c>
      <c r="G171" s="15" t="n">
        <f aca="false">(1-(1-'3. The decision'!$B$9*MIN(1,('3. The decision'!$B$10/(52/12)))))+(1-(1-'3. The decision'!$B$9*MAX(0,MIN(1,('3. The decision'!$B$10/(52/12))-1))))*(1-'3. The decision'!$B$14)+(1-(1-'3. The decision'!$B$9*MAX(0,MIN(1,('3. The decision'!$B$10/(52/12))-2))))*(1-'3. The decision'!$B$14)*(1-'3. The decision'!$B$27)</f>
        <v>0.884576923076923</v>
      </c>
      <c r="H171" s="15" t="n">
        <f aca="false">IF(A171&lt;=0,0,MAX(0,ROUNDUP(LN('3. The decision'!$B$13)/LN(1+A171)-0.000000000001,0)-1))</f>
        <v>9</v>
      </c>
      <c r="I171" s="15" t="n">
        <f aca="false">IF(A171&lt;=0,1/(1-C171),(1+A171)*(1-(C171*(1+A171))^H171)/(1-C171*(1+A171))+'3. The decision'!$B$13*C171^H171/(1-C171))</f>
        <v>3.33824532386116</v>
      </c>
      <c r="J171" s="17" t="n">
        <f aca="false">F171+E171*D171/(1-C171)</f>
        <v>14.3347124643872</v>
      </c>
      <c r="K171" s="15" t="n">
        <f aca="false">F171-G171+E171*D171*I171</f>
        <v>15.013203080771</v>
      </c>
      <c r="L171" s="17" t="n">
        <f aca="false">'3. The decision'!$B$8*'3. The decision'!$B$5/J171</f>
        <v>32.7624290453514</v>
      </c>
      <c r="M171" s="31" t="n">
        <f aca="false">L171*'3. The decision'!$B$6*'3. The decision'!$B$7*K171</f>
        <v>943416.4147667</v>
      </c>
      <c r="N171" s="31" t="n">
        <f aca="false">M171*(1+'3. The decision'!$B$19+'3. The decision'!$B$20+'3. The decision'!$B$22)</f>
        <v>1043418.55473197</v>
      </c>
      <c r="O171" s="31" t="n">
        <f aca="false">'3. The decision'!$B$17+'3. The decision'!$B$18*L171*12+M171*('3. The decision'!$B$20*(1-'3. The decision'!$B$21)+'3. The decision'!$B$23)+N171*('3. The decision'!$B$24+'3. The decision'!$B$25)</f>
        <v>579066.668182838</v>
      </c>
      <c r="P171" s="31" t="n">
        <f aca="false">N171-O171</f>
        <v>464351.886549132</v>
      </c>
    </row>
    <row r="172" customFormat="false" ht="15" hidden="false" customHeight="false" outlineLevel="0" collapsed="false">
      <c r="A172" s="27" t="n">
        <f aca="false">21*0.0025</f>
        <v>0.0525</v>
      </c>
      <c r="B172" s="27" t="n">
        <f aca="false">IF(A172&gt;0,MIN('3. The decision'!$B$15,'3. The decision'!$B$29*(A172/'3. The decision'!$B$28)^$B$148),0)</f>
        <v>0.0122973676383105</v>
      </c>
      <c r="C172" s="15" t="n">
        <f aca="false">(1-'3. The decision'!$B$27-B172)*(1-'3. The decision'!$B$27)^('3. The decision'!$B$12-1)</f>
        <v>0.65302044979861</v>
      </c>
      <c r="D172" s="15" t="n">
        <f aca="false">1+(1-'3. The decision'!$B$27-B172)*(1-(1-'3. The decision'!$B$27)^('3. The decision'!$B$12-1))/'3. The decision'!$B$27</f>
        <v>5.03281477538466</v>
      </c>
      <c r="E172" s="15" t="n">
        <f aca="false">(1-'3. The decision'!$B$14)*(1-'3. The decision'!$B$27)^('3. The decision'!$B$11-1)</f>
        <v>0.690273454655712</v>
      </c>
      <c r="F172" s="15" t="n">
        <f aca="false">1+(1-'3. The decision'!$B$14)*(1-(1-'3. The decision'!$B$27)^('3. The decision'!$B$11-1))/'3. The decision'!$B$27</f>
        <v>4.28912098262087</v>
      </c>
      <c r="G172" s="15" t="n">
        <f aca="false">(1-(1-'3. The decision'!$B$9*MIN(1,('3. The decision'!$B$10/(52/12)))))+(1-(1-'3. The decision'!$B$9*MAX(0,MIN(1,('3. The decision'!$B$10/(52/12))-1))))*(1-'3. The decision'!$B$14)+(1-(1-'3. The decision'!$B$9*MAX(0,MIN(1,('3. The decision'!$B$10/(52/12))-2))))*(1-'3. The decision'!$B$14)*(1-'3. The decision'!$B$27)</f>
        <v>0.884576923076923</v>
      </c>
      <c r="H172" s="15" t="n">
        <f aca="false">IF(A172&lt;=0,0,MAX(0,ROUNDUP(LN('3. The decision'!$B$13)/LN(1+A172)-0.000000000001,0)-1))</f>
        <v>9</v>
      </c>
      <c r="I172" s="15" t="n">
        <f aca="false">IF(A172&lt;=0,1/(1-C172),(1+A172)*(1-(C172*(1+A172))^H172)/(1-C172*(1+A172))+'3. The decision'!$B$13*C172^H172/(1-C172))</f>
        <v>3.35151380456822</v>
      </c>
      <c r="J172" s="17" t="n">
        <f aca="false">F172+E172*D172/(1-C172)</f>
        <v>14.3012915547215</v>
      </c>
      <c r="K172" s="15" t="n">
        <f aca="false">F172-G172+E172*D172*I172</f>
        <v>15.0477648240487</v>
      </c>
      <c r="L172" s="17" t="n">
        <f aca="false">'3. The decision'!$B$8*'3. The decision'!$B$5/J172</f>
        <v>32.8389920730586</v>
      </c>
      <c r="M172" s="31" t="n">
        <f aca="false">L172*'3. The decision'!$B$6*'3. The decision'!$B$7*K172</f>
        <v>947798.003981493</v>
      </c>
      <c r="N172" s="31" t="n">
        <f aca="false">M172*(1+'3. The decision'!$B$19+'3. The decision'!$B$20+'3. The decision'!$B$22)</f>
        <v>1048264.59240353</v>
      </c>
      <c r="O172" s="31" t="n">
        <f aca="false">'3. The decision'!$B$17+'3. The decision'!$B$18*L172*12+M172*('3. The decision'!$B$20*(1-'3. The decision'!$B$21)+'3. The decision'!$B$23)+N172*('3. The decision'!$B$24+'3. The decision'!$B$25)</f>
        <v>579654.225641884</v>
      </c>
      <c r="P172" s="31" t="n">
        <f aca="false">N172-O172</f>
        <v>468610.366761647</v>
      </c>
    </row>
    <row r="173" customFormat="false" ht="15" hidden="false" customHeight="false" outlineLevel="0" collapsed="false">
      <c r="A173" s="27" t="n">
        <f aca="false">22*0.0025</f>
        <v>0.055</v>
      </c>
      <c r="B173" s="27" t="n">
        <f aca="false">IF(A173&gt;0,MIN('3. The decision'!$B$15,'3. The decision'!$B$29*(A173/'3. The decision'!$B$28)^$B$148),0)</f>
        <v>0.0134964306960143</v>
      </c>
      <c r="C173" s="15" t="n">
        <f aca="false">(1-'3. The decision'!$B$27-B173)*(1-'3. The decision'!$B$27)^('3. The decision'!$B$12-1)</f>
        <v>0.652170460154886</v>
      </c>
      <c r="D173" s="15" t="n">
        <f aca="false">1+(1-'3. The decision'!$B$27-B173)*(1-(1-'3. The decision'!$B$27)^('3. The decision'!$B$12-1))/'3. The decision'!$B$27</f>
        <v>5.02756555111429</v>
      </c>
      <c r="E173" s="15" t="n">
        <f aca="false">(1-'3. The decision'!$B$14)*(1-'3. The decision'!$B$27)^('3. The decision'!$B$11-1)</f>
        <v>0.690273454655712</v>
      </c>
      <c r="F173" s="15" t="n">
        <f aca="false">1+(1-'3. The decision'!$B$14)*(1-(1-'3. The decision'!$B$27)^('3. The decision'!$B$11-1))/'3. The decision'!$B$27</f>
        <v>4.28912098262087</v>
      </c>
      <c r="G173" s="15" t="n">
        <f aca="false">(1-(1-'3. The decision'!$B$9*MIN(1,('3. The decision'!$B$10/(52/12)))))+(1-(1-'3. The decision'!$B$9*MAX(0,MIN(1,('3. The decision'!$B$10/(52/12))-1))))*(1-'3. The decision'!$B$14)+(1-(1-'3. The decision'!$B$9*MAX(0,MIN(1,('3. The decision'!$B$10/(52/12))-2))))*(1-'3. The decision'!$B$14)*(1-'3. The decision'!$B$27)</f>
        <v>0.884576923076923</v>
      </c>
      <c r="H173" s="15" t="n">
        <f aca="false">IF(A173&lt;=0,0,MAX(0,ROUNDUP(LN('3. The decision'!$B$13)/LN(1+A173)-0.000000000001,0)-1))</f>
        <v>9</v>
      </c>
      <c r="I173" s="15" t="n">
        <f aca="false">IF(A173&lt;=0,1/(1-C173),(1+A173)*(1-(C173*(1+A173))^H173)/(1-C173*(1+A173))+'3. The decision'!$B$13*C173^H173/(1-C173))</f>
        <v>3.36438224679447</v>
      </c>
      <c r="J173" s="17" t="n">
        <f aca="false">F173+E173*D173/(1-C173)</f>
        <v>14.2664076817927</v>
      </c>
      <c r="K173" s="15" t="n">
        <f aca="false">F173-G173+E173*D173*I173</f>
        <v>15.0802795264484</v>
      </c>
      <c r="L173" s="17" t="n">
        <f aca="false">'3. The decision'!$B$8*'3. The decision'!$B$5/J173</f>
        <v>32.9192891774271</v>
      </c>
      <c r="M173" s="31" t="n">
        <f aca="false">L173*'3. The decision'!$B$6*'3. The decision'!$B$7*K173</f>
        <v>952168.514185685</v>
      </c>
      <c r="N173" s="31" t="n">
        <f aca="false">M173*(1+'3. The decision'!$B$19+'3. The decision'!$B$20+'3. The decision'!$B$22)</f>
        <v>1053098.37668937</v>
      </c>
      <c r="O173" s="31" t="n">
        <f aca="false">'3. The decision'!$B$17+'3. The decision'!$B$18*L173*12+M173*('3. The decision'!$B$20*(1-'3. The decision'!$B$21)+'3. The decision'!$B$23)+N173*('3. The decision'!$B$24+'3. The decision'!$B$25)</f>
        <v>580246.247200646</v>
      </c>
      <c r="P173" s="31" t="n">
        <f aca="false">N173-O173</f>
        <v>472852.129488722</v>
      </c>
    </row>
    <row r="174" customFormat="false" ht="15" hidden="false" customHeight="false" outlineLevel="0" collapsed="false">
      <c r="A174" s="27" t="n">
        <f aca="false">23*0.0025</f>
        <v>0.0575</v>
      </c>
      <c r="B174" s="27" t="n">
        <f aca="false">IF(A174&gt;0,MIN('3. The decision'!$B$15,'3. The decision'!$B$29*(A174/'3. The decision'!$B$28)^$B$148),0)</f>
        <v>0.0147512641284949</v>
      </c>
      <c r="C174" s="15" t="n">
        <f aca="false">(1-'3. The decision'!$B$27-B174)*(1-'3. The decision'!$B$27)^('3. The decision'!$B$12-1)</f>
        <v>0.651280936109128</v>
      </c>
      <c r="D174" s="15" t="n">
        <f aca="false">1+(1-'3. The decision'!$B$27-B174)*(1-(1-'3. The decision'!$B$27)^('3. The decision'!$B$12-1))/'3. The decision'!$B$27</f>
        <v>5.02207217687785</v>
      </c>
      <c r="E174" s="15" t="n">
        <f aca="false">(1-'3. The decision'!$B$14)*(1-'3. The decision'!$B$27)^('3. The decision'!$B$11-1)</f>
        <v>0.690273454655712</v>
      </c>
      <c r="F174" s="15" t="n">
        <f aca="false">1+(1-'3. The decision'!$B$14)*(1-(1-'3. The decision'!$B$27)^('3. The decision'!$B$11-1))/'3. The decision'!$B$27</f>
        <v>4.28912098262087</v>
      </c>
      <c r="G174" s="15" t="n">
        <f aca="false">(1-(1-'3. The decision'!$B$9*MIN(1,('3. The decision'!$B$10/(52/12)))))+(1-(1-'3. The decision'!$B$9*MAX(0,MIN(1,('3. The decision'!$B$10/(52/12))-1))))*(1-'3. The decision'!$B$14)+(1-(1-'3. The decision'!$B$9*MAX(0,MIN(1,('3. The decision'!$B$10/(52/12))-2))))*(1-'3. The decision'!$B$14)*(1-'3. The decision'!$B$27)</f>
        <v>0.884576923076923</v>
      </c>
      <c r="H174" s="15" t="n">
        <f aca="false">IF(A174&lt;=0,0,MAX(0,ROUNDUP(LN('3. The decision'!$B$13)/LN(1+A174)-0.000000000001,0)-1))</f>
        <v>8</v>
      </c>
      <c r="I174" s="15" t="n">
        <f aca="false">IF(A174&lt;=0,1/(1-C174),(1+A174)*(1-(C174*(1+A174))^H174)/(1-C174*(1+A174))+'3. The decision'!$B$13*C174^H174/(1-C174))</f>
        <v>3.37574466007543</v>
      </c>
      <c r="J174" s="17" t="n">
        <f aca="false">F174+E174*D174/(1-C174)</f>
        <v>14.2300834077455</v>
      </c>
      <c r="K174" s="15" t="n">
        <f aca="false">F174-G174+E174*D174*I174</f>
        <v>15.1069110003185</v>
      </c>
      <c r="L174" s="17" t="n">
        <f aca="false">'3. The decision'!$B$8*'3. The decision'!$B$5/J174</f>
        <v>33.0033202577275</v>
      </c>
      <c r="M174" s="31" t="n">
        <f aca="false">L174*'3. The decision'!$B$6*'3. The decision'!$B$7*K174</f>
        <v>956284.860175088</v>
      </c>
      <c r="N174" s="31" t="n">
        <f aca="false">M174*(1+'3. The decision'!$B$19+'3. The decision'!$B$20+'3. The decision'!$B$22)</f>
        <v>1057651.05535365</v>
      </c>
      <c r="O174" s="31" t="n">
        <f aca="false">'3. The decision'!$B$17+'3. The decision'!$B$18*L174*12+M174*('3. The decision'!$B$20*(1-'3. The decision'!$B$21)+'3. The decision'!$B$23)+N174*('3. The decision'!$B$24+'3. The decision'!$B$25)</f>
        <v>580816.570175263</v>
      </c>
      <c r="P174" s="31" t="n">
        <f aca="false">N174-O174</f>
        <v>476834.485178384</v>
      </c>
    </row>
    <row r="175" customFormat="false" ht="15" hidden="false" customHeight="false" outlineLevel="0" collapsed="false">
      <c r="A175" s="27" t="n">
        <f aca="false">24*0.0025</f>
        <v>0.06</v>
      </c>
      <c r="B175" s="27" t="n">
        <f aca="false">IF(A175&gt;0,MIN('3. The decision'!$B$15,'3. The decision'!$B$29*(A175/'3. The decision'!$B$28)^$B$148),0)</f>
        <v>0.0160618679357525</v>
      </c>
      <c r="C175" s="15" t="n">
        <f aca="false">(1-'3. The decision'!$B$27-B175)*(1-'3. The decision'!$B$27)^('3. The decision'!$B$12-1)</f>
        <v>0.650351877661337</v>
      </c>
      <c r="D175" s="15" t="n">
        <f aca="false">1+(1-'3. The decision'!$B$27-B175)*(1-(1-'3. The decision'!$B$27)^('3. The decision'!$B$12-1))/'3. The decision'!$B$27</f>
        <v>5.01633465267535</v>
      </c>
      <c r="E175" s="15" t="n">
        <f aca="false">(1-'3. The decision'!$B$14)*(1-'3. The decision'!$B$27)^('3. The decision'!$B$11-1)</f>
        <v>0.690273454655712</v>
      </c>
      <c r="F175" s="15" t="n">
        <f aca="false">1+(1-'3. The decision'!$B$14)*(1-(1-'3. The decision'!$B$27)^('3. The decision'!$B$11-1))/'3. The decision'!$B$27</f>
        <v>4.28912098262087</v>
      </c>
      <c r="G175" s="15" t="n">
        <f aca="false">(1-(1-'3. The decision'!$B$9*MIN(1,('3. The decision'!$B$10/(52/12)))))+(1-(1-'3. The decision'!$B$9*MAX(0,MIN(1,('3. The decision'!$B$10/(52/12))-1))))*(1-'3. The decision'!$B$14)+(1-(1-'3. The decision'!$B$9*MAX(0,MIN(1,('3. The decision'!$B$10/(52/12))-2))))*(1-'3. The decision'!$B$14)*(1-'3. The decision'!$B$27)</f>
        <v>0.884576923076923</v>
      </c>
      <c r="H175" s="15" t="n">
        <f aca="false">IF(A175&lt;=0,0,MAX(0,ROUNDUP(LN('3. The decision'!$B$13)/LN(1+A175)-0.000000000001,0)-1))</f>
        <v>8</v>
      </c>
      <c r="I175" s="15" t="n">
        <f aca="false">IF(A175&lt;=0,1/(1-C175),(1+A175)*(1-(C175*(1+A175))^H175)/(1-C175*(1+A175))+'3. The decision'!$B$13*C175^H175/(1-C175))</f>
        <v>3.38666810569316</v>
      </c>
      <c r="J175" s="17" t="n">
        <f aca="false">F175+E175*D175/(1-C175)</f>
        <v>14.192342047419</v>
      </c>
      <c r="K175" s="15" t="n">
        <f aca="false">F175-G175+E175*D175*I175</f>
        <v>15.131365485105</v>
      </c>
      <c r="L175" s="17" t="n">
        <f aca="false">'3. The decision'!$B$8*'3. The decision'!$B$5/J175</f>
        <v>33.0910852085479</v>
      </c>
      <c r="M175" s="31" t="n">
        <f aca="false">L175*'3. The decision'!$B$6*'3. The decision'!$B$7*K175</f>
        <v>960379.999534907</v>
      </c>
      <c r="N175" s="31" t="n">
        <f aca="false">M175*(1+'3. The decision'!$B$19+'3. The decision'!$B$20+'3. The decision'!$B$22)</f>
        <v>1062180.27948561</v>
      </c>
      <c r="O175" s="31" t="n">
        <f aca="false">'3. The decision'!$B$17+'3. The decision'!$B$18*L175*12+M175*('3. The decision'!$B$20*(1-'3. The decision'!$B$21)+'3. The decision'!$B$23)+N175*('3. The decision'!$B$24+'3. The decision'!$B$25)</f>
        <v>581390.266932078</v>
      </c>
      <c r="P175" s="31" t="n">
        <f aca="false">N175-O175</f>
        <v>480790.012553529</v>
      </c>
    </row>
    <row r="176" customFormat="false" ht="15" hidden="false" customHeight="false" outlineLevel="0" collapsed="false">
      <c r="A176" s="27" t="n">
        <f aca="false">25*0.0025</f>
        <v>0.0625</v>
      </c>
      <c r="B176" s="27" t="n">
        <f aca="false">IF(A176&gt;0,MIN('3. The decision'!$B$15,'3. The decision'!$B$29*(A176/'3. The decision'!$B$28)^$B$148),0)</f>
        <v>0.017428242117787</v>
      </c>
      <c r="C176" s="15" t="n">
        <f aca="false">(1-'3. The decision'!$B$27-B176)*(1-'3. The decision'!$B$27)^('3. The decision'!$B$12-1)</f>
        <v>0.649383284811512</v>
      </c>
      <c r="D176" s="15" t="n">
        <f aca="false">1+(1-'3. The decision'!$B$27-B176)*(1-(1-'3. The decision'!$B$27)^('3. The decision'!$B$12-1))/'3. The decision'!$B$27</f>
        <v>5.01035297850678</v>
      </c>
      <c r="E176" s="15" t="n">
        <f aca="false">(1-'3. The decision'!$B$14)*(1-'3. The decision'!$B$27)^('3. The decision'!$B$11-1)</f>
        <v>0.690273454655712</v>
      </c>
      <c r="F176" s="15" t="n">
        <f aca="false">1+(1-'3. The decision'!$B$14)*(1-(1-'3. The decision'!$B$27)^('3. The decision'!$B$11-1))/'3. The decision'!$B$27</f>
        <v>4.28912098262087</v>
      </c>
      <c r="G176" s="15" t="n">
        <f aca="false">(1-(1-'3. The decision'!$B$9*MIN(1,('3. The decision'!$B$10/(52/12)))))+(1-(1-'3. The decision'!$B$9*MAX(0,MIN(1,('3. The decision'!$B$10/(52/12))-1))))*(1-'3. The decision'!$B$14)+(1-(1-'3. The decision'!$B$9*MAX(0,MIN(1,('3. The decision'!$B$10/(52/12))-2))))*(1-'3. The decision'!$B$14)*(1-'3. The decision'!$B$27)</f>
        <v>0.884576923076923</v>
      </c>
      <c r="H176" s="15" t="n">
        <f aca="false">IF(A176&lt;=0,0,MAX(0,ROUNDUP(LN('3. The decision'!$B$13)/LN(1+A176)-0.000000000001,0)-1))</f>
        <v>7</v>
      </c>
      <c r="I176" s="15" t="n">
        <f aca="false">IF(A176&lt;=0,1/(1-C176),(1+A176)*(1-(C176*(1+A176))^H176)/(1-C176*(1+A176))+'3. The decision'!$B$13*C176^H176/(1-C176))</f>
        <v>3.39697426316896</v>
      </c>
      <c r="J176" s="17" t="n">
        <f aca="false">F176+E176*D176/(1-C176)</f>
        <v>14.1532076325091</v>
      </c>
      <c r="K176" s="15" t="n">
        <f aca="false">F176-G176+E176*D176*I176</f>
        <v>15.1530259497463</v>
      </c>
      <c r="L176" s="17" t="n">
        <f aca="false">'3. The decision'!$B$8*'3. The decision'!$B$5/J176</f>
        <v>33.182583919794</v>
      </c>
      <c r="M176" s="31" t="n">
        <f aca="false">L176*'3. The decision'!$B$6*'3. The decision'!$B$7*K176</f>
        <v>964414.084145102</v>
      </c>
      <c r="N176" s="31" t="n">
        <f aca="false">M176*(1+'3. The decision'!$B$19+'3. The decision'!$B$20+'3. The decision'!$B$22)</f>
        <v>1066641.97706448</v>
      </c>
      <c r="O176" s="31" t="n">
        <f aca="false">'3. The decision'!$B$17+'3. The decision'!$B$18*L176*12+M176*('3. The decision'!$B$20*(1-'3. The decision'!$B$21)+'3. The decision'!$B$23)+N176*('3. The decision'!$B$24+'3. The decision'!$B$25)</f>
        <v>581963.048570701</v>
      </c>
      <c r="P176" s="31" t="n">
        <f aca="false">N176-O176</f>
        <v>484678.928493782</v>
      </c>
    </row>
    <row r="177" customFormat="false" ht="15" hidden="false" customHeight="false" outlineLevel="0" collapsed="false">
      <c r="A177" s="27" t="n">
        <f aca="false">26*0.0025</f>
        <v>0.065</v>
      </c>
      <c r="B177" s="27" t="n">
        <f aca="false">IF(A177&gt;0,MIN('3. The decision'!$B$15,'3. The decision'!$B$29*(A177/'3. The decision'!$B$28)^$B$148),0)</f>
        <v>0.0188503866745985</v>
      </c>
      <c r="C177" s="15" t="n">
        <f aca="false">(1-'3. The decision'!$B$27-B177)*(1-'3. The decision'!$B$27)^('3. The decision'!$B$12-1)</f>
        <v>0.648375157559654</v>
      </c>
      <c r="D177" s="15" t="n">
        <f aca="false">1+(1-'3. The decision'!$B$27-B177)*(1-(1-'3. The decision'!$B$27)^('3. The decision'!$B$12-1))/'3. The decision'!$B$27</f>
        <v>5.00412715437215</v>
      </c>
      <c r="E177" s="15" t="n">
        <f aca="false">(1-'3. The decision'!$B$14)*(1-'3. The decision'!$B$27)^('3. The decision'!$B$11-1)</f>
        <v>0.690273454655712</v>
      </c>
      <c r="F177" s="15" t="n">
        <f aca="false">1+(1-'3. The decision'!$B$14)*(1-(1-'3. The decision'!$B$27)^('3. The decision'!$B$11-1))/'3. The decision'!$B$27</f>
        <v>4.28912098262087</v>
      </c>
      <c r="G177" s="15" t="n">
        <f aca="false">(1-(1-'3. The decision'!$B$9*MIN(1,('3. The decision'!$B$10/(52/12)))))+(1-(1-'3. The decision'!$B$9*MAX(0,MIN(1,('3. The decision'!$B$10/(52/12))-1))))*(1-'3. The decision'!$B$14)+(1-(1-'3. The decision'!$B$9*MAX(0,MIN(1,('3. The decision'!$B$10/(52/12))-2))))*(1-'3. The decision'!$B$14)*(1-'3. The decision'!$B$27)</f>
        <v>0.884576923076923</v>
      </c>
      <c r="H177" s="15" t="n">
        <f aca="false">IF(A177&lt;=0,0,MAX(0,ROUNDUP(LN('3. The decision'!$B$13)/LN(1+A177)-0.000000000001,0)-1))</f>
        <v>7</v>
      </c>
      <c r="I177" s="15" t="n">
        <f aca="false">IF(A177&lt;=0,1/(1-C177),(1+A177)*(1-(C177*(1+A177))^H177)/(1-C177*(1+A177))+'3. The decision'!$B$13*C177^H177/(1-C177))</f>
        <v>3.40558188194977</v>
      </c>
      <c r="J177" s="17" t="n">
        <f aca="false">F177+E177*D177/(1-C177)</f>
        <v>14.1127048750785</v>
      </c>
      <c r="K177" s="15" t="n">
        <f aca="false">F177-G177+E177*D177*I177</f>
        <v>15.1681599567661</v>
      </c>
      <c r="L177" s="17" t="n">
        <f aca="false">'3. The decision'!$B$8*'3. The decision'!$B$5/J177</f>
        <v>33.2778162766894</v>
      </c>
      <c r="M177" s="31" t="n">
        <f aca="false">L177*'3. The decision'!$B$6*'3. The decision'!$B$7*K177</f>
        <v>968147.872321893</v>
      </c>
      <c r="N177" s="31" t="n">
        <f aca="false">M177*(1+'3. The decision'!$B$19+'3. The decision'!$B$20+'3. The decision'!$B$22)</f>
        <v>1070771.54678801</v>
      </c>
      <c r="O177" s="31" t="n">
        <f aca="false">'3. The decision'!$B$17+'3. The decision'!$B$18*L177*12+M177*('3. The decision'!$B$20*(1-'3. The decision'!$B$21)+'3. The decision'!$B$23)+N177*('3. The decision'!$B$24+'3. The decision'!$B$25)</f>
        <v>582509.166052564</v>
      </c>
      <c r="P177" s="31" t="n">
        <f aca="false">N177-O177</f>
        <v>488262.380735449</v>
      </c>
    </row>
    <row r="178" customFormat="false" ht="15" hidden="false" customHeight="false" outlineLevel="0" collapsed="false">
      <c r="A178" s="27" t="n">
        <f aca="false">27*0.0025</f>
        <v>0.0675</v>
      </c>
      <c r="B178" s="27" t="n">
        <f aca="false">IF(A178&gt;0,MIN('3. The decision'!$B$15,'3. The decision'!$B$29*(A178/'3. The decision'!$B$28)^$B$148),0)</f>
        <v>0.0203283016061868</v>
      </c>
      <c r="C178" s="15" t="n">
        <f aca="false">(1-'3. The decision'!$B$27-B178)*(1-'3. The decision'!$B$27)^('3. The decision'!$B$12-1)</f>
        <v>0.647327495905761</v>
      </c>
      <c r="D178" s="15" t="n">
        <f aca="false">1+(1-'3. The decision'!$B$27-B178)*(1-(1-'3. The decision'!$B$27)^('3. The decision'!$B$12-1))/'3. The decision'!$B$27</f>
        <v>4.99765718027146</v>
      </c>
      <c r="E178" s="15" t="n">
        <f aca="false">(1-'3. The decision'!$B$14)*(1-'3. The decision'!$B$27)^('3. The decision'!$B$11-1)</f>
        <v>0.690273454655712</v>
      </c>
      <c r="F178" s="15" t="n">
        <f aca="false">1+(1-'3. The decision'!$B$14)*(1-(1-'3. The decision'!$B$27)^('3. The decision'!$B$11-1))/'3. The decision'!$B$27</f>
        <v>4.28912098262087</v>
      </c>
      <c r="G178" s="15" t="n">
        <f aca="false">(1-(1-'3. The decision'!$B$9*MIN(1,('3. The decision'!$B$10/(52/12)))))+(1-(1-'3. The decision'!$B$9*MAX(0,MIN(1,('3. The decision'!$B$10/(52/12))-1))))*(1-'3. The decision'!$B$14)+(1-(1-'3. The decision'!$B$9*MAX(0,MIN(1,('3. The decision'!$B$10/(52/12))-2))))*(1-'3. The decision'!$B$14)*(1-'3. The decision'!$B$27)</f>
        <v>0.884576923076923</v>
      </c>
      <c r="H178" s="15" t="n">
        <f aca="false">IF(A178&lt;=0,0,MAX(0,ROUNDUP(LN('3. The decision'!$B$13)/LN(1+A178)-0.000000000001,0)-1))</f>
        <v>7</v>
      </c>
      <c r="I178" s="15" t="n">
        <f aca="false">IF(A178&lt;=0,1/(1-C178),(1+A178)*(1-(C178*(1+A178))^H178)/(1-C178*(1+A178))+'3. The decision'!$B$13*C178^H178/(1-C178))</f>
        <v>3.41377524523285</v>
      </c>
      <c r="J178" s="17" t="n">
        <f aca="false">F178+E178*D178/(1-C178)</f>
        <v>14.070859130512</v>
      </c>
      <c r="K178" s="15" t="n">
        <f aca="false">F178-G178+E178*D178*I178</f>
        <v>15.1812155088216</v>
      </c>
      <c r="L178" s="17" t="n">
        <f aca="false">'3. The decision'!$B$8*'3. The decision'!$B$5/J178</f>
        <v>33.3767821597764</v>
      </c>
      <c r="M178" s="31" t="n">
        <f aca="false">L178*'3. The decision'!$B$6*'3. The decision'!$B$7*K178</f>
        <v>971862.859227266</v>
      </c>
      <c r="N178" s="31" t="n">
        <f aca="false">M178*(1+'3. The decision'!$B$19+'3. The decision'!$B$20+'3. The decision'!$B$22)</f>
        <v>1074880.32230536</v>
      </c>
      <c r="O178" s="31" t="n">
        <f aca="false">'3. The decision'!$B$17+'3. The decision'!$B$18*L178*12+M178*('3. The decision'!$B$20*(1-'3. The decision'!$B$21)+'3. The decision'!$B$23)+N178*('3. The decision'!$B$24+'3. The decision'!$B$25)</f>
        <v>583058.915676508</v>
      </c>
      <c r="P178" s="31" t="n">
        <f aca="false">N178-O178</f>
        <v>491821.406628847</v>
      </c>
    </row>
    <row r="179" customFormat="false" ht="15" hidden="false" customHeight="false" outlineLevel="0" collapsed="false">
      <c r="A179" s="27" t="n">
        <f aca="false">28*0.0025</f>
        <v>0.07</v>
      </c>
      <c r="B179" s="27" t="n">
        <f aca="false">IF(A179&gt;0,MIN('3. The decision'!$B$15,'3. The decision'!$B$29*(A179/'3. The decision'!$B$28)^$B$148),0)</f>
        <v>0.0218619869125521</v>
      </c>
      <c r="C179" s="15" t="n">
        <f aca="false">(1-'3. The decision'!$B$27-B179)*(1-'3. The decision'!$B$27)^('3. The decision'!$B$12-1)</f>
        <v>0.646240299849836</v>
      </c>
      <c r="D179" s="15" t="n">
        <f aca="false">1+(1-'3. The decision'!$B$27-B179)*(1-(1-'3. The decision'!$B$27)^('3. The decision'!$B$12-1))/'3. The decision'!$B$27</f>
        <v>4.9909430562047</v>
      </c>
      <c r="E179" s="15" t="n">
        <f aca="false">(1-'3. The decision'!$B$14)*(1-'3. The decision'!$B$27)^('3. The decision'!$B$11-1)</f>
        <v>0.690273454655712</v>
      </c>
      <c r="F179" s="15" t="n">
        <f aca="false">1+(1-'3. The decision'!$B$14)*(1-(1-'3. The decision'!$B$27)^('3. The decision'!$B$11-1))/'3. The decision'!$B$27</f>
        <v>4.28912098262087</v>
      </c>
      <c r="G179" s="15" t="n">
        <f aca="false">(1-(1-'3. The decision'!$B$9*MIN(1,('3. The decision'!$B$10/(52/12)))))+(1-(1-'3. The decision'!$B$9*MAX(0,MIN(1,('3. The decision'!$B$10/(52/12))-1))))*(1-'3. The decision'!$B$14)+(1-(1-'3. The decision'!$B$9*MAX(0,MIN(1,('3. The decision'!$B$10/(52/12))-2))))*(1-'3. The decision'!$B$14)*(1-'3. The decision'!$B$27)</f>
        <v>0.884576923076923</v>
      </c>
      <c r="H179" s="15" t="n">
        <f aca="false">IF(A179&lt;=0,0,MAX(0,ROUNDUP(LN('3. The decision'!$B$13)/LN(1+A179)-0.000000000001,0)-1))</f>
        <v>7</v>
      </c>
      <c r="I179" s="15" t="n">
        <f aca="false">IF(A179&lt;=0,1/(1-C179),(1+A179)*(1-(C179*(1+A179))^H179)/(1-C179*(1+A179))+'3. The decision'!$B$13*C179^H179/(1-C179))</f>
        <v>3.42155192415031</v>
      </c>
      <c r="J179" s="17" t="n">
        <f aca="false">F179+E179*D179/(1-C179)</f>
        <v>14.027696360014</v>
      </c>
      <c r="K179" s="15" t="n">
        <f aca="false">F179-G179+E179*D179*I179</f>
        <v>15.1921856459529</v>
      </c>
      <c r="L179" s="17" t="n">
        <f aca="false">'3. The decision'!$B$8*'3. The decision'!$B$5/J179</f>
        <v>33.4794814449158</v>
      </c>
      <c r="M179" s="31" t="n">
        <f aca="false">L179*'3. The decision'!$B$6*'3. The decision'!$B$7*K179</f>
        <v>975557.691195927</v>
      </c>
      <c r="N179" s="31" t="n">
        <f aca="false">M179*(1+'3. The decision'!$B$19+'3. The decision'!$B$20+'3. The decision'!$B$22)</f>
        <v>1078966.8064627</v>
      </c>
      <c r="O179" s="31" t="n">
        <f aca="false">'3. The decision'!$B$17+'3. The decision'!$B$18*L179*12+M179*('3. The decision'!$B$20*(1-'3. The decision'!$B$21)+'3. The decision'!$B$23)+N179*('3. The decision'!$B$24+'3. The decision'!$B$25)</f>
        <v>583612.151563549</v>
      </c>
      <c r="P179" s="31" t="n">
        <f aca="false">N179-O179</f>
        <v>495354.654899147</v>
      </c>
    </row>
    <row r="180" customFormat="false" ht="15" hidden="false" customHeight="false" outlineLevel="0" collapsed="false">
      <c r="A180" s="27" t="n">
        <f aca="false">29*0.0025</f>
        <v>0.0725</v>
      </c>
      <c r="B180" s="27" t="n">
        <f aca="false">IF(A180&gt;0,MIN('3. The decision'!$B$15,'3. The decision'!$B$29*(A180/'3. The decision'!$B$28)^$B$148),0)</f>
        <v>0.0234514425936942</v>
      </c>
      <c r="C180" s="15" t="n">
        <f aca="false">(1-'3. The decision'!$B$27-B180)*(1-'3. The decision'!$B$27)^('3. The decision'!$B$12-1)</f>
        <v>0.645113569391876</v>
      </c>
      <c r="D180" s="15" t="n">
        <f aca="false">1+(1-'3. The decision'!$B$27-B180)*(1-(1-'3. The decision'!$B$27)^('3. The decision'!$B$12-1))/'3. The decision'!$B$27</f>
        <v>4.98398478217188</v>
      </c>
      <c r="E180" s="15" t="n">
        <f aca="false">(1-'3. The decision'!$B$14)*(1-'3. The decision'!$B$27)^('3. The decision'!$B$11-1)</f>
        <v>0.690273454655712</v>
      </c>
      <c r="F180" s="15" t="n">
        <f aca="false">1+(1-'3. The decision'!$B$14)*(1-(1-'3. The decision'!$B$27)^('3. The decision'!$B$11-1))/'3. The decision'!$B$27</f>
        <v>4.28912098262087</v>
      </c>
      <c r="G180" s="15" t="n">
        <f aca="false">(1-(1-'3. The decision'!$B$9*MIN(1,('3. The decision'!$B$10/(52/12)))))+(1-(1-'3. The decision'!$B$9*MAX(0,MIN(1,('3. The decision'!$B$10/(52/12))-1))))*(1-'3. The decision'!$B$14)+(1-(1-'3. The decision'!$B$9*MAX(0,MIN(1,('3. The decision'!$B$10/(52/12))-2))))*(1-'3. The decision'!$B$14)*(1-'3. The decision'!$B$27)</f>
        <v>0.884576923076923</v>
      </c>
      <c r="H180" s="15" t="n">
        <f aca="false">IF(A180&lt;=0,0,MAX(0,ROUNDUP(LN('3. The decision'!$B$13)/LN(1+A180)-0.000000000001,0)-1))</f>
        <v>6</v>
      </c>
      <c r="I180" s="15" t="n">
        <f aca="false">IF(A180&lt;=0,1/(1-C180),(1+A180)*(1-(C180*(1+A180))^H180)/(1-C180*(1+A180))+'3. The decision'!$B$13*C180^H180/(1-C180))</f>
        <v>3.42802819325756</v>
      </c>
      <c r="J180" s="17" t="n">
        <f aca="false">F180+E180*D180/(1-C180)</f>
        <v>13.9832430927451</v>
      </c>
      <c r="K180" s="15" t="n">
        <f aca="false">F180-G180+E180*D180*I180</f>
        <v>15.1980319382168</v>
      </c>
      <c r="L180" s="17" t="n">
        <f aca="false">'3. The decision'!$B$8*'3. The decision'!$B$5/J180</f>
        <v>33.5859140032875</v>
      </c>
      <c r="M180" s="31" t="n">
        <f aca="false">L180*'3. The decision'!$B$6*'3. The decision'!$B$7*K180</f>
        <v>979035.636439947</v>
      </c>
      <c r="N180" s="31" t="n">
        <f aca="false">M180*(1+'3. The decision'!$B$19+'3. The decision'!$B$20+'3. The decision'!$B$22)</f>
        <v>1082813.41390258</v>
      </c>
      <c r="O180" s="31" t="n">
        <f aca="false">'3. The decision'!$B$17+'3. The decision'!$B$18*L180*12+M180*('3. The decision'!$B$20*(1-'3. The decision'!$B$21)+'3. The decision'!$B$23)+N180*('3. The decision'!$B$24+'3. The decision'!$B$25)</f>
        <v>584147.699866405</v>
      </c>
      <c r="P180" s="31" t="n">
        <f aca="false">N180-O180</f>
        <v>498665.714036176</v>
      </c>
    </row>
    <row r="181" customFormat="false" ht="15" hidden="false" customHeight="false" outlineLevel="0" collapsed="false">
      <c r="A181" s="27" t="n">
        <f aca="false">30*0.0025</f>
        <v>0.075</v>
      </c>
      <c r="B181" s="27" t="n">
        <f aca="false">IF(A181&gt;0,MIN('3. The decision'!$B$15,'3. The decision'!$B$29*(A181/'3. The decision'!$B$28)^$B$148),0)</f>
        <v>0.0250966686496133</v>
      </c>
      <c r="C181" s="15" t="n">
        <f aca="false">(1-'3. The decision'!$B$27-B181)*(1-'3. The decision'!$B$27)^('3. The decision'!$B$12-1)</f>
        <v>0.643947304531883</v>
      </c>
      <c r="D181" s="15" t="n">
        <f aca="false">1+(1-'3. The decision'!$B$27-B181)*(1-(1-'3. The decision'!$B$27)^('3. The decision'!$B$12-1))/'3. The decision'!$B$27</f>
        <v>4.97678235817299</v>
      </c>
      <c r="E181" s="15" t="n">
        <f aca="false">(1-'3. The decision'!$B$14)*(1-'3. The decision'!$B$27)^('3. The decision'!$B$11-1)</f>
        <v>0.690273454655712</v>
      </c>
      <c r="F181" s="15" t="n">
        <f aca="false">1+(1-'3. The decision'!$B$14)*(1-(1-'3. The decision'!$B$27)^('3. The decision'!$B$11-1))/'3. The decision'!$B$27</f>
        <v>4.28912098262087</v>
      </c>
      <c r="G181" s="15" t="n">
        <f aca="false">(1-(1-'3. The decision'!$B$9*MIN(1,('3. The decision'!$B$10/(52/12)))))+(1-(1-'3. The decision'!$B$9*MAX(0,MIN(1,('3. The decision'!$B$10/(52/12))-1))))*(1-'3. The decision'!$B$14)+(1-(1-'3. The decision'!$B$9*MAX(0,MIN(1,('3. The decision'!$B$10/(52/12))-2))))*(1-'3. The decision'!$B$14)*(1-'3. The decision'!$B$27)</f>
        <v>0.884576923076923</v>
      </c>
      <c r="H181" s="15" t="n">
        <f aca="false">IF(A181&lt;=0,0,MAX(0,ROUNDUP(LN('3. The decision'!$B$13)/LN(1+A181)-0.000000000001,0)-1))</f>
        <v>6</v>
      </c>
      <c r="I181" s="15" t="n">
        <f aca="false">IF(A181&lt;=0,1/(1-C181),(1+A181)*(1-(C181*(1+A181))^H181)/(1-C181*(1+A181))+'3. The decision'!$B$13*C181^H181/(1-C181))</f>
        <v>3.43306212160487</v>
      </c>
      <c r="J181" s="17" t="n">
        <f aca="false">F181+E181*D181/(1-C181)</f>
        <v>13.9375263876947</v>
      </c>
      <c r="K181" s="15" t="n">
        <f aca="false">F181-G181+E181*D181*I181</f>
        <v>15.1982822681377</v>
      </c>
      <c r="L181" s="17" t="n">
        <f aca="false">'3. The decision'!$B$8*'3. The decision'!$B$5/J181</f>
        <v>33.6960797013911</v>
      </c>
      <c r="M181" s="31" t="n">
        <f aca="false">L181*'3. The decision'!$B$6*'3. The decision'!$B$7*K181</f>
        <v>982263.165811087</v>
      </c>
      <c r="N181" s="31" t="n">
        <f aca="false">M181*(1+'3. The decision'!$B$19+'3. The decision'!$B$20+'3. The decision'!$B$22)</f>
        <v>1086383.06138706</v>
      </c>
      <c r="O181" s="31" t="n">
        <f aca="false">'3. The decision'!$B$17+'3. The decision'!$B$18*L181*12+M181*('3. The decision'!$B$20*(1-'3. The decision'!$B$21)+'3. The decision'!$B$23)+N181*('3. The decision'!$B$24+'3. The decision'!$B$25)</f>
        <v>584661.95174121</v>
      </c>
      <c r="P181" s="31" t="n">
        <f aca="false">N181-O181</f>
        <v>501721.109645852</v>
      </c>
    </row>
    <row r="182" customFormat="false" ht="15" hidden="false" customHeight="false" outlineLevel="0" collapsed="false">
      <c r="A182" s="27" t="n">
        <f aca="false">31*0.0025</f>
        <v>0.0775</v>
      </c>
      <c r="B182" s="27" t="n">
        <f aca="false">IF(A182&gt;0,MIN('3. The decision'!$B$15,'3. The decision'!$B$29*(A182/'3. The decision'!$B$28)^$B$148),0)</f>
        <v>0.0267976650803093</v>
      </c>
      <c r="C182" s="15" t="n">
        <f aca="false">(1-'3. The decision'!$B$27-B182)*(1-'3. The decision'!$B$27)^('3. The decision'!$B$12-1)</f>
        <v>0.642741505269856</v>
      </c>
      <c r="D182" s="15" t="n">
        <f aca="false">1+(1-'3. The decision'!$B$27-B182)*(1-(1-'3. The decision'!$B$27)^('3. The decision'!$B$12-1))/'3. The decision'!$B$27</f>
        <v>4.96933578420804</v>
      </c>
      <c r="E182" s="15" t="n">
        <f aca="false">(1-'3. The decision'!$B$14)*(1-'3. The decision'!$B$27)^('3. The decision'!$B$11-1)</f>
        <v>0.690273454655712</v>
      </c>
      <c r="F182" s="15" t="n">
        <f aca="false">1+(1-'3. The decision'!$B$14)*(1-(1-'3. The decision'!$B$27)^('3. The decision'!$B$11-1))/'3. The decision'!$B$27</f>
        <v>4.28912098262087</v>
      </c>
      <c r="G182" s="15" t="n">
        <f aca="false">(1-(1-'3. The decision'!$B$9*MIN(1,('3. The decision'!$B$10/(52/12)))))+(1-(1-'3. The decision'!$B$9*MAX(0,MIN(1,('3. The decision'!$B$10/(52/12))-1))))*(1-'3. The decision'!$B$14)+(1-(1-'3. The decision'!$B$9*MAX(0,MIN(1,('3. The decision'!$B$10/(52/12))-2))))*(1-'3. The decision'!$B$14)*(1-'3. The decision'!$B$27)</f>
        <v>0.884576923076923</v>
      </c>
      <c r="H182" s="15" t="n">
        <f aca="false">IF(A182&lt;=0,0,MAX(0,ROUNDUP(LN('3. The decision'!$B$13)/LN(1+A182)-0.000000000001,0)-1))</f>
        <v>6</v>
      </c>
      <c r="I182" s="15" t="n">
        <f aca="false">IF(A182&lt;=0,1/(1-C182),(1+A182)*(1-(C182*(1+A182))^H182)/(1-C182*(1+A182))+'3. The decision'!$B$13*C182^H182/(1-C182))</f>
        <v>3.43768957469176</v>
      </c>
      <c r="J182" s="17" t="n">
        <f aca="false">F182+E182*D182/(1-C182)</f>
        <v>13.890573795382</v>
      </c>
      <c r="K182" s="15" t="n">
        <f aca="false">F182-G182+E182*D182*I182</f>
        <v>15.1965088294504</v>
      </c>
      <c r="L182" s="17" t="n">
        <f aca="false">'3. The decision'!$B$8*'3. The decision'!$B$5/J182</f>
        <v>33.809978401046</v>
      </c>
      <c r="M182" s="31" t="n">
        <f aca="false">L182*'3. The decision'!$B$6*'3. The decision'!$B$7*K182</f>
        <v>985468.384209238</v>
      </c>
      <c r="N182" s="31" t="n">
        <f aca="false">M182*(1+'3. The decision'!$B$19+'3. The decision'!$B$20+'3. The decision'!$B$22)</f>
        <v>1089928.03293542</v>
      </c>
      <c r="O182" s="31" t="n">
        <f aca="false">'3. The decision'!$B$17+'3. The decision'!$B$18*L182*12+M182*('3. The decision'!$B$20*(1-'3. The decision'!$B$21)+'3. The decision'!$B$23)+N182*('3. The decision'!$B$24+'3. The decision'!$B$25)</f>
        <v>585179.457224702</v>
      </c>
      <c r="P182" s="31" t="n">
        <f aca="false">N182-O182</f>
        <v>504748.575710715</v>
      </c>
    </row>
    <row r="183" customFormat="false" ht="15" hidden="false" customHeight="false" outlineLevel="0" collapsed="false">
      <c r="A183" s="27" t="n">
        <f aca="false">32*0.0025</f>
        <v>0.08</v>
      </c>
      <c r="B183" s="27" t="n">
        <f aca="false">IF(A183&gt;0,MIN('3. The decision'!$B$15,'3. The decision'!$B$29*(A183/'3. The decision'!$B$28)^$B$148),0)</f>
        <v>0.0285544318857823</v>
      </c>
      <c r="C183" s="15" t="n">
        <f aca="false">(1-'3. The decision'!$B$27-B183)*(1-'3. The decision'!$B$27)^('3. The decision'!$B$12-1)</f>
        <v>0.641496171605795</v>
      </c>
      <c r="D183" s="15" t="n">
        <f aca="false">1+(1-'3. The decision'!$B$27-B183)*(1-(1-'3. The decision'!$B$27)^('3. The decision'!$B$12-1))/'3. The decision'!$B$27</f>
        <v>4.96164506027703</v>
      </c>
      <c r="E183" s="15" t="n">
        <f aca="false">(1-'3. The decision'!$B$14)*(1-'3. The decision'!$B$27)^('3. The decision'!$B$11-1)</f>
        <v>0.690273454655712</v>
      </c>
      <c r="F183" s="15" t="n">
        <f aca="false">1+(1-'3. The decision'!$B$14)*(1-(1-'3. The decision'!$B$27)^('3. The decision'!$B$11-1))/'3. The decision'!$B$27</f>
        <v>4.28912098262087</v>
      </c>
      <c r="G183" s="15" t="n">
        <f aca="false">(1-(1-'3. The decision'!$B$9*MIN(1,('3. The decision'!$B$10/(52/12)))))+(1-(1-'3. The decision'!$B$9*MAX(0,MIN(1,('3. The decision'!$B$10/(52/12))-1))))*(1-'3. The decision'!$B$14)+(1-(1-'3. The decision'!$B$9*MAX(0,MIN(1,('3. The decision'!$B$10/(52/12))-2))))*(1-'3. The decision'!$B$14)*(1-'3. The decision'!$B$27)</f>
        <v>0.884576923076923</v>
      </c>
      <c r="H183" s="15" t="n">
        <f aca="false">IF(A183&lt;=0,0,MAX(0,ROUNDUP(LN('3. The decision'!$B$13)/LN(1+A183)-0.000000000001,0)-1))</f>
        <v>6</v>
      </c>
      <c r="I183" s="15" t="n">
        <f aca="false">IF(A183&lt;=0,1/(1-C183),(1+A183)*(1-(C183*(1+A183))^H183)/(1-C183*(1+A183))+'3. The decision'!$B$13*C183^H183/(1-C183))</f>
        <v>3.44191090726141</v>
      </c>
      <c r="J183" s="17" t="n">
        <f aca="false">F183+E183*D183/(1-C183)</f>
        <v>13.8424133194796</v>
      </c>
      <c r="K183" s="15" t="n">
        <f aca="false">F183-G183+E183*D183*I183</f>
        <v>15.1927167655734</v>
      </c>
      <c r="L183" s="17" t="n">
        <f aca="false">'3. The decision'!$B$8*'3. The decision'!$B$5/J183</f>
        <v>33.9276099593922</v>
      </c>
      <c r="M183" s="31" t="n">
        <f aca="false">L183*'3. The decision'!$B$6*'3. The decision'!$B$7*K183</f>
        <v>988650.257740727</v>
      </c>
      <c r="N183" s="31" t="n">
        <f aca="false">M183*(1+'3. The decision'!$B$19+'3. The decision'!$B$20+'3. The decision'!$B$22)</f>
        <v>1093447.18506124</v>
      </c>
      <c r="O183" s="31" t="n">
        <f aca="false">'3. The decision'!$B$17+'3. The decision'!$B$18*L183*12+M183*('3. The decision'!$B$20*(1-'3. The decision'!$B$21)+'3. The decision'!$B$23)+N183*('3. The decision'!$B$24+'3. The decision'!$B$25)</f>
        <v>585700.104825599</v>
      </c>
      <c r="P183" s="31" t="n">
        <f aca="false">N183-O183</f>
        <v>507747.080235645</v>
      </c>
    </row>
    <row r="184" customFormat="false" ht="15" hidden="false" customHeight="false" outlineLevel="0" collapsed="false">
      <c r="A184" s="27" t="n">
        <f aca="false">33*0.0025</f>
        <v>0.0825</v>
      </c>
      <c r="B184" s="27" t="n">
        <f aca="false">IF(A184&gt;0,MIN('3. The decision'!$B$15,'3. The decision'!$B$29*(A184/'3. The decision'!$B$28)^$B$148),0)</f>
        <v>0.0303669690660321</v>
      </c>
      <c r="C184" s="15" t="n">
        <f aca="false">(1-'3. The decision'!$B$27-B184)*(1-'3. The decision'!$B$27)^('3. The decision'!$B$12-1)</f>
        <v>0.640211303539701</v>
      </c>
      <c r="D184" s="15" t="n">
        <f aca="false">1+(1-'3. The decision'!$B$27-B184)*(1-(1-'3. The decision'!$B$27)^('3. The decision'!$B$12-1))/'3. The decision'!$B$27</f>
        <v>4.95371018637995</v>
      </c>
      <c r="E184" s="15" t="n">
        <f aca="false">(1-'3. The decision'!$B$14)*(1-'3. The decision'!$B$27)^('3. The decision'!$B$11-1)</f>
        <v>0.690273454655712</v>
      </c>
      <c r="F184" s="15" t="n">
        <f aca="false">1+(1-'3. The decision'!$B$14)*(1-(1-'3. The decision'!$B$27)^('3. The decision'!$B$11-1))/'3. The decision'!$B$27</f>
        <v>4.28912098262087</v>
      </c>
      <c r="G184" s="15" t="n">
        <f aca="false">(1-(1-'3. The decision'!$B$9*MIN(1,('3. The decision'!$B$10/(52/12)))))+(1-(1-'3. The decision'!$B$9*MAX(0,MIN(1,('3. The decision'!$B$10/(52/12))-1))))*(1-'3. The decision'!$B$14)+(1-(1-'3. The decision'!$B$9*MAX(0,MIN(1,('3. The decision'!$B$10/(52/12))-2))))*(1-'3. The decision'!$B$14)*(1-'3. The decision'!$B$27)</f>
        <v>0.884576923076923</v>
      </c>
      <c r="H184" s="15" t="n">
        <f aca="false">IF(A184&lt;=0,0,MAX(0,ROUNDUP(LN('3. The decision'!$B$13)/LN(1+A184)-0.000000000001,0)-1))</f>
        <v>6</v>
      </c>
      <c r="I184" s="15" t="n">
        <f aca="false">IF(A184&lt;=0,1/(1-C184),(1+A184)*(1-(C184*(1+A184))^H184)/(1-C184*(1+A184))+'3. The decision'!$B$13*C184^H184/(1-C184))</f>
        <v>3.44572662139024</v>
      </c>
      <c r="J184" s="17" t="n">
        <f aca="false">F184+E184*D184/(1-C184)</f>
        <v>13.7930733784488</v>
      </c>
      <c r="K184" s="15" t="n">
        <f aca="false">F184-G184+E184*D184*I184</f>
        <v>15.1869121269667</v>
      </c>
      <c r="L184" s="17" t="n">
        <f aca="false">'3. The decision'!$B$8*'3. The decision'!$B$5/J184</f>
        <v>34.0489742288905</v>
      </c>
      <c r="M184" s="31" t="n">
        <f aca="false">L184*'3. The decision'!$B$6*'3. The decision'!$B$7*K184</f>
        <v>991807.729466104</v>
      </c>
      <c r="N184" s="31" t="n">
        <f aca="false">M184*(1+'3. The decision'!$B$19+'3. The decision'!$B$20+'3. The decision'!$B$22)</f>
        <v>1096939.34878951</v>
      </c>
      <c r="O184" s="31" t="n">
        <f aca="false">'3. The decision'!$B$17+'3. The decision'!$B$18*L184*12+M184*('3. The decision'!$B$20*(1-'3. The decision'!$B$21)+'3. The decision'!$B$23)+N184*('3. The decision'!$B$24+'3. The decision'!$B$25)</f>
        <v>586223.780565181</v>
      </c>
      <c r="P184" s="31" t="n">
        <f aca="false">N184-O184</f>
        <v>510715.56822433</v>
      </c>
    </row>
    <row r="185" customFormat="false" ht="15" hidden="false" customHeight="false" outlineLevel="0" collapsed="false">
      <c r="A185" s="27" t="n">
        <f aca="false">34*0.0025</f>
        <v>0.085</v>
      </c>
      <c r="B185" s="27" t="n">
        <f aca="false">IF(A185&gt;0,MIN('3. The decision'!$B$15,'3. The decision'!$B$29*(A185/'3. The decision'!$B$28)^$B$148),0)</f>
        <v>0.0322352766210589</v>
      </c>
      <c r="C185" s="15" t="n">
        <f aca="false">(1-'3. The decision'!$B$27-B185)*(1-'3. The decision'!$B$27)^('3. The decision'!$B$12-1)</f>
        <v>0.638886901071573</v>
      </c>
      <c r="D185" s="15" t="n">
        <f aca="false">1+(1-'3. The decision'!$B$27-B185)*(1-(1-'3. The decision'!$B$27)^('3. The decision'!$B$12-1))/'3. The decision'!$B$27</f>
        <v>4.94553116251681</v>
      </c>
      <c r="E185" s="15" t="n">
        <f aca="false">(1-'3. The decision'!$B$14)*(1-'3. The decision'!$B$27)^('3. The decision'!$B$11-1)</f>
        <v>0.690273454655712</v>
      </c>
      <c r="F185" s="15" t="n">
        <f aca="false">1+(1-'3. The decision'!$B$14)*(1-(1-'3. The decision'!$B$27)^('3. The decision'!$B$11-1))/'3. The decision'!$B$27</f>
        <v>4.28912098262087</v>
      </c>
      <c r="G185" s="15" t="n">
        <f aca="false">(1-(1-'3. The decision'!$B$9*MIN(1,('3. The decision'!$B$10/(52/12)))))+(1-(1-'3. The decision'!$B$9*MAX(0,MIN(1,('3. The decision'!$B$10/(52/12))-1))))*(1-'3. The decision'!$B$14)+(1-(1-'3. The decision'!$B$9*MAX(0,MIN(1,('3. The decision'!$B$10/(52/12))-2))))*(1-'3. The decision'!$B$14)*(1-'3. The decision'!$B$27)</f>
        <v>0.884576923076923</v>
      </c>
      <c r="H185" s="15" t="n">
        <f aca="false">IF(A185&lt;=0,0,MAX(0,ROUNDUP(LN('3. The decision'!$B$13)/LN(1+A185)-0.000000000001,0)-1))</f>
        <v>5</v>
      </c>
      <c r="I185" s="15" t="n">
        <f aca="false">IF(A185&lt;=0,1/(1-C185),(1+A185)*(1-(C185*(1+A185))^H185)/(1-C185*(1+A185))+'3. The decision'!$B$13*C185^H185/(1-C185))</f>
        <v>3.44791671706528</v>
      </c>
      <c r="J185" s="17" t="n">
        <f aca="false">F185+E185*D185/(1-C185)</f>
        <v>13.7425827672751</v>
      </c>
      <c r="K185" s="15" t="n">
        <f aca="false">F185-G185+E185*D185*I185</f>
        <v>15.1749348513617</v>
      </c>
      <c r="L185" s="17" t="n">
        <f aca="false">'3. The decision'!$B$8*'3. The decision'!$B$5/J185</f>
        <v>34.1740710573228</v>
      </c>
      <c r="M185" s="31" t="n">
        <f aca="false">L185*'3. The decision'!$B$6*'3. The decision'!$B$7*K185</f>
        <v>994666.586554363</v>
      </c>
      <c r="N185" s="31" t="n">
        <f aca="false">M185*(1+'3. The decision'!$B$19+'3. The decision'!$B$20+'3. The decision'!$B$22)</f>
        <v>1100101.24472913</v>
      </c>
      <c r="O185" s="31" t="n">
        <f aca="false">'3. The decision'!$B$17+'3. The decision'!$B$18*L185*12+M185*('3. The decision'!$B$20*(1-'3. The decision'!$B$21)+'3. The decision'!$B$23)+N185*('3. The decision'!$B$24+'3. The decision'!$B$25)</f>
        <v>586720.9715085</v>
      </c>
      <c r="P185" s="31" t="n">
        <f aca="false">N185-O185</f>
        <v>513380.273220625</v>
      </c>
    </row>
    <row r="186" customFormat="false" ht="15" hidden="false" customHeight="false" outlineLevel="0" collapsed="false">
      <c r="A186" s="27" t="n">
        <f aca="false">35*0.0025</f>
        <v>0.0875</v>
      </c>
      <c r="B186" s="27" t="n">
        <f aca="false">IF(A186&gt;0,MIN('3. The decision'!$B$15,'3. The decision'!$B$29*(A186/'3. The decision'!$B$28)^$B$148),0)</f>
        <v>0.0341593545508626</v>
      </c>
      <c r="C186" s="15" t="n">
        <f aca="false">(1-'3. The decision'!$B$27-B186)*(1-'3. The decision'!$B$27)^('3. The decision'!$B$12-1)</f>
        <v>0.637522964201412</v>
      </c>
      <c r="D186" s="15" t="n">
        <f aca="false">1+(1-'3. The decision'!$B$27-B186)*(1-(1-'3. The decision'!$B$27)^('3. The decision'!$B$12-1))/'3. The decision'!$B$27</f>
        <v>4.9371079886876</v>
      </c>
      <c r="E186" s="15" t="n">
        <f aca="false">(1-'3. The decision'!$B$14)*(1-'3. The decision'!$B$27)^('3. The decision'!$B$11-1)</f>
        <v>0.690273454655712</v>
      </c>
      <c r="F186" s="15" t="n">
        <f aca="false">1+(1-'3. The decision'!$B$14)*(1-(1-'3. The decision'!$B$27)^('3. The decision'!$B$11-1))/'3. The decision'!$B$27</f>
        <v>4.28912098262087</v>
      </c>
      <c r="G186" s="15" t="n">
        <f aca="false">(1-(1-'3. The decision'!$B$9*MIN(1,('3. The decision'!$B$10/(52/12)))))+(1-(1-'3. The decision'!$B$9*MAX(0,MIN(1,('3. The decision'!$B$10/(52/12))-1))))*(1-'3. The decision'!$B$14)+(1-(1-'3. The decision'!$B$9*MAX(0,MIN(1,('3. The decision'!$B$10/(52/12))-2))))*(1-'3. The decision'!$B$14)*(1-'3. The decision'!$B$27)</f>
        <v>0.884576923076923</v>
      </c>
      <c r="H186" s="15" t="n">
        <f aca="false">IF(A186&lt;=0,0,MAX(0,ROUNDUP(LN('3. The decision'!$B$13)/LN(1+A186)-0.000000000001,0)-1))</f>
        <v>5</v>
      </c>
      <c r="I186" s="15" t="n">
        <f aca="false">IF(A186&lt;=0,1/(1-C186),(1+A186)*(1-(C186*(1+A186))^H186)/(1-C186*(1+A186))+'3. The decision'!$B$13*C186^H186/(1-C186))</f>
        <v>3.44854720837539</v>
      </c>
      <c r="J186" s="17" t="n">
        <f aca="false">F186+E186*D186/(1-C186)</f>
        <v>13.6909706193889</v>
      </c>
      <c r="K186" s="15" t="n">
        <f aca="false">F186-G186+E186*D186*I186</f>
        <v>15.1570363380534</v>
      </c>
      <c r="L186" s="17" t="n">
        <f aca="false">'3. The decision'!$B$8*'3. The decision'!$B$5/J186</f>
        <v>34.302900287793</v>
      </c>
      <c r="M186" s="31" t="n">
        <f aca="false">L186*'3. The decision'!$B$6*'3. The decision'!$B$7*K186</f>
        <v>997238.664549355</v>
      </c>
      <c r="N186" s="31" t="n">
        <f aca="false">M186*(1+'3. The decision'!$B$19+'3. The decision'!$B$20+'3. The decision'!$B$22)</f>
        <v>1102945.96299159</v>
      </c>
      <c r="O186" s="31" t="n">
        <f aca="false">'3. The decision'!$B$17+'3. The decision'!$B$18*L186*12+M186*('3. The decision'!$B$20*(1-'3. The decision'!$B$21)+'3. The decision'!$B$23)+N186*('3. The decision'!$B$24+'3. The decision'!$B$25)</f>
        <v>587192.951241965</v>
      </c>
      <c r="P186" s="31" t="n">
        <f aca="false">N186-O186</f>
        <v>515753.011749622</v>
      </c>
    </row>
    <row r="187" customFormat="false" ht="15" hidden="false" customHeight="false" outlineLevel="0" collapsed="false">
      <c r="A187" s="27" t="n">
        <f aca="false">36*0.0025</f>
        <v>0.09</v>
      </c>
      <c r="B187" s="27" t="n">
        <f aca="false">IF(A187&gt;0,MIN('3. The decision'!$B$15,'3. The decision'!$B$29*(A187/'3. The decision'!$B$28)^$B$148),0)</f>
        <v>0.0361392028554432</v>
      </c>
      <c r="C187" s="15" t="n">
        <f aca="false">(1-'3. The decision'!$B$27-B187)*(1-'3. The decision'!$B$27)^('3. The decision'!$B$12-1)</f>
        <v>0.636119492929217</v>
      </c>
      <c r="D187" s="15" t="n">
        <f aca="false">1+(1-'3. The decision'!$B$27-B187)*(1-(1-'3. The decision'!$B$27)^('3. The decision'!$B$12-1))/'3. The decision'!$B$27</f>
        <v>4.92844066489234</v>
      </c>
      <c r="E187" s="15" t="n">
        <f aca="false">(1-'3. The decision'!$B$14)*(1-'3. The decision'!$B$27)^('3. The decision'!$B$11-1)</f>
        <v>0.690273454655712</v>
      </c>
      <c r="F187" s="15" t="n">
        <f aca="false">1+(1-'3. The decision'!$B$14)*(1-(1-'3. The decision'!$B$27)^('3. The decision'!$B$11-1))/'3. The decision'!$B$27</f>
        <v>4.28912098262087</v>
      </c>
      <c r="G187" s="15" t="n">
        <f aca="false">(1-(1-'3. The decision'!$B$9*MIN(1,('3. The decision'!$B$10/(52/12)))))+(1-(1-'3. The decision'!$B$9*MAX(0,MIN(1,('3. The decision'!$B$10/(52/12))-1))))*(1-'3. The decision'!$B$14)+(1-(1-'3. The decision'!$B$9*MAX(0,MIN(1,('3. The decision'!$B$10/(52/12))-2))))*(1-'3. The decision'!$B$14)*(1-'3. The decision'!$B$27)</f>
        <v>0.884576923076923</v>
      </c>
      <c r="H187" s="15" t="n">
        <f aca="false">IF(A187&lt;=0,0,MAX(0,ROUNDUP(LN('3. The decision'!$B$13)/LN(1+A187)-0.000000000001,0)-1))</f>
        <v>5</v>
      </c>
      <c r="I187" s="15" t="n">
        <f aca="false">IF(A187&lt;=0,1/(1-C187),(1+A187)*(1-(C187*(1+A187))^H187)/(1-C187*(1+A187))+'3. The decision'!$B$13*C187^H187/(1-C187))</f>
        <v>3.44879972415799</v>
      </c>
      <c r="J187" s="17" t="n">
        <f aca="false">F187+E187*D187/(1-C187)</f>
        <v>13.6382663688538</v>
      </c>
      <c r="K187" s="15" t="n">
        <f aca="false">F187-G187+E187*D187*I187</f>
        <v>15.1372633402028</v>
      </c>
      <c r="L187" s="17" t="n">
        <f aca="false">'3. The decision'!$B$8*'3. The decision'!$B$5/J187</f>
        <v>34.4354617587271</v>
      </c>
      <c r="M187" s="31" t="n">
        <f aca="false">L187*'3. The decision'!$B$6*'3. The decision'!$B$7*K187</f>
        <v>999786.46507963</v>
      </c>
      <c r="N187" s="31" t="n">
        <f aca="false">M187*(1+'3. The decision'!$B$19+'3. The decision'!$B$20+'3. The decision'!$B$22)</f>
        <v>1105763.83037807</v>
      </c>
      <c r="O187" s="31" t="n">
        <f aca="false">'3. The decision'!$B$17+'3. The decision'!$B$18*L187*12+M187*('3. The decision'!$B$20*(1-'3. The decision'!$B$21)+'3. The decision'!$B$23)+N187*('3. The decision'!$B$24+'3. The decision'!$B$25)</f>
        <v>587667.971783591</v>
      </c>
      <c r="P187" s="31" t="n">
        <f aca="false">N187-O187</f>
        <v>518095.858594479</v>
      </c>
    </row>
    <row r="188" customFormat="false" ht="15" hidden="false" customHeight="false" outlineLevel="0" collapsed="false">
      <c r="A188" s="27" t="n">
        <f aca="false">37*0.0025</f>
        <v>0.0925</v>
      </c>
      <c r="B188" s="27" t="n">
        <f aca="false">IF(A188&gt;0,MIN('3. The decision'!$B$15,'3. The decision'!$B$29*(A188/'3. The decision'!$B$28)^$B$148),0)</f>
        <v>0.0381748215348007</v>
      </c>
      <c r="C188" s="15" t="n">
        <f aca="false">(1-'3. The decision'!$B$27-B188)*(1-'3. The decision'!$B$27)^('3. The decision'!$B$12-1)</f>
        <v>0.634676487254988</v>
      </c>
      <c r="D188" s="15" t="n">
        <f aca="false">1+(1-'3. The decision'!$B$27-B188)*(1-(1-'3. The decision'!$B$27)^('3. The decision'!$B$12-1))/'3. The decision'!$B$27</f>
        <v>4.919529191131</v>
      </c>
      <c r="E188" s="15" t="n">
        <f aca="false">(1-'3. The decision'!$B$14)*(1-'3. The decision'!$B$27)^('3. The decision'!$B$11-1)</f>
        <v>0.690273454655712</v>
      </c>
      <c r="F188" s="15" t="n">
        <f aca="false">1+(1-'3. The decision'!$B$14)*(1-(1-'3. The decision'!$B$27)^('3. The decision'!$B$11-1))/'3. The decision'!$B$27</f>
        <v>4.28912098262087</v>
      </c>
      <c r="G188" s="15" t="n">
        <f aca="false">(1-(1-'3. The decision'!$B$9*MIN(1,('3. The decision'!$B$10/(52/12)))))+(1-(1-'3. The decision'!$B$9*MAX(0,MIN(1,('3. The decision'!$B$10/(52/12))-1))))*(1-'3. The decision'!$B$14)+(1-(1-'3. The decision'!$B$9*MAX(0,MIN(1,('3. The decision'!$B$10/(52/12))-2))))*(1-'3. The decision'!$B$14)*(1-'3. The decision'!$B$27)</f>
        <v>0.884576923076923</v>
      </c>
      <c r="H188" s="15" t="n">
        <f aca="false">IF(A188&lt;=0,0,MAX(0,ROUNDUP(LN('3. The decision'!$B$13)/LN(1+A188)-0.000000000001,0)-1))</f>
        <v>5</v>
      </c>
      <c r="I188" s="15" t="n">
        <f aca="false">IF(A188&lt;=0,1/(1-C188),(1+A188)*(1-(C188*(1+A188))^H188)/(1-C188*(1+A188))+'3. The decision'!$B$13*C188^H188/(1-C188))</f>
        <v>3.44867746207763</v>
      </c>
      <c r="J188" s="17" t="n">
        <f aca="false">F188+E188*D188/(1-C188)</f>
        <v>13.5844997129021</v>
      </c>
      <c r="K188" s="15" t="n">
        <f aca="false">F188-G188+E188*D188*I188</f>
        <v>15.1156333729177</v>
      </c>
      <c r="L188" s="17" t="n">
        <f aca="false">'3. The decision'!$B$8*'3. The decision'!$B$5/J188</f>
        <v>34.5717553038741</v>
      </c>
      <c r="M188" s="31" t="n">
        <f aca="false">L188*'3. The decision'!$B$6*'3. The decision'!$B$7*K188</f>
        <v>1002309.29030868</v>
      </c>
      <c r="N188" s="31" t="n">
        <f aca="false">M188*(1+'3. The decision'!$B$19+'3. The decision'!$B$20+'3. The decision'!$B$22)</f>
        <v>1108554.0750814</v>
      </c>
      <c r="O188" s="31" t="n">
        <f aca="false">'3. The decision'!$B$17+'3. The decision'!$B$18*L188*12+M188*('3. The decision'!$B$20*(1-'3. The decision'!$B$21)+'3. The decision'!$B$23)+N188*('3. The decision'!$B$24+'3. The decision'!$B$25)</f>
        <v>588145.957775489</v>
      </c>
      <c r="P188" s="31" t="n">
        <f aca="false">N188-O188</f>
        <v>520408.117305909</v>
      </c>
    </row>
    <row r="189" customFormat="false" ht="15" hidden="false" customHeight="false" outlineLevel="0" collapsed="false">
      <c r="A189" s="27" t="n">
        <f aca="false">38*0.0025</f>
        <v>0.095</v>
      </c>
      <c r="B189" s="27" t="n">
        <f aca="false">IF(A189&gt;0,MIN('3. The decision'!$B$15,'3. The decision'!$B$29*(A189/'3. The decision'!$B$28)^$B$148),0)</f>
        <v>0.0402662105889352</v>
      </c>
      <c r="C189" s="15" t="n">
        <f aca="false">(1-'3. The decision'!$B$27-B189)*(1-'3. The decision'!$B$27)^('3. The decision'!$B$12-1)</f>
        <v>0.633193947178725</v>
      </c>
      <c r="D189" s="15" t="n">
        <f aca="false">1+(1-'3. The decision'!$B$27-B189)*(1-(1-'3. The decision'!$B$27)^('3. The decision'!$B$12-1))/'3. The decision'!$B$27</f>
        <v>4.91037356740361</v>
      </c>
      <c r="E189" s="15" t="n">
        <f aca="false">(1-'3. The decision'!$B$14)*(1-'3. The decision'!$B$27)^('3. The decision'!$B$11-1)</f>
        <v>0.690273454655712</v>
      </c>
      <c r="F189" s="15" t="n">
        <f aca="false">1+(1-'3. The decision'!$B$14)*(1-(1-'3. The decision'!$B$27)^('3. The decision'!$B$11-1))/'3. The decision'!$B$27</f>
        <v>4.28912098262087</v>
      </c>
      <c r="G189" s="15" t="n">
        <f aca="false">(1-(1-'3. The decision'!$B$9*MIN(1,('3. The decision'!$B$10/(52/12)))))+(1-(1-'3. The decision'!$B$9*MAX(0,MIN(1,('3. The decision'!$B$10/(52/12))-1))))*(1-'3. The decision'!$B$14)+(1-(1-'3. The decision'!$B$9*MAX(0,MIN(1,('3. The decision'!$B$10/(52/12))-2))))*(1-'3. The decision'!$B$14)*(1-'3. The decision'!$B$27)</f>
        <v>0.884576923076923</v>
      </c>
      <c r="H189" s="15" t="n">
        <f aca="false">IF(A189&lt;=0,0,MAX(0,ROUNDUP(LN('3. The decision'!$B$13)/LN(1+A189)-0.000000000001,0)-1))</f>
        <v>5</v>
      </c>
      <c r="I189" s="15" t="n">
        <f aca="false">IF(A189&lt;=0,1/(1-C189),(1+A189)*(1-(C189*(1+A189))^H189)/(1-C189*(1+A189))+'3. The decision'!$B$13*C189^H189/(1-C189))</f>
        <v>3.44818371080458</v>
      </c>
      <c r="J189" s="17" t="n">
        <f aca="false">F189+E189*D189/(1-C189)</f>
        <v>13.529700574892</v>
      </c>
      <c r="K189" s="15" t="n">
        <f aca="false">F189-G189+E189*D189*I189</f>
        <v>15.0921645611358</v>
      </c>
      <c r="L189" s="17" t="n">
        <f aca="false">'3. The decision'!$B$8*'3. The decision'!$B$5/J189</f>
        <v>34.7117807523062</v>
      </c>
      <c r="M189" s="31" t="n">
        <f aca="false">L189*'3. The decision'!$B$6*'3. The decision'!$B$7*K189</f>
        <v>1004806.42120092</v>
      </c>
      <c r="N189" s="31" t="n">
        <f aca="false">M189*(1+'3. The decision'!$B$19+'3. The decision'!$B$20+'3. The decision'!$B$22)</f>
        <v>1111315.90184822</v>
      </c>
      <c r="O189" s="31" t="n">
        <f aca="false">'3. The decision'!$B$17+'3. The decision'!$B$18*L189*12+M189*('3. The decision'!$B$20*(1-'3. The decision'!$B$21)+'3. The decision'!$B$23)+N189*('3. The decision'!$B$24+'3. The decision'!$B$25)</f>
        <v>588626.831571087</v>
      </c>
      <c r="P189" s="31" t="n">
        <f aca="false">N189-O189</f>
        <v>522689.070277128</v>
      </c>
    </row>
    <row r="190" customFormat="false" ht="15" hidden="false" customHeight="false" outlineLevel="0" collapsed="false">
      <c r="A190" s="27" t="n">
        <f aca="false">39*0.0025</f>
        <v>0.0975</v>
      </c>
      <c r="B190" s="27" t="n">
        <f aca="false">IF(A190&gt;0,MIN('3. The decision'!$B$15,'3. The decision'!$B$29*(A190/'3. The decision'!$B$28)^$B$148),0)</f>
        <v>0.0424133700178465</v>
      </c>
      <c r="C190" s="15" t="n">
        <f aca="false">(1-'3. The decision'!$B$27-B190)*(1-'3. The decision'!$B$27)^('3. The decision'!$B$12-1)</f>
        <v>0.631671872700429</v>
      </c>
      <c r="D190" s="15" t="n">
        <f aca="false">1+(1-'3. The decision'!$B$27-B190)*(1-(1-'3. The decision'!$B$27)^('3. The decision'!$B$12-1))/'3. The decision'!$B$27</f>
        <v>4.90097379371015</v>
      </c>
      <c r="E190" s="15" t="n">
        <f aca="false">(1-'3. The decision'!$B$14)*(1-'3. The decision'!$B$27)^('3. The decision'!$B$11-1)</f>
        <v>0.690273454655712</v>
      </c>
      <c r="F190" s="15" t="n">
        <f aca="false">1+(1-'3. The decision'!$B$14)*(1-(1-'3. The decision'!$B$27)^('3. The decision'!$B$11-1))/'3. The decision'!$B$27</f>
        <v>4.28912098262087</v>
      </c>
      <c r="G190" s="15" t="n">
        <f aca="false">(1-(1-'3. The decision'!$B$9*MIN(1,('3. The decision'!$B$10/(52/12)))))+(1-(1-'3. The decision'!$B$9*MAX(0,MIN(1,('3. The decision'!$B$10/(52/12))-1))))*(1-'3. The decision'!$B$14)+(1-(1-'3. The decision'!$B$9*MAX(0,MIN(1,('3. The decision'!$B$10/(52/12))-2))))*(1-'3. The decision'!$B$14)*(1-'3. The decision'!$B$27)</f>
        <v>0.884576923076923</v>
      </c>
      <c r="H190" s="15" t="n">
        <f aca="false">IF(A190&lt;=0,0,MAX(0,ROUNDUP(LN('3. The decision'!$B$13)/LN(1+A190)-0.000000000001,0)-1))</f>
        <v>5</v>
      </c>
      <c r="I190" s="15" t="n">
        <f aca="false">IF(A190&lt;=0,1/(1-C190),(1+A190)*(1-(C190*(1+A190))^H190)/(1-C190*(1+A190))+'3. The decision'!$B$13*C190^H190/(1-C190))</f>
        <v>3.44732184226796</v>
      </c>
      <c r="J190" s="17" t="n">
        <f aca="false">F190+E190*D190/(1-C190)</f>
        <v>13.4738990677599</v>
      </c>
      <c r="K190" s="15" t="n">
        <f aca="false">F190-G190+E190*D190*I190</f>
        <v>15.0668756050761</v>
      </c>
      <c r="L190" s="17" t="n">
        <f aca="false">'3. The decision'!$B$8*'3. The decision'!$B$5/J190</f>
        <v>34.8555379284193</v>
      </c>
      <c r="M190" s="31" t="n">
        <f aca="false">L190*'3. The decision'!$B$6*'3. The decision'!$B$7*K190</f>
        <v>1007277.11731347</v>
      </c>
      <c r="N190" s="31" t="n">
        <f aca="false">M190*(1+'3. The decision'!$B$19+'3. The decision'!$B$20+'3. The decision'!$B$22)</f>
        <v>1114048.4917487</v>
      </c>
      <c r="O190" s="31" t="n">
        <f aca="false">'3. The decision'!$B$17+'3. The decision'!$B$18*L190*12+M190*('3. The decision'!$B$20*(1-'3. The decision'!$B$21)+'3. The decision'!$B$23)+N190*('3. The decision'!$B$24+'3. The decision'!$B$25)</f>
        <v>589110.51321273</v>
      </c>
      <c r="P190" s="31" t="n">
        <f aca="false">N190-O190</f>
        <v>524937.978535969</v>
      </c>
    </row>
    <row r="191" customFormat="false" ht="15" hidden="false" customHeight="false" outlineLevel="0" collapsed="false">
      <c r="A191" s="27" t="n">
        <f aca="false">40*0.0025</f>
        <v>0.1</v>
      </c>
      <c r="B191" s="27" t="n">
        <f aca="false">IF(A191&gt;0,MIN('3. The decision'!$B$15,'3. The decision'!$B$29*(A191/'3. The decision'!$B$28)^$B$148),0)</f>
        <v>0.0446162998215348</v>
      </c>
      <c r="C191" s="15" t="n">
        <f aca="false">(1-'3. The decision'!$B$27-B191)*(1-'3. The decision'!$B$27)^('3. The decision'!$B$12-1)</f>
        <v>0.630110263820099</v>
      </c>
      <c r="D191" s="15" t="n">
        <f aca="false">1+(1-'3. The decision'!$B$27-B191)*(1-(1-'3. The decision'!$B$27)^('3. The decision'!$B$12-1))/'3. The decision'!$B$27</f>
        <v>4.89132987005062</v>
      </c>
      <c r="E191" s="15" t="n">
        <f aca="false">(1-'3. The decision'!$B$14)*(1-'3. The decision'!$B$27)^('3. The decision'!$B$11-1)</f>
        <v>0.690273454655712</v>
      </c>
      <c r="F191" s="15" t="n">
        <f aca="false">1+(1-'3. The decision'!$B$14)*(1-(1-'3. The decision'!$B$27)^('3. The decision'!$B$11-1))/'3. The decision'!$B$27</f>
        <v>4.28912098262087</v>
      </c>
      <c r="G191" s="15" t="n">
        <f aca="false">(1-(1-'3. The decision'!$B$9*MIN(1,('3. The decision'!$B$10/(52/12)))))+(1-(1-'3. The decision'!$B$9*MAX(0,MIN(1,('3. The decision'!$B$10/(52/12))-1))))*(1-'3. The decision'!$B$14)+(1-(1-'3. The decision'!$B$9*MAX(0,MIN(1,('3. The decision'!$B$10/(52/12))-2))))*(1-'3. The decision'!$B$14)*(1-'3. The decision'!$B$27)</f>
        <v>0.884576923076923</v>
      </c>
      <c r="H191" s="15" t="n">
        <f aca="false">IF(A191&lt;=0,0,MAX(0,ROUNDUP(LN('3. The decision'!$B$13)/LN(1+A191)-0.000000000001,0)-1))</f>
        <v>5</v>
      </c>
      <c r="I191" s="15" t="n">
        <f aca="false">IF(A191&lt;=0,1/(1-C191),(1+A191)*(1-(C191*(1+A191))^H191)/(1-C191*(1+A191))+'3. The decision'!$B$13*C191^H191/(1-C191))</f>
        <v>3.44609530410915</v>
      </c>
      <c r="J191" s="17" t="n">
        <f aca="false">F191+E191*D191/(1-C191)</f>
        <v>13.4171254580367</v>
      </c>
      <c r="K191" s="15" t="n">
        <f aca="false">F191-G191+E191*D191*I191</f>
        <v>15.0397857464451</v>
      </c>
      <c r="L191" s="17" t="n">
        <f aca="false">'3. The decision'!$B$8*'3. The decision'!$B$5/J191</f>
        <v>35.0030266519339</v>
      </c>
      <c r="M191" s="31" t="n">
        <f aca="false">L191*'3. The decision'!$B$6*'3. The decision'!$B$7*K191</f>
        <v>1009720.61664563</v>
      </c>
      <c r="N191" s="31" t="n">
        <f aca="false">M191*(1+'3. The decision'!$B$19+'3. The decision'!$B$20+'3. The decision'!$B$22)</f>
        <v>1116751.00201006</v>
      </c>
      <c r="O191" s="31" t="n">
        <f aca="false">'3. The decision'!$B$17+'3. The decision'!$B$18*L191*12+M191*('3. The decision'!$B$20*(1-'3. The decision'!$B$21)+'3. The decision'!$B$23)+N191*('3. The decision'!$B$24+'3. The decision'!$B$25)</f>
        <v>589596.920415473</v>
      </c>
      <c r="P191" s="31" t="n">
        <f aca="false">N191-O191</f>
        <v>527154.081594588</v>
      </c>
    </row>
    <row r="192" customFormat="false" ht="15" hidden="false" customHeight="false" outlineLevel="0" collapsed="false">
      <c r="A192" s="27" t="n">
        <f aca="false">41*0.0025</f>
        <v>0.1025</v>
      </c>
      <c r="B192" s="27" t="n">
        <f aca="false">IF(A192&gt;0,MIN('3. The decision'!$B$15,'3. The decision'!$B$29*(A192/'3. The decision'!$B$28)^$B$148),0)</f>
        <v>0.046875</v>
      </c>
      <c r="C192" s="15" t="n">
        <f aca="false">(1-'3. The decision'!$B$27-B192)*(1-'3. The decision'!$B$27)^('3. The decision'!$B$12-1)</f>
        <v>0.628509120537735</v>
      </c>
      <c r="D192" s="15" t="n">
        <f aca="false">1+(1-'3. The decision'!$B$27-B192)*(1-(1-'3. The decision'!$B$27)^('3. The decision'!$B$12-1))/'3. The decision'!$B$27</f>
        <v>4.88144179642503</v>
      </c>
      <c r="E192" s="15" t="n">
        <f aca="false">(1-'3. The decision'!$B$14)*(1-'3. The decision'!$B$27)^('3. The decision'!$B$11-1)</f>
        <v>0.690273454655712</v>
      </c>
      <c r="F192" s="15" t="n">
        <f aca="false">1+(1-'3. The decision'!$B$14)*(1-(1-'3. The decision'!$B$27)^('3. The decision'!$B$11-1))/'3. The decision'!$B$27</f>
        <v>4.28912098262087</v>
      </c>
      <c r="G192" s="15" t="n">
        <f aca="false">(1-(1-'3. The decision'!$B$9*MIN(1,('3. The decision'!$B$10/(52/12)))))+(1-(1-'3. The decision'!$B$9*MAX(0,MIN(1,('3. The decision'!$B$10/(52/12))-1))))*(1-'3. The decision'!$B$14)+(1-(1-'3. The decision'!$B$9*MAX(0,MIN(1,('3. The decision'!$B$10/(52/12))-2))))*(1-'3. The decision'!$B$14)*(1-'3. The decision'!$B$27)</f>
        <v>0.884576923076923</v>
      </c>
      <c r="H192" s="15" t="n">
        <f aca="false">IF(A192&lt;=0,0,MAX(0,ROUNDUP(LN('3. The decision'!$B$13)/LN(1+A192)-0.000000000001,0)-1))</f>
        <v>4</v>
      </c>
      <c r="I192" s="15" t="n">
        <f aca="false">IF(A192&lt;=0,1/(1-C192),(1+A192)*(1-(C192*(1+A192))^H192)/(1-C192*(1+A192))+'3. The decision'!$B$13*C192^H192/(1-C192))</f>
        <v>3.443119661569</v>
      </c>
      <c r="J192" s="17" t="n">
        <f aca="false">F192+E192*D192/(1-C192)</f>
        <v>13.3594101304904</v>
      </c>
      <c r="K192" s="15" t="n">
        <f aca="false">F192-G192+E192*D192*I192</f>
        <v>15.006237994097</v>
      </c>
      <c r="L192" s="17" t="n">
        <f aca="false">'3. The decision'!$B$8*'3. The decision'!$B$5/J192</f>
        <v>35.1542467378954</v>
      </c>
      <c r="M192" s="31" t="n">
        <f aca="false">L192*'3. The decision'!$B$6*'3. The decision'!$B$7*K192</f>
        <v>1011820.7984059</v>
      </c>
      <c r="N192" s="31" t="n">
        <f aca="false">M192*(1+'3. The decision'!$B$19+'3. The decision'!$B$20+'3. The decision'!$B$22)</f>
        <v>1119073.80303693</v>
      </c>
      <c r="O192" s="31" t="n">
        <f aca="false">'3. The decision'!$B$17+'3. The decision'!$B$18*L192*12+M192*('3. The decision'!$B$20*(1-'3. The decision'!$B$21)+'3. The decision'!$B$23)+N192*('3. The decision'!$B$24+'3. The decision'!$B$25)</f>
        <v>590052.029766717</v>
      </c>
      <c r="P192" s="31" t="n">
        <f aca="false">N192-O192</f>
        <v>529021.77327021</v>
      </c>
    </row>
    <row r="193" customFormat="false" ht="15" hidden="false" customHeight="false" outlineLevel="0" collapsed="false">
      <c r="A193" s="27" t="n">
        <f aca="false">42*0.0025</f>
        <v>0.105</v>
      </c>
      <c r="B193" s="27" t="n">
        <f aca="false">IF(A193&gt;0,MIN('3. The decision'!$B$15,'3. The decision'!$B$29*(A193/'3. The decision'!$B$28)^$B$148),0)</f>
        <v>0.0491894705532421</v>
      </c>
      <c r="C193" s="15" t="n">
        <f aca="false">(1-'3. The decision'!$B$27-B193)*(1-'3. The decision'!$B$27)^('3. The decision'!$B$12-1)</f>
        <v>0.626868442853338</v>
      </c>
      <c r="D193" s="15" t="n">
        <f aca="false">1+(1-'3. The decision'!$B$27-B193)*(1-(1-'3. The decision'!$B$27)^('3. The decision'!$B$12-1))/'3. The decision'!$B$27</f>
        <v>4.87130957283338</v>
      </c>
      <c r="E193" s="15" t="n">
        <f aca="false">(1-'3. The decision'!$B$14)*(1-'3. The decision'!$B$27)^('3. The decision'!$B$11-1)</f>
        <v>0.690273454655712</v>
      </c>
      <c r="F193" s="15" t="n">
        <f aca="false">1+(1-'3. The decision'!$B$14)*(1-(1-'3. The decision'!$B$27)^('3. The decision'!$B$11-1))/'3. The decision'!$B$27</f>
        <v>4.28912098262087</v>
      </c>
      <c r="G193" s="15" t="n">
        <f aca="false">(1-(1-'3. The decision'!$B$9*MIN(1,('3. The decision'!$B$10/(52/12)))))+(1-(1-'3. The decision'!$B$9*MAX(0,MIN(1,('3. The decision'!$B$10/(52/12))-1))))*(1-'3. The decision'!$B$14)+(1-(1-'3. The decision'!$B$9*MAX(0,MIN(1,('3. The decision'!$B$10/(52/12))-2))))*(1-'3. The decision'!$B$14)*(1-'3. The decision'!$B$27)</f>
        <v>0.884576923076923</v>
      </c>
      <c r="H193" s="15" t="n">
        <f aca="false">IF(A193&lt;=0,0,MAX(0,ROUNDUP(LN('3. The decision'!$B$13)/LN(1+A193)-0.000000000001,0)-1))</f>
        <v>4</v>
      </c>
      <c r="I193" s="15" t="n">
        <f aca="false">IF(A193&lt;=0,1/(1-C193),(1+A193)*(1-(C193*(1+A193))^H193)/(1-C193*(1+A193))+'3. The decision'!$B$13*C193^H193/(1-C193))</f>
        <v>3.43832399440062</v>
      </c>
      <c r="J193" s="17" t="n">
        <f aca="false">F193+E193*D193/(1-C193)</f>
        <v>13.300783553459</v>
      </c>
      <c r="K193" s="15" t="n">
        <f aca="false">F193-G193+E193*D193*I193</f>
        <v>14.9660311960313</v>
      </c>
      <c r="L193" s="17" t="n">
        <f aca="false">'3. The decision'!$B$8*'3. The decision'!$B$5/J193</f>
        <v>35.3091979966747</v>
      </c>
      <c r="M193" s="31" t="n">
        <f aca="false">L193*'3. The decision'!$B$6*'3. The decision'!$B$7*K193</f>
        <v>1013557.69485474</v>
      </c>
      <c r="N193" s="31" t="n">
        <f aca="false">M193*(1+'3. The decision'!$B$19+'3. The decision'!$B$20+'3. The decision'!$B$22)</f>
        <v>1120994.81050934</v>
      </c>
      <c r="O193" s="31" t="n">
        <f aca="false">'3. The decision'!$B$17+'3. The decision'!$B$18*L193*12+M193*('3. The decision'!$B$20*(1-'3. The decision'!$B$21)+'3. The decision'!$B$23)+N193*('3. The decision'!$B$24+'3. The decision'!$B$25)</f>
        <v>590473.6919113</v>
      </c>
      <c r="P193" s="31" t="n">
        <f aca="false">N193-O193</f>
        <v>530521.118598041</v>
      </c>
    </row>
    <row r="194" customFormat="false" ht="15" hidden="false" customHeight="false" outlineLevel="0" collapsed="false">
      <c r="A194" s="27" t="n">
        <f aca="false">43*0.0025</f>
        <v>0.1075</v>
      </c>
      <c r="B194" s="27" t="n">
        <f aca="false">IF(A194&gt;0,MIN('3. The decision'!$B$15,'3. The decision'!$B$29*(A194/'3. The decision'!$B$28)^$B$148),0)</f>
        <v>0.0515597114812611</v>
      </c>
      <c r="C194" s="15" t="n">
        <f aca="false">(1-'3. The decision'!$B$27-B194)*(1-'3. The decision'!$B$27)^('3. The decision'!$B$12-1)</f>
        <v>0.625188230766907</v>
      </c>
      <c r="D194" s="15" t="n">
        <f aca="false">1+(1-'3. The decision'!$B$27-B194)*(1-(1-'3. The decision'!$B$27)^('3. The decision'!$B$12-1))/'3. The decision'!$B$27</f>
        <v>4.86093319927566</v>
      </c>
      <c r="E194" s="15" t="n">
        <f aca="false">(1-'3. The decision'!$B$14)*(1-'3. The decision'!$B$27)^('3. The decision'!$B$11-1)</f>
        <v>0.690273454655712</v>
      </c>
      <c r="F194" s="15" t="n">
        <f aca="false">1+(1-'3. The decision'!$B$14)*(1-(1-'3. The decision'!$B$27)^('3. The decision'!$B$11-1))/'3. The decision'!$B$27</f>
        <v>4.28912098262087</v>
      </c>
      <c r="G194" s="15" t="n">
        <f aca="false">(1-(1-'3. The decision'!$B$9*MIN(1,('3. The decision'!$B$10/(52/12)))))+(1-(1-'3. The decision'!$B$9*MAX(0,MIN(1,('3. The decision'!$B$10/(52/12))-1))))*(1-'3. The decision'!$B$14)+(1-(1-'3. The decision'!$B$9*MAX(0,MIN(1,('3. The decision'!$B$10/(52/12))-2))))*(1-'3. The decision'!$B$14)*(1-'3. The decision'!$B$27)</f>
        <v>0.884576923076923</v>
      </c>
      <c r="H194" s="15" t="n">
        <f aca="false">IF(A194&lt;=0,0,MAX(0,ROUNDUP(LN('3. The decision'!$B$13)/LN(1+A194)-0.000000000001,0)-1))</f>
        <v>4</v>
      </c>
      <c r="I194" s="15" t="n">
        <f aca="false">IF(A194&lt;=0,1/(1-C194),(1+A194)*(1-(C194*(1+A194))^H194)/(1-C194*(1+A194))+'3. The decision'!$B$13*C194^H194/(1-C194))</f>
        <v>3.43321003091867</v>
      </c>
      <c r="J194" s="17" t="n">
        <f aca="false">F194+E194*D194/(1-C194)</f>
        <v>13.2412762449279</v>
      </c>
      <c r="K194" s="15" t="n">
        <f aca="false">F194-G194+E194*D194*I194</f>
        <v>14.9242448235458</v>
      </c>
      <c r="L194" s="17" t="n">
        <f aca="false">'3. The decision'!$B$8*'3. The decision'!$B$5/J194</f>
        <v>35.4678802339688</v>
      </c>
      <c r="M194" s="31" t="n">
        <f aca="false">L194*'3. The decision'!$B$6*'3. The decision'!$B$7*K194</f>
        <v>1015270.04747761</v>
      </c>
      <c r="N194" s="31" t="n">
        <f aca="false">M194*(1+'3. The decision'!$B$19+'3. The decision'!$B$20+'3. The decision'!$B$22)</f>
        <v>1122888.67251024</v>
      </c>
      <c r="O194" s="31" t="n">
        <f aca="false">'3. The decision'!$B$17+'3. The decision'!$B$18*L194*12+M194*('3. The decision'!$B$20*(1-'3. The decision'!$B$21)+'3. The decision'!$B$23)+N194*('3. The decision'!$B$24+'3. The decision'!$B$25)</f>
        <v>590898.364284742</v>
      </c>
      <c r="P194" s="31" t="n">
        <f aca="false">N194-O194</f>
        <v>531990.308225498</v>
      </c>
    </row>
    <row r="195" customFormat="false" ht="15" hidden="false" customHeight="false" outlineLevel="0" collapsed="false">
      <c r="A195" s="27" t="n">
        <f aca="false">44*0.0025</f>
        <v>0.11</v>
      </c>
      <c r="B195" s="27" t="n">
        <f aca="false">IF(A195&gt;0,MIN('3. The decision'!$B$15,'3. The decision'!$B$29*(A195/'3. The decision'!$B$28)^$B$148),0)</f>
        <v>0.0539857227840571</v>
      </c>
      <c r="C195" s="15" t="n">
        <f aca="false">(1-'3. The decision'!$B$27-B195)*(1-'3. The decision'!$B$27)^('3. The decision'!$B$12-1)</f>
        <v>0.623468484278443</v>
      </c>
      <c r="D195" s="15" t="n">
        <f aca="false">1+(1-'3. The decision'!$B$27-B195)*(1-(1-'3. The decision'!$B$27)^('3. The decision'!$B$12-1))/'3. The decision'!$B$27</f>
        <v>4.85031267575188</v>
      </c>
      <c r="E195" s="15" t="n">
        <f aca="false">(1-'3. The decision'!$B$14)*(1-'3. The decision'!$B$27)^('3. The decision'!$B$11-1)</f>
        <v>0.690273454655712</v>
      </c>
      <c r="F195" s="15" t="n">
        <f aca="false">1+(1-'3. The decision'!$B$14)*(1-(1-'3. The decision'!$B$27)^('3. The decision'!$B$11-1))/'3. The decision'!$B$27</f>
        <v>4.28912098262087</v>
      </c>
      <c r="G195" s="15" t="n">
        <f aca="false">(1-(1-'3. The decision'!$B$9*MIN(1,('3. The decision'!$B$10/(52/12)))))+(1-(1-'3. The decision'!$B$9*MAX(0,MIN(1,('3. The decision'!$B$10/(52/12))-1))))*(1-'3. The decision'!$B$14)+(1-(1-'3. The decision'!$B$9*MAX(0,MIN(1,('3. The decision'!$B$10/(52/12))-2))))*(1-'3. The decision'!$B$14)*(1-'3. The decision'!$B$27)</f>
        <v>0.884576923076923</v>
      </c>
      <c r="H195" s="15" t="n">
        <f aca="false">IF(A195&lt;=0,0,MAX(0,ROUNDUP(LN('3. The decision'!$B$13)/LN(1+A195)-0.000000000001,0)-1))</f>
        <v>4</v>
      </c>
      <c r="I195" s="15" t="n">
        <f aca="false">IF(A195&lt;=0,1/(1-C195),(1+A195)*(1-(C195*(1+A195))^H195)/(1-C195*(1+A195))+'3. The decision'!$B$13*C195^H195/(1-C195))</f>
        <v>3.42778351295905</v>
      </c>
      <c r="J195" s="17" t="n">
        <f aca="false">F195+E195*D195/(1-C195)</f>
        <v>13.1809187394055</v>
      </c>
      <c r="K195" s="15" t="n">
        <f aca="false">F195-G195+E195*D195*I195</f>
        <v>14.880907525547</v>
      </c>
      <c r="L195" s="17" t="n">
        <f aca="false">'3. The decision'!$B$8*'3. The decision'!$B$5/J195</f>
        <v>35.6302932508014</v>
      </c>
      <c r="M195" s="31" t="n">
        <f aca="false">L195*'3. The decision'!$B$6*'3. The decision'!$B$7*K195</f>
        <v>1016957.4691111</v>
      </c>
      <c r="N195" s="31" t="n">
        <f aca="false">M195*(1+'3. The decision'!$B$19+'3. The decision'!$B$20+'3. The decision'!$B$22)</f>
        <v>1124754.96083688</v>
      </c>
      <c r="O195" s="31" t="n">
        <f aca="false">'3. The decision'!$B$17+'3. The decision'!$B$18*L195*12+M195*('3. The decision'!$B$20*(1-'3. The decision'!$B$21)+'3. The decision'!$B$23)+N195*('3. The decision'!$B$24+'3. The decision'!$B$25)</f>
        <v>591326.00491639</v>
      </c>
      <c r="P195" s="31" t="n">
        <f aca="false">N195-O195</f>
        <v>533428.955920486</v>
      </c>
    </row>
    <row r="196" customFormat="false" ht="15" hidden="false" customHeight="false" outlineLevel="0" collapsed="false">
      <c r="A196" s="27" t="n">
        <f aca="false">45*0.0025</f>
        <v>0.1125</v>
      </c>
      <c r="B196" s="27" t="n">
        <f aca="false">IF(A196&gt;0,MIN('3. The decision'!$B$15,'3. The decision'!$B$29*(A196/'3. The decision'!$B$28)^$B$148),0)</f>
        <v>0.05646750446163</v>
      </c>
      <c r="C196" s="15" t="n">
        <f aca="false">(1-'3. The decision'!$B$27-B196)*(1-'3. The decision'!$B$27)^('3. The decision'!$B$12-1)</f>
        <v>0.621709203387945</v>
      </c>
      <c r="D196" s="15" t="n">
        <f aca="false">1+(1-'3. The decision'!$B$27-B196)*(1-(1-'3. The decision'!$B$27)^('3. The decision'!$B$12-1))/'3. The decision'!$B$27</f>
        <v>4.83944800226204</v>
      </c>
      <c r="E196" s="15" t="n">
        <f aca="false">(1-'3. The decision'!$B$14)*(1-'3. The decision'!$B$27)^('3. The decision'!$B$11-1)</f>
        <v>0.690273454655712</v>
      </c>
      <c r="F196" s="15" t="n">
        <f aca="false">1+(1-'3. The decision'!$B$14)*(1-(1-'3. The decision'!$B$27)^('3. The decision'!$B$11-1))/'3. The decision'!$B$27</f>
        <v>4.28912098262087</v>
      </c>
      <c r="G196" s="15" t="n">
        <f aca="false">(1-(1-'3. The decision'!$B$9*MIN(1,('3. The decision'!$B$10/(52/12)))))+(1-(1-'3. The decision'!$B$9*MAX(0,MIN(1,('3. The decision'!$B$10/(52/12))-1))))*(1-'3. The decision'!$B$14)+(1-(1-'3. The decision'!$B$9*MAX(0,MIN(1,('3. The decision'!$B$10/(52/12))-2))))*(1-'3. The decision'!$B$14)*(1-'3. The decision'!$B$27)</f>
        <v>0.884576923076923</v>
      </c>
      <c r="H196" s="15" t="n">
        <f aca="false">IF(A196&lt;=0,0,MAX(0,ROUNDUP(LN('3. The decision'!$B$13)/LN(1+A196)-0.000000000001,0)-1))</f>
        <v>4</v>
      </c>
      <c r="I196" s="15" t="n">
        <f aca="false">IF(A196&lt;=0,1/(1-C196),(1+A196)*(1-(C196*(1+A196))^H196)/(1-C196*(1+A196))+'3. The decision'!$B$13*C196^H196/(1-C196))</f>
        <v>3.42205019020233</v>
      </c>
      <c r="J196" s="17" t="n">
        <f aca="false">F196+E196*D196/(1-C196)</f>
        <v>13.119741555645</v>
      </c>
      <c r="K196" s="15" t="n">
        <f aca="false">F196-G196+E196*D196*I196</f>
        <v>14.8360481267563</v>
      </c>
      <c r="L196" s="17" t="n">
        <f aca="false">'3. The decision'!$B$8*'3. The decision'!$B$5/J196</f>
        <v>35.7964368435237</v>
      </c>
      <c r="M196" s="31" t="n">
        <f aca="false">L196*'3. The decision'!$B$6*'3. The decision'!$B$7*K196</f>
        <v>1018619.55329489</v>
      </c>
      <c r="N196" s="31" t="n">
        <f aca="false">M196*(1+'3. The decision'!$B$19+'3. The decision'!$B$20+'3. The decision'!$B$22)</f>
        <v>1126593.22594415</v>
      </c>
      <c r="O196" s="31" t="n">
        <f aca="false">'3. The decision'!$B$17+'3. The decision'!$B$18*L196*12+M196*('3. The decision'!$B$20*(1-'3. The decision'!$B$21)+'3. The decision'!$B$23)+N196*('3. The decision'!$B$24+'3. The decision'!$B$25)</f>
        <v>591756.569751647</v>
      </c>
      <c r="P196" s="31" t="n">
        <f aca="false">N196-O196</f>
        <v>534836.656192499</v>
      </c>
    </row>
    <row r="197" customFormat="false" ht="15" hidden="false" customHeight="false" outlineLevel="0" collapsed="false">
      <c r="A197" s="27" t="n">
        <f aca="false">46*0.0025</f>
        <v>0.115</v>
      </c>
      <c r="B197" s="27" t="n">
        <f aca="false">IF(A197&gt;0,MIN('3. The decision'!$B$15,'3. The decision'!$B$29*(A197/'3. The decision'!$B$28)^$B$148),0)</f>
        <v>0.0590050565139798</v>
      </c>
      <c r="C197" s="15" t="n">
        <f aca="false">(1-'3. The decision'!$B$27-B197)*(1-'3. The decision'!$B$27)^('3. The decision'!$B$12-1)</f>
        <v>0.619910388095413</v>
      </c>
      <c r="D197" s="15" t="n">
        <f aca="false">1+(1-'3. The decision'!$B$27-B197)*(1-(1-'3. The decision'!$B$27)^('3. The decision'!$B$12-1))/'3. The decision'!$B$27</f>
        <v>4.82833917880613</v>
      </c>
      <c r="E197" s="15" t="n">
        <f aca="false">(1-'3. The decision'!$B$14)*(1-'3. The decision'!$B$27)^('3. The decision'!$B$11-1)</f>
        <v>0.690273454655712</v>
      </c>
      <c r="F197" s="15" t="n">
        <f aca="false">1+(1-'3. The decision'!$B$14)*(1-(1-'3. The decision'!$B$27)^('3. The decision'!$B$11-1))/'3. The decision'!$B$27</f>
        <v>4.28912098262087</v>
      </c>
      <c r="G197" s="15" t="n">
        <f aca="false">(1-(1-'3. The decision'!$B$9*MIN(1,('3. The decision'!$B$10/(52/12)))))+(1-(1-'3. The decision'!$B$9*MAX(0,MIN(1,('3. The decision'!$B$10/(52/12))-1))))*(1-'3. The decision'!$B$14)+(1-(1-'3. The decision'!$B$9*MAX(0,MIN(1,('3. The decision'!$B$10/(52/12))-2))))*(1-'3. The decision'!$B$14)*(1-'3. The decision'!$B$27)</f>
        <v>0.884576923076923</v>
      </c>
      <c r="H197" s="15" t="n">
        <f aca="false">IF(A197&lt;=0,0,MAX(0,ROUNDUP(LN('3. The decision'!$B$13)/LN(1+A197)-0.000000000001,0)-1))</f>
        <v>4</v>
      </c>
      <c r="I197" s="15" t="n">
        <f aca="false">IF(A197&lt;=0,1/(1-C197),(1+A197)*(1-(C197*(1+A197))^H197)/(1-C197*(1+A197))+'3. The decision'!$B$13*C197^H197/(1-C197))</f>
        <v>3.41601581192647</v>
      </c>
      <c r="J197" s="17" t="n">
        <f aca="false">F197+E197*D197/(1-C197)</f>
        <v>13.0577751652579</v>
      </c>
      <c r="K197" s="15" t="n">
        <f aca="false">F197-G197+E197*D197*I197</f>
        <v>14.7896955902453</v>
      </c>
      <c r="L197" s="17" t="n">
        <f aca="false">'3. The decision'!$B$8*'3. The decision'!$B$5/J197</f>
        <v>35.9663108038149</v>
      </c>
      <c r="M197" s="31" t="n">
        <f aca="false">L197*'3. The decision'!$B$6*'3. The decision'!$B$7*K197</f>
        <v>1020255.87403166</v>
      </c>
      <c r="N197" s="31" t="n">
        <f aca="false">M197*(1+'3. The decision'!$B$19+'3. The decision'!$B$20+'3. The decision'!$B$22)</f>
        <v>1128402.99667902</v>
      </c>
      <c r="O197" s="31" t="n">
        <f aca="false">'3. The decision'!$B$17+'3. The decision'!$B$18*L197*12+M197*('3. The decision'!$B$20*(1-'3. The decision'!$B$21)+'3. The decision'!$B$23)+N197*('3. The decision'!$B$24+'3. The decision'!$B$25)</f>
        <v>592190.012626127</v>
      </c>
      <c r="P197" s="31" t="n">
        <f aca="false">N197-O197</f>
        <v>536212.984052889</v>
      </c>
    </row>
    <row r="198" customFormat="false" ht="15" hidden="false" customHeight="false" outlineLevel="0" collapsed="false">
      <c r="A198" s="27" t="n">
        <f aca="false">47*0.0025</f>
        <v>0.1175</v>
      </c>
      <c r="B198" s="27" t="n">
        <f aca="false">IF(A198&gt;0,MIN('3. The decision'!$B$15,'3. The decision'!$B$29*(A198/'3. The decision'!$B$28)^$B$148),0)</f>
        <v>0.0615983789411065</v>
      </c>
      <c r="C198" s="15" t="n">
        <f aca="false">(1-'3. The decision'!$B$27-B198)*(1-'3. The decision'!$B$27)^('3. The decision'!$B$12-1)</f>
        <v>0.618072038400847</v>
      </c>
      <c r="D198" s="15" t="n">
        <f aca="false">1+(1-'3. The decision'!$B$27-B198)*(1-(1-'3. The decision'!$B$27)^('3. The decision'!$B$12-1))/'3. The decision'!$B$27</f>
        <v>4.81698620538416</v>
      </c>
      <c r="E198" s="15" t="n">
        <f aca="false">(1-'3. The decision'!$B$14)*(1-'3. The decision'!$B$27)^('3. The decision'!$B$11-1)</f>
        <v>0.690273454655712</v>
      </c>
      <c r="F198" s="15" t="n">
        <f aca="false">1+(1-'3. The decision'!$B$14)*(1-(1-'3. The decision'!$B$27)^('3. The decision'!$B$11-1))/'3. The decision'!$B$27</f>
        <v>4.28912098262087</v>
      </c>
      <c r="G198" s="15" t="n">
        <f aca="false">(1-(1-'3. The decision'!$B$9*MIN(1,('3. The decision'!$B$10/(52/12)))))+(1-(1-'3. The decision'!$B$9*MAX(0,MIN(1,('3. The decision'!$B$10/(52/12))-1))))*(1-'3. The decision'!$B$14)+(1-(1-'3. The decision'!$B$9*MAX(0,MIN(1,('3. The decision'!$B$10/(52/12))-2))))*(1-'3. The decision'!$B$14)*(1-'3. The decision'!$B$27)</f>
        <v>0.884576923076923</v>
      </c>
      <c r="H198" s="15" t="n">
        <f aca="false">IF(A198&lt;=0,0,MAX(0,ROUNDUP(LN('3. The decision'!$B$13)/LN(1+A198)-0.000000000001,0)-1))</f>
        <v>4</v>
      </c>
      <c r="I198" s="15" t="n">
        <f aca="false">IF(A198&lt;=0,1/(1-C198),(1+A198)*(1-(C198*(1+A198))^H198)/(1-C198*(1+A198))+'3. The decision'!$B$13*C198^H198/(1-C198))</f>
        <v>3.40968611907501</v>
      </c>
      <c r="J198" s="17" t="n">
        <f aca="false">F198+E198*D198/(1-C198)</f>
        <v>12.995049962257</v>
      </c>
      <c r="K198" s="15" t="n">
        <f aca="false">F198-G198+E198*D198*I198</f>
        <v>14.7418789813885</v>
      </c>
      <c r="L198" s="17" t="n">
        <f aca="false">'3. The decision'!$B$8*'3. The decision'!$B$5/J198</f>
        <v>36.1399149186827</v>
      </c>
      <c r="M198" s="31" t="n">
        <f aca="false">L198*'3. The decision'!$B$6*'3. The decision'!$B$7*K198</f>
        <v>1021865.98558921</v>
      </c>
      <c r="N198" s="31" t="n">
        <f aca="false">M198*(1+'3. The decision'!$B$19+'3. The decision'!$B$20+'3. The decision'!$B$22)</f>
        <v>1130183.78006166</v>
      </c>
      <c r="O198" s="31" t="n">
        <f aca="false">'3. The decision'!$B$17+'3. The decision'!$B$18*L198*12+M198*('3. The decision'!$B$20*(1-'3. The decision'!$B$21)+'3. The decision'!$B$23)+N198*('3. The decision'!$B$24+'3. The decision'!$B$25)</f>
        <v>592626.285244363</v>
      </c>
      <c r="P198" s="31" t="n">
        <f aca="false">N198-O198</f>
        <v>537557.494817299</v>
      </c>
    </row>
    <row r="199" customFormat="false" ht="15" hidden="false" customHeight="false" outlineLevel="0" collapsed="false">
      <c r="A199" s="27" t="n">
        <f aca="false">48*0.0025</f>
        <v>0.12</v>
      </c>
      <c r="B199" s="27" t="n">
        <f aca="false">IF(A199&gt;0,MIN('3. The decision'!$B$15,'3. The decision'!$B$29*(A199/'3. The decision'!$B$28)^$B$148),0)</f>
        <v>0.0642474717430101</v>
      </c>
      <c r="C199" s="15" t="n">
        <f aca="false">(1-'3. The decision'!$B$27-B199)*(1-'3. The decision'!$B$27)^('3. The decision'!$B$12-1)</f>
        <v>0.616194154304248</v>
      </c>
      <c r="D199" s="15" t="n">
        <f aca="false">1+(1-'3. The decision'!$B$27-B199)*(1-(1-'3. The decision'!$B$27)^('3. The decision'!$B$12-1))/'3. The decision'!$B$27</f>
        <v>4.80538908199612</v>
      </c>
      <c r="E199" s="15" t="n">
        <f aca="false">(1-'3. The decision'!$B$14)*(1-'3. The decision'!$B$27)^('3. The decision'!$B$11-1)</f>
        <v>0.690273454655712</v>
      </c>
      <c r="F199" s="15" t="n">
        <f aca="false">1+(1-'3. The decision'!$B$14)*(1-(1-'3. The decision'!$B$27)^('3. The decision'!$B$11-1))/'3. The decision'!$B$27</f>
        <v>4.28912098262087</v>
      </c>
      <c r="G199" s="15" t="n">
        <f aca="false">(1-(1-'3. The decision'!$B$9*MIN(1,('3. The decision'!$B$10/(52/12)))))+(1-(1-'3. The decision'!$B$9*MAX(0,MIN(1,('3. The decision'!$B$10/(52/12))-1))))*(1-'3. The decision'!$B$14)+(1-(1-'3. The decision'!$B$9*MAX(0,MIN(1,('3. The decision'!$B$10/(52/12))-2))))*(1-'3. The decision'!$B$14)*(1-'3. The decision'!$B$27)</f>
        <v>0.884576923076923</v>
      </c>
      <c r="H199" s="15" t="n">
        <f aca="false">IF(A199&lt;=0,0,MAX(0,ROUNDUP(LN('3. The decision'!$B$13)/LN(1+A199)-0.000000000001,0)-1))</f>
        <v>4</v>
      </c>
      <c r="I199" s="15" t="n">
        <f aca="false">IF(A199&lt;=0,1/(1-C199),(1+A199)*(1-(C199*(1+A199))^H199)/(1-C199*(1+A199))+'3. The decision'!$B$13*C199^H199/(1-C199))</f>
        <v>3.40306683665191</v>
      </c>
      <c r="J199" s="17" t="n">
        <f aca="false">F199+E199*D199/(1-C199)</f>
        <v>12.9315962335678</v>
      </c>
      <c r="K199" s="15" t="n">
        <f aca="false">F199-G199+E199*D199*I199</f>
        <v>14.6926274332804</v>
      </c>
      <c r="L199" s="17" t="n">
        <f aca="false">'3. The decision'!$B$8*'3. The decision'!$B$5/J199</f>
        <v>36.3172489704642</v>
      </c>
      <c r="M199" s="31" t="n">
        <f aca="false">L199*'3. The decision'!$B$6*'3. The decision'!$B$7*K199</f>
        <v>1023449.42234587</v>
      </c>
      <c r="N199" s="31" t="n">
        <f aca="false">M199*(1+'3. The decision'!$B$19+'3. The decision'!$B$20+'3. The decision'!$B$22)</f>
        <v>1131935.06111453</v>
      </c>
      <c r="O199" s="31" t="n">
        <f aca="false">'3. The decision'!$B$17+'3. The decision'!$B$18*L199*12+M199*('3. The decision'!$B$20*(1-'3. The decision'!$B$21)+'3. The decision'!$B$23)+N199*('3. The decision'!$B$24+'3. The decision'!$B$25)</f>
        <v>593065.33716317</v>
      </c>
      <c r="P199" s="31" t="n">
        <f aca="false">N199-O199</f>
        <v>538869.723951359</v>
      </c>
    </row>
    <row r="200" customFormat="false" ht="15" hidden="false" customHeight="false" outlineLevel="0" collapsed="false">
      <c r="A200" s="27" t="n">
        <f aca="false">49*0.0025</f>
        <v>0.1225</v>
      </c>
      <c r="B200" s="27" t="n">
        <f aca="false">IF(A200&gt;0,MIN('3. The decision'!$B$15,'3. The decision'!$B$29*(A200/'3. The decision'!$B$28)^$B$148),0)</f>
        <v>0.0669523349196907</v>
      </c>
      <c r="C200" s="15" t="n">
        <f aca="false">(1-'3. The decision'!$B$27-B200)*(1-'3. The decision'!$B$27)^('3. The decision'!$B$12-1)</f>
        <v>0.614276735805615</v>
      </c>
      <c r="D200" s="15" t="n">
        <f aca="false">1+(1-'3. The decision'!$B$27-B200)*(1-(1-'3. The decision'!$B$27)^('3. The decision'!$B$12-1))/'3. The decision'!$B$27</f>
        <v>4.79354780864202</v>
      </c>
      <c r="E200" s="15" t="n">
        <f aca="false">(1-'3. The decision'!$B$14)*(1-'3. The decision'!$B$27)^('3. The decision'!$B$11-1)</f>
        <v>0.690273454655712</v>
      </c>
      <c r="F200" s="15" t="n">
        <f aca="false">1+(1-'3. The decision'!$B$14)*(1-(1-'3. The decision'!$B$27)^('3. The decision'!$B$11-1))/'3. The decision'!$B$27</f>
        <v>4.28912098262087</v>
      </c>
      <c r="G200" s="15" t="n">
        <f aca="false">(1-(1-'3. The decision'!$B$9*MIN(1,('3. The decision'!$B$10/(52/12)))))+(1-(1-'3. The decision'!$B$9*MAX(0,MIN(1,('3. The decision'!$B$10/(52/12))-1))))*(1-'3. The decision'!$B$14)+(1-(1-'3. The decision'!$B$9*MAX(0,MIN(1,('3. The decision'!$B$10/(52/12))-2))))*(1-'3. The decision'!$B$14)*(1-'3. The decision'!$B$27)</f>
        <v>0.884576923076923</v>
      </c>
      <c r="H200" s="15" t="n">
        <f aca="false">IF(A200&lt;=0,0,MAX(0,ROUNDUP(LN('3. The decision'!$B$13)/LN(1+A200)-0.000000000001,0)-1))</f>
        <v>4</v>
      </c>
      <c r="I200" s="15" t="n">
        <f aca="false">IF(A200&lt;=0,1/(1-C200),(1+A200)*(1-(C200*(1+A200))^H200)/(1-C200*(1+A200))+'3. The decision'!$B$13*C200^H200/(1-C200))</f>
        <v>3.39616366645269</v>
      </c>
      <c r="J200" s="17" t="n">
        <f aca="false">F200+E200*D200/(1-C200)</f>
        <v>12.8674441305375</v>
      </c>
      <c r="K200" s="15" t="n">
        <f aca="false">F200-G200+E200*D200*I200</f>
        <v>14.6419701136609</v>
      </c>
      <c r="L200" s="17" t="n">
        <f aca="false">'3. The decision'!$B$8*'3. The decision'!$B$5/J200</f>
        <v>36.4983127368265</v>
      </c>
      <c r="M200" s="31" t="n">
        <f aca="false">L200*'3. The decision'!$B$6*'3. The decision'!$B$7*K200</f>
        <v>1025005.69868032</v>
      </c>
      <c r="N200" s="31" t="n">
        <f aca="false">M200*(1+'3. The decision'!$B$19+'3. The decision'!$B$20+'3. The decision'!$B$22)</f>
        <v>1133656.30274044</v>
      </c>
      <c r="O200" s="31" t="n">
        <f aca="false">'3. The decision'!$B$17+'3. The decision'!$B$18*L200*12+M200*('3. The decision'!$B$20*(1-'3. The decision'!$B$21)+'3. The decision'!$B$23)+N200*('3. The decision'!$B$24+'3. The decision'!$B$25)</f>
        <v>593507.115779784</v>
      </c>
      <c r="P200" s="31" t="n">
        <f aca="false">N200-O200</f>
        <v>540149.186960652</v>
      </c>
    </row>
    <row r="201" customFormat="false" ht="15" hidden="false" customHeight="false" outlineLevel="0" collapsed="false">
      <c r="A201" s="27" t="n">
        <f aca="false">50*0.0025</f>
        <v>0.125</v>
      </c>
      <c r="B201" s="27" t="n">
        <f aca="false">IF(A201&gt;0,MIN('3. The decision'!$B$15,'3. The decision'!$B$29*(A201/'3. The decision'!$B$28)^$B$148),0)</f>
        <v>0.0697129684711481</v>
      </c>
      <c r="C201" s="15" t="n">
        <f aca="false">(1-'3. The decision'!$B$27-B201)*(1-'3. The decision'!$B$27)^('3. The decision'!$B$12-1)</f>
        <v>0.612319782904948</v>
      </c>
      <c r="D201" s="15" t="n">
        <f aca="false">1+(1-'3. The decision'!$B$27-B201)*(1-(1-'3. The decision'!$B$27)^('3. The decision'!$B$12-1))/'3. The decision'!$B$27</f>
        <v>4.78146238532186</v>
      </c>
      <c r="E201" s="15" t="n">
        <f aca="false">(1-'3. The decision'!$B$14)*(1-'3. The decision'!$B$27)^('3. The decision'!$B$11-1)</f>
        <v>0.690273454655712</v>
      </c>
      <c r="F201" s="15" t="n">
        <f aca="false">1+(1-'3. The decision'!$B$14)*(1-(1-'3. The decision'!$B$27)^('3. The decision'!$B$11-1))/'3. The decision'!$B$27</f>
        <v>4.28912098262087</v>
      </c>
      <c r="G201" s="15" t="n">
        <f aca="false">(1-(1-'3. The decision'!$B$9*MIN(1,('3. The decision'!$B$10/(52/12)))))+(1-(1-'3. The decision'!$B$9*MAX(0,MIN(1,('3. The decision'!$B$10/(52/12))-1))))*(1-'3. The decision'!$B$14)+(1-(1-'3. The decision'!$B$9*MAX(0,MIN(1,('3. The decision'!$B$10/(52/12))-2))))*(1-'3. The decision'!$B$14)*(1-'3. The decision'!$B$27)</f>
        <v>0.884576923076923</v>
      </c>
      <c r="H201" s="15" t="n">
        <f aca="false">IF(A201&lt;=0,0,MAX(0,ROUNDUP(LN('3. The decision'!$B$13)/LN(1+A201)-0.000000000001,0)-1))</f>
        <v>4</v>
      </c>
      <c r="I201" s="15" t="n">
        <f aca="false">IF(A201&lt;=0,1/(1-C201),(1+A201)*(1-(C201*(1+A201))^H201)/(1-C201*(1+A201))+'3. The decision'!$B$13*C201^H201/(1-C201))</f>
        <v>3.38898228014007</v>
      </c>
      <c r="J201" s="17" t="n">
        <f aca="false">F201+E201*D201/(1-C201)</f>
        <v>12.8026236414714</v>
      </c>
      <c r="K201" s="15" t="n">
        <f aca="false">F201-G201+E201*D201*I201</f>
        <v>14.58993619338</v>
      </c>
      <c r="L201" s="17" t="n">
        <f aca="false">'3. The decision'!$B$8*'3. The decision'!$B$5/J201</f>
        <v>36.6831059907675</v>
      </c>
      <c r="M201" s="31" t="n">
        <f aca="false">L201*'3. The decision'!$B$6*'3. The decision'!$B$7*K201</f>
        <v>1026534.3089067</v>
      </c>
      <c r="N201" s="31" t="n">
        <f aca="false">M201*(1+'3. The decision'!$B$19+'3. The decision'!$B$20+'3. The decision'!$B$22)</f>
        <v>1135346.94565081</v>
      </c>
      <c r="O201" s="31" t="n">
        <f aca="false">'3. The decision'!$B$17+'3. The decision'!$B$18*L201*12+M201*('3. The decision'!$B$20*(1-'3. The decision'!$B$21)+'3. The decision'!$B$23)+N201*('3. The decision'!$B$24+'3. The decision'!$B$25)</f>
        <v>593951.566324883</v>
      </c>
      <c r="P201" s="31" t="n">
        <f aca="false">N201-O201</f>
        <v>541395.379325931</v>
      </c>
    </row>
    <row r="202" customFormat="false" ht="15" hidden="false" customHeight="false" outlineLevel="0" collapsed="false">
      <c r="A202" s="27" t="n">
        <f aca="false">51*0.0025</f>
        <v>0.1275</v>
      </c>
      <c r="B202" s="27" t="n">
        <f aca="false">IF(A202&gt;0,MIN('3. The decision'!$B$15,'3. The decision'!$B$29*(A202/'3. The decision'!$B$28)^$B$148),0)</f>
        <v>0.0725293723973825</v>
      </c>
      <c r="C202" s="15" t="n">
        <f aca="false">(1-'3. The decision'!$B$27-B202)*(1-'3. The decision'!$B$27)^('3. The decision'!$B$12-1)</f>
        <v>0.610323295602248</v>
      </c>
      <c r="D202" s="15" t="n">
        <f aca="false">1+(1-'3. The decision'!$B$27-B202)*(1-(1-'3. The decision'!$B$27)^('3. The decision'!$B$12-1))/'3. The decision'!$B$27</f>
        <v>4.76913281203563</v>
      </c>
      <c r="E202" s="15" t="n">
        <f aca="false">(1-'3. The decision'!$B$14)*(1-'3. The decision'!$B$27)^('3. The decision'!$B$11-1)</f>
        <v>0.690273454655712</v>
      </c>
      <c r="F202" s="15" t="n">
        <f aca="false">1+(1-'3. The decision'!$B$14)*(1-(1-'3. The decision'!$B$27)^('3. The decision'!$B$11-1))/'3. The decision'!$B$27</f>
        <v>4.28912098262087</v>
      </c>
      <c r="G202" s="15" t="n">
        <f aca="false">(1-(1-'3. The decision'!$B$9*MIN(1,('3. The decision'!$B$10/(52/12)))))+(1-(1-'3. The decision'!$B$9*MAX(0,MIN(1,('3. The decision'!$B$10/(52/12))-1))))*(1-'3. The decision'!$B$14)+(1-(1-'3. The decision'!$B$9*MAX(0,MIN(1,('3. The decision'!$B$10/(52/12))-2))))*(1-'3. The decision'!$B$14)*(1-'3. The decision'!$B$27)</f>
        <v>0.884576923076923</v>
      </c>
      <c r="H202" s="15" t="n">
        <f aca="false">IF(A202&lt;=0,0,MAX(0,ROUNDUP(LN('3. The decision'!$B$13)/LN(1+A202)-0.000000000001,0)-1))</f>
        <v>4</v>
      </c>
      <c r="I202" s="15" t="n">
        <f aca="false">IF(A202&lt;=0,1/(1-C202),(1+A202)*(1-(C202*(1+A202))^H202)/(1-C202*(1+A202))+'3. The decision'!$B$13*C202^H202/(1-C202))</f>
        <v>3.3815283126712</v>
      </c>
      <c r="J202" s="17" t="n">
        <f aca="false">F202+E202*D202/(1-C202)</f>
        <v>12.7371645652198</v>
      </c>
      <c r="K202" s="15" t="n">
        <f aca="false">F202-G202+E202*D202*I202</f>
        <v>14.5365548164341</v>
      </c>
      <c r="L202" s="17" t="n">
        <f aca="false">'3. The decision'!$B$8*'3. The decision'!$B$5/J202</f>
        <v>36.8716285006163</v>
      </c>
      <c r="M202" s="31" t="n">
        <f aca="false">L202*'3. The decision'!$B$6*'3. The decision'!$B$7*K202</f>
        <v>1028034.72725595</v>
      </c>
      <c r="N202" s="31" t="n">
        <f aca="false">M202*(1+'3. The decision'!$B$19+'3. The decision'!$B$20+'3. The decision'!$B$22)</f>
        <v>1137006.40834508</v>
      </c>
      <c r="O202" s="31" t="n">
        <f aca="false">'3. The decision'!$B$17+'3. The decision'!$B$18*L202*12+M202*('3. The decision'!$B$20*(1-'3. The decision'!$B$21)+'3. The decision'!$B$23)+N202*('3. The decision'!$B$24+'3. The decision'!$B$25)</f>
        <v>594398.631860576</v>
      </c>
      <c r="P202" s="31" t="n">
        <f aca="false">N202-O202</f>
        <v>542607.776484501</v>
      </c>
    </row>
    <row r="203" customFormat="false" ht="15" hidden="false" customHeight="false" outlineLevel="0" collapsed="false">
      <c r="A203" s="27" t="n">
        <f aca="false">52*0.0025</f>
        <v>0.13</v>
      </c>
      <c r="B203" s="27" t="n">
        <f aca="false">IF(A203&gt;0,MIN('3. The decision'!$B$15,'3. The decision'!$B$29*(A203/'3. The decision'!$B$28)^$B$148),0)</f>
        <v>0.0754015466983938</v>
      </c>
      <c r="C203" s="15" t="n">
        <f aca="false">(1-'3. The decision'!$B$27-B203)*(1-'3. The decision'!$B$27)^('3. The decision'!$B$12-1)</f>
        <v>0.608287273897514</v>
      </c>
      <c r="D203" s="15" t="n">
        <f aca="false">1+(1-'3. The decision'!$B$27-B203)*(1-(1-'3. The decision'!$B$27)^('3. The decision'!$B$12-1))/'3. The decision'!$B$27</f>
        <v>4.75655908878334</v>
      </c>
      <c r="E203" s="15" t="n">
        <f aca="false">(1-'3. The decision'!$B$14)*(1-'3. The decision'!$B$27)^('3. The decision'!$B$11-1)</f>
        <v>0.690273454655712</v>
      </c>
      <c r="F203" s="15" t="n">
        <f aca="false">1+(1-'3. The decision'!$B$14)*(1-(1-'3. The decision'!$B$27)^('3. The decision'!$B$11-1))/'3. The decision'!$B$27</f>
        <v>4.28912098262087</v>
      </c>
      <c r="G203" s="15" t="n">
        <f aca="false">(1-(1-'3. The decision'!$B$9*MIN(1,('3. The decision'!$B$10/(52/12)))))+(1-(1-'3. The decision'!$B$9*MAX(0,MIN(1,('3. The decision'!$B$10/(52/12))-1))))*(1-'3. The decision'!$B$14)+(1-(1-'3. The decision'!$B$9*MAX(0,MIN(1,('3. The decision'!$B$10/(52/12))-2))))*(1-'3. The decision'!$B$14)*(1-'3. The decision'!$B$27)</f>
        <v>0.884576923076923</v>
      </c>
      <c r="H203" s="15" t="n">
        <f aca="false">IF(A203&lt;=0,0,MAX(0,ROUNDUP(LN('3. The decision'!$B$13)/LN(1+A203)-0.000000000001,0)-1))</f>
        <v>3</v>
      </c>
      <c r="I203" s="15" t="n">
        <f aca="false">IF(A203&lt;=0,1/(1-C203),(1+A203)*(1-(C203*(1+A203))^H203)/(1-C203*(1+A203))+'3. The decision'!$B$13*C203^H203/(1-C203))</f>
        <v>3.37145001410316</v>
      </c>
      <c r="J203" s="17" t="n">
        <f aca="false">F203+E203*D203/(1-C203)</f>
        <v>12.6710964858356</v>
      </c>
      <c r="K203" s="15" t="n">
        <f aca="false">F203-G203+E203*D203*I203</f>
        <v>14.4741151482635</v>
      </c>
      <c r="L203" s="17" t="n">
        <f aca="false">'3. The decision'!$B$8*'3. The decision'!$B$5/J203</f>
        <v>37.0638800300343</v>
      </c>
      <c r="M203" s="31" t="n">
        <f aca="false">L203*'3. The decision'!$B$6*'3. The decision'!$B$7*K203</f>
        <v>1028956.18138807</v>
      </c>
      <c r="N203" s="31" t="n">
        <f aca="false">M203*(1+'3. The decision'!$B$19+'3. The decision'!$B$20+'3. The decision'!$B$22)</f>
        <v>1138025.53661521</v>
      </c>
      <c r="O203" s="31" t="n">
        <f aca="false">'3. The decision'!$B$17+'3. The decision'!$B$18*L203*12+M203*('3. The decision'!$B$20*(1-'3. The decision'!$B$21)+'3. The decision'!$B$23)+N203*('3. The decision'!$B$24+'3. The decision'!$B$25)</f>
        <v>594789.034054216</v>
      </c>
      <c r="P203" s="31" t="n">
        <f aca="false">N203-O203</f>
        <v>543236.502560993</v>
      </c>
    </row>
    <row r="204" customFormat="false" ht="15" hidden="false" customHeight="false" outlineLevel="0" collapsed="false">
      <c r="A204" s="27" t="n">
        <f aca="false">53*0.0025</f>
        <v>0.1325</v>
      </c>
      <c r="B204" s="27" t="n">
        <f aca="false">IF(A204&gt;0,MIN('3. The decision'!$B$15,'3. The decision'!$B$29*(A204/'3. The decision'!$B$28)^$B$148),0)</f>
        <v>0.0783294913741821</v>
      </c>
      <c r="C204" s="15" t="n">
        <f aca="false">(1-'3. The decision'!$B$27-B204)*(1-'3. The decision'!$B$27)^('3. The decision'!$B$12-1)</f>
        <v>0.606211717790747</v>
      </c>
      <c r="D204" s="15" t="n">
        <f aca="false">1+(1-'3. The decision'!$B$27-B204)*(1-(1-'3. The decision'!$B$27)^('3. The decision'!$B$12-1))/'3. The decision'!$B$27</f>
        <v>4.74374121556498</v>
      </c>
      <c r="E204" s="15" t="n">
        <f aca="false">(1-'3. The decision'!$B$14)*(1-'3. The decision'!$B$27)^('3. The decision'!$B$11-1)</f>
        <v>0.690273454655712</v>
      </c>
      <c r="F204" s="15" t="n">
        <f aca="false">1+(1-'3. The decision'!$B$14)*(1-(1-'3. The decision'!$B$27)^('3. The decision'!$B$11-1))/'3. The decision'!$B$27</f>
        <v>4.28912098262087</v>
      </c>
      <c r="G204" s="15" t="n">
        <f aca="false">(1-(1-'3. The decision'!$B$9*MIN(1,('3. The decision'!$B$10/(52/12)))))+(1-(1-'3. The decision'!$B$9*MAX(0,MIN(1,('3. The decision'!$B$10/(52/12))-1))))*(1-'3. The decision'!$B$14)+(1-(1-'3. The decision'!$B$9*MAX(0,MIN(1,('3. The decision'!$B$10/(52/12))-2))))*(1-'3. The decision'!$B$14)*(1-'3. The decision'!$B$27)</f>
        <v>0.884576923076923</v>
      </c>
      <c r="H204" s="15" t="n">
        <f aca="false">IF(A204&lt;=0,0,MAX(0,ROUNDUP(LN('3. The decision'!$B$13)/LN(1+A204)-0.000000000001,0)-1))</f>
        <v>3</v>
      </c>
      <c r="I204" s="15" t="n">
        <f aca="false">IF(A204&lt;=0,1/(1-C204),(1+A204)*(1-(C204*(1+A204))^H204)/(1-C204*(1+A204))+'3. The decision'!$B$13*C204^H204/(1-C204))</f>
        <v>3.36026651477806</v>
      </c>
      <c r="J204" s="17" t="n">
        <f aca="false">F204+E204*D204/(1-C204)</f>
        <v>12.6044487483179</v>
      </c>
      <c r="K204" s="15" t="n">
        <f aca="false">F204-G204+E204*D204*I204</f>
        <v>14.4076649763432</v>
      </c>
      <c r="L204" s="17" t="n">
        <f aca="false">'3. The decision'!$B$8*'3. The decision'!$B$5/J204</f>
        <v>37.2598603380157</v>
      </c>
      <c r="M204" s="31" t="n">
        <f aca="false">L204*'3. The decision'!$B$6*'3. The decision'!$B$7*K204</f>
        <v>1029648.04595774</v>
      </c>
      <c r="N204" s="31" t="n">
        <f aca="false">M204*(1+'3. The decision'!$B$19+'3. The decision'!$B$20+'3. The decision'!$B$22)</f>
        <v>1138790.73882926</v>
      </c>
      <c r="O204" s="31" t="n">
        <f aca="false">'3. The decision'!$B$17+'3. The decision'!$B$18*L204*12+M204*('3. The decision'!$B$20*(1-'3. The decision'!$B$21)+'3. The decision'!$B$23)+N204*('3. The decision'!$B$24+'3. The decision'!$B$25)</f>
        <v>595160.374686676</v>
      </c>
      <c r="P204" s="31" t="n">
        <f aca="false">N204-O204</f>
        <v>543630.364142582</v>
      </c>
    </row>
    <row r="205" customFormat="false" ht="15" hidden="false" customHeight="false" outlineLevel="0" collapsed="false">
      <c r="A205" s="27" t="n">
        <f aca="false">54*0.0025</f>
        <v>0.135</v>
      </c>
      <c r="B205" s="27" t="n">
        <f aca="false">IF(A205&gt;0,MIN('3. The decision'!$B$15,'3. The decision'!$B$29*(A205/'3. The decision'!$B$28)^$B$148),0)</f>
        <v>0.0813132064247472</v>
      </c>
      <c r="C205" s="15" t="n">
        <f aca="false">(1-'3. The decision'!$B$27-B205)*(1-'3. The decision'!$B$27)^('3. The decision'!$B$12-1)</f>
        <v>0.604096627281945</v>
      </c>
      <c r="D205" s="15" t="n">
        <f aca="false">1+(1-'3. The decision'!$B$27-B205)*(1-(1-'3. The decision'!$B$27)^('3. The decision'!$B$12-1))/'3. The decision'!$B$27</f>
        <v>4.73067919238056</v>
      </c>
      <c r="E205" s="15" t="n">
        <f aca="false">(1-'3. The decision'!$B$14)*(1-'3. The decision'!$B$27)^('3. The decision'!$B$11-1)</f>
        <v>0.690273454655712</v>
      </c>
      <c r="F205" s="15" t="n">
        <f aca="false">1+(1-'3. The decision'!$B$14)*(1-(1-'3. The decision'!$B$27)^('3. The decision'!$B$11-1))/'3. The decision'!$B$27</f>
        <v>4.28912098262087</v>
      </c>
      <c r="G205" s="15" t="n">
        <f aca="false">(1-(1-'3. The decision'!$B$9*MIN(1,('3. The decision'!$B$10/(52/12)))))+(1-(1-'3. The decision'!$B$9*MAX(0,MIN(1,('3. The decision'!$B$10/(52/12))-1))))*(1-'3. The decision'!$B$14)+(1-(1-'3. The decision'!$B$9*MAX(0,MIN(1,('3. The decision'!$B$10/(52/12))-2))))*(1-'3. The decision'!$B$14)*(1-'3. The decision'!$B$27)</f>
        <v>0.884576923076923</v>
      </c>
      <c r="H205" s="15" t="n">
        <f aca="false">IF(A205&lt;=0,0,MAX(0,ROUNDUP(LN('3. The decision'!$B$13)/LN(1+A205)-0.000000000001,0)-1))</f>
        <v>3</v>
      </c>
      <c r="I205" s="15" t="n">
        <f aca="false">IF(A205&lt;=0,1/(1-C205),(1+A205)*(1-(C205*(1+A205))^H205)/(1-C205*(1+A205))+'3. The decision'!$B$13*C205^H205/(1-C205))</f>
        <v>3.34887342237181</v>
      </c>
      <c r="J205" s="17" t="n">
        <f aca="false">F205+E205*D205/(1-C205)</f>
        <v>12.5372504354557</v>
      </c>
      <c r="K205" s="15" t="n">
        <f aca="false">F205-G205+E205*D205*I205</f>
        <v>14.3401638639306</v>
      </c>
      <c r="L205" s="17" t="n">
        <f aca="false">'3. The decision'!$B$8*'3. The decision'!$B$5/J205</f>
        <v>37.4595691788883</v>
      </c>
      <c r="M205" s="31" t="n">
        <f aca="false">L205*'3. The decision'!$B$6*'3. The decision'!$B$7*K205</f>
        <v>1030317.00560831</v>
      </c>
      <c r="N205" s="31" t="n">
        <f aca="false">M205*(1+'3. The decision'!$B$19+'3. The decision'!$B$20+'3. The decision'!$B$22)</f>
        <v>1139530.6082028</v>
      </c>
      <c r="O205" s="31" t="n">
        <f aca="false">'3. The decision'!$B$17+'3. The decision'!$B$18*L205*12+M205*('3. The decision'!$B$20*(1-'3. The decision'!$B$21)+'3. The decision'!$B$23)+N205*('3. The decision'!$B$24+'3. The decision'!$B$25)</f>
        <v>595534.898233916</v>
      </c>
      <c r="P205" s="31" t="n">
        <f aca="false">N205-O205</f>
        <v>543995.70996888</v>
      </c>
    </row>
    <row r="206" customFormat="false" ht="15" hidden="false" customHeight="false" outlineLevel="0" collapsed="false">
      <c r="A206" s="27" t="n">
        <f aca="false">55*0.0025</f>
        <v>0.1375</v>
      </c>
      <c r="B206" s="27" t="n">
        <f aca="false">IF(A206&gt;0,MIN('3. The decision'!$B$15,'3. The decision'!$B$29*(A206/'3. The decision'!$B$28)^$B$148),0)</f>
        <v>0.0843526918500893</v>
      </c>
      <c r="C206" s="15" t="n">
        <f aca="false">(1-'3. The decision'!$B$27-B206)*(1-'3. The decision'!$B$27)^('3. The decision'!$B$12-1)</f>
        <v>0.601942002371111</v>
      </c>
      <c r="D206" s="15" t="n">
        <f aca="false">1+(1-'3. The decision'!$B$27-B206)*(1-(1-'3. The decision'!$B$27)^('3. The decision'!$B$12-1))/'3. The decision'!$B$27</f>
        <v>4.71737301923008</v>
      </c>
      <c r="E206" s="15" t="n">
        <f aca="false">(1-'3. The decision'!$B$14)*(1-'3. The decision'!$B$27)^('3. The decision'!$B$11-1)</f>
        <v>0.690273454655712</v>
      </c>
      <c r="F206" s="15" t="n">
        <f aca="false">1+(1-'3. The decision'!$B$14)*(1-(1-'3. The decision'!$B$27)^('3. The decision'!$B$11-1))/'3. The decision'!$B$27</f>
        <v>4.28912098262087</v>
      </c>
      <c r="G206" s="15" t="n">
        <f aca="false">(1-(1-'3. The decision'!$B$9*MIN(1,('3. The decision'!$B$10/(52/12)))))+(1-(1-'3. The decision'!$B$9*MAX(0,MIN(1,('3. The decision'!$B$10/(52/12))-1))))*(1-'3. The decision'!$B$14)+(1-(1-'3. The decision'!$B$9*MAX(0,MIN(1,('3. The decision'!$B$10/(52/12))-2))))*(1-'3. The decision'!$B$14)*(1-'3. The decision'!$B$27)</f>
        <v>0.884576923076923</v>
      </c>
      <c r="H206" s="15" t="n">
        <f aca="false">IF(A206&lt;=0,0,MAX(0,ROUNDUP(LN('3. The decision'!$B$13)/LN(1+A206)-0.000000000001,0)-1))</f>
        <v>3</v>
      </c>
      <c r="I206" s="15" t="n">
        <f aca="false">IF(A206&lt;=0,1/(1-C206),(1+A206)*(1-(C206*(1+A206))^H206)/(1-C206*(1+A206))+'3. The decision'!$B$13*C206^H206/(1-C206))</f>
        <v>3.33727790539996</v>
      </c>
      <c r="J206" s="17" t="n">
        <f aca="false">F206+E206*D206/(1-C206)</f>
        <v>12.4695303457796</v>
      </c>
      <c r="K206" s="15" t="n">
        <f aca="false">F206-G206+E206*D206*I206</f>
        <v>14.2716465832476</v>
      </c>
      <c r="L206" s="17" t="n">
        <f aca="false">'3. The decision'!$B$8*'3. The decision'!$B$5/J206</f>
        <v>37.6630063023145</v>
      </c>
      <c r="M206" s="31" t="n">
        <f aca="false">L206*'3. The decision'!$B$6*'3. The decision'!$B$7*K206</f>
        <v>1030962.90951986</v>
      </c>
      <c r="N206" s="31" t="n">
        <f aca="false">M206*(1+'3. The decision'!$B$19+'3. The decision'!$B$20+'3. The decision'!$B$22)</f>
        <v>1140244.97792896</v>
      </c>
      <c r="O206" s="31" t="n">
        <f aca="false">'3. The decision'!$B$17+'3. The decision'!$B$18*L206*12+M206*('3. The decision'!$B$20*(1-'3. The decision'!$B$21)+'3. The decision'!$B$23)+N206*('3. The decision'!$B$24+'3. The decision'!$B$25)</f>
        <v>595912.588084418</v>
      </c>
      <c r="P206" s="31" t="n">
        <f aca="false">N206-O206</f>
        <v>544332.389844545</v>
      </c>
    </row>
    <row r="207" customFormat="false" ht="15" hidden="false" customHeight="false" outlineLevel="0" collapsed="false">
      <c r="A207" s="27" t="n">
        <f aca="false">56*0.0025</f>
        <v>0.14</v>
      </c>
      <c r="B207" s="27" t="n">
        <f aca="false">IF(A207&gt;0,MIN('3. The decision'!$B$15,'3. The decision'!$B$29*(A207/'3. The decision'!$B$28)^$B$148),0)</f>
        <v>0.0874479476502082</v>
      </c>
      <c r="C207" s="15" t="n">
        <f aca="false">(1-'3. The decision'!$B$27-B207)*(1-'3. The decision'!$B$27)^('3. The decision'!$B$12-1)</f>
        <v>0.599747843058242</v>
      </c>
      <c r="D207" s="15" t="n">
        <f aca="false">1+(1-'3. The decision'!$B$27-B207)*(1-(1-'3. The decision'!$B$27)^('3. The decision'!$B$12-1))/'3. The decision'!$B$27</f>
        <v>4.70382269611353</v>
      </c>
      <c r="E207" s="15" t="n">
        <f aca="false">(1-'3. The decision'!$B$14)*(1-'3. The decision'!$B$27)^('3. The decision'!$B$11-1)</f>
        <v>0.690273454655712</v>
      </c>
      <c r="F207" s="15" t="n">
        <f aca="false">1+(1-'3. The decision'!$B$14)*(1-(1-'3. The decision'!$B$27)^('3. The decision'!$B$11-1))/'3. The decision'!$B$27</f>
        <v>4.28912098262087</v>
      </c>
      <c r="G207" s="15" t="n">
        <f aca="false">(1-(1-'3. The decision'!$B$9*MIN(1,('3. The decision'!$B$10/(52/12)))))+(1-(1-'3. The decision'!$B$9*MAX(0,MIN(1,('3. The decision'!$B$10/(52/12))-1))))*(1-'3. The decision'!$B$14)+(1-(1-'3. The decision'!$B$9*MAX(0,MIN(1,('3. The decision'!$B$10/(52/12))-2))))*(1-'3. The decision'!$B$14)*(1-'3. The decision'!$B$27)</f>
        <v>0.884576923076923</v>
      </c>
      <c r="H207" s="15" t="n">
        <f aca="false">IF(A207&lt;=0,0,MAX(0,ROUNDUP(LN('3. The decision'!$B$13)/LN(1+A207)-0.000000000001,0)-1))</f>
        <v>3</v>
      </c>
      <c r="I207" s="15" t="n">
        <f aca="false">IF(A207&lt;=0,1/(1-C207),(1+A207)*(1-(C207*(1+A207))^H207)/(1-C207*(1+A207))+'3. The decision'!$B$13*C207^H207/(1-C207))</f>
        <v>3.32548703684907</v>
      </c>
      <c r="J207" s="17" t="n">
        <f aca="false">F207+E207*D207/(1-C207)</f>
        <v>12.401316972627</v>
      </c>
      <c r="K207" s="15" t="n">
        <f aca="false">F207-G207+E207*D207*I207</f>
        <v>14.2021475400764</v>
      </c>
      <c r="L207" s="17" t="n">
        <f aca="false">'3. The decision'!$B$8*'3. The decision'!$B$5/J207</f>
        <v>37.8701714532916</v>
      </c>
      <c r="M207" s="31" t="n">
        <f aca="false">L207*'3. The decision'!$B$6*'3. The decision'!$B$7*K207</f>
        <v>1031585.59043476</v>
      </c>
      <c r="N207" s="31" t="n">
        <f aca="false">M207*(1+'3. The decision'!$B$19+'3. The decision'!$B$20+'3. The decision'!$B$22)</f>
        <v>1140933.66302084</v>
      </c>
      <c r="O207" s="31" t="n">
        <f aca="false">'3. The decision'!$B$17+'3. The decision'!$B$18*L207*12+M207*('3. The decision'!$B$20*(1-'3. The decision'!$B$21)+'3. The decision'!$B$23)+N207*('3. The decision'!$B$24+'3. The decision'!$B$25)</f>
        <v>596293.425850461</v>
      </c>
      <c r="P207" s="31" t="n">
        <f aca="false">N207-O207</f>
        <v>544640.237170382</v>
      </c>
    </row>
    <row r="208" customFormat="false" ht="15" hidden="false" customHeight="false" outlineLevel="0" collapsed="false">
      <c r="A208" s="27" t="n">
        <f aca="false">57*0.0025</f>
        <v>0.1425</v>
      </c>
      <c r="B208" s="27" t="n">
        <f aca="false">IF(A208&gt;0,MIN('3. The decision'!$B$15,'3. The decision'!$B$29*(A208/'3. The decision'!$B$28)^$B$148),0)</f>
        <v>0.0905989738251041</v>
      </c>
      <c r="C208" s="15" t="n">
        <f aca="false">(1-'3. The decision'!$B$27-B208)*(1-'3. The decision'!$B$27)^('3. The decision'!$B$12-1)</f>
        <v>0.59751414934334</v>
      </c>
      <c r="D208" s="15" t="n">
        <f aca="false">1+(1-'3. The decision'!$B$27-B208)*(1-(1-'3. The decision'!$B$27)^('3. The decision'!$B$12-1))/'3. The decision'!$B$27</f>
        <v>4.69002822303092</v>
      </c>
      <c r="E208" s="15" t="n">
        <f aca="false">(1-'3. The decision'!$B$14)*(1-'3. The decision'!$B$27)^('3. The decision'!$B$11-1)</f>
        <v>0.690273454655712</v>
      </c>
      <c r="F208" s="15" t="n">
        <f aca="false">1+(1-'3. The decision'!$B$14)*(1-(1-'3. The decision'!$B$27)^('3. The decision'!$B$11-1))/'3. The decision'!$B$27</f>
        <v>4.28912098262087</v>
      </c>
      <c r="G208" s="15" t="n">
        <f aca="false">(1-(1-'3. The decision'!$B$9*MIN(1,('3. The decision'!$B$10/(52/12)))))+(1-(1-'3. The decision'!$B$9*MAX(0,MIN(1,('3. The decision'!$B$10/(52/12))-1))))*(1-'3. The decision'!$B$14)+(1-(1-'3. The decision'!$B$9*MAX(0,MIN(1,('3. The decision'!$B$10/(52/12))-2))))*(1-'3. The decision'!$B$14)*(1-'3. The decision'!$B$27)</f>
        <v>0.884576923076923</v>
      </c>
      <c r="H208" s="15" t="n">
        <f aca="false">IF(A208&lt;=0,0,MAX(0,ROUNDUP(LN('3. The decision'!$B$13)/LN(1+A208)-0.000000000001,0)-1))</f>
        <v>3</v>
      </c>
      <c r="I208" s="15" t="n">
        <f aca="false">IF(A208&lt;=0,1/(1-C208),(1+A208)*(1-(C208*(1+A208))^H208)/(1-C208*(1+A208))+'3. The decision'!$B$13*C208^H208/(1-C208))</f>
        <v>3.31350778833055</v>
      </c>
      <c r="J208" s="17" t="n">
        <f aca="false">F208+E208*D208/(1-C208)</f>
        <v>12.3326384843231</v>
      </c>
      <c r="K208" s="15" t="n">
        <f aca="false">F208-G208+E208*D208*I208</f>
        <v>14.1317007473003</v>
      </c>
      <c r="L208" s="17" t="n">
        <f aca="false">'3. The decision'!$B$8*'3. The decision'!$B$5/J208</f>
        <v>38.0810643721531</v>
      </c>
      <c r="M208" s="31" t="n">
        <f aca="false">L208*'3. The decision'!$B$6*'3. The decision'!$B$7*K208</f>
        <v>1032184.86447843</v>
      </c>
      <c r="N208" s="31" t="n">
        <f aca="false">M208*(1+'3. The decision'!$B$19+'3. The decision'!$B$20+'3. The decision'!$B$22)</f>
        <v>1141596.46011314</v>
      </c>
      <c r="O208" s="31" t="n">
        <f aca="false">'3. The decision'!$B$17+'3. The decision'!$B$18*L208*12+M208*('3. The decision'!$B$20*(1-'3. The decision'!$B$21)+'3. The decision'!$B$23)+N208*('3. The decision'!$B$24+'3. The decision'!$B$25)</f>
        <v>596677.391348823</v>
      </c>
      <c r="P208" s="31" t="n">
        <f aca="false">N208-O208</f>
        <v>544919.068764321</v>
      </c>
    </row>
    <row r="209" customFormat="false" ht="15" hidden="false" customHeight="false" outlineLevel="0" collapsed="false">
      <c r="A209" s="27" t="n">
        <f aca="false">58*0.0025</f>
        <v>0.145</v>
      </c>
      <c r="B209" s="27" t="n">
        <f aca="false">IF(A209&gt;0,MIN('3. The decision'!$B$15,'3. The decision'!$B$29*(A209/'3. The decision'!$B$28)^$B$148),0)</f>
        <v>0.0938057703747769</v>
      </c>
      <c r="C209" s="15" t="n">
        <f aca="false">(1-'3. The decision'!$B$27-B209)*(1-'3. The decision'!$B$27)^('3. The decision'!$B$12-1)</f>
        <v>0.595240921226404</v>
      </c>
      <c r="D209" s="15" t="n">
        <f aca="false">1+(1-'3. The decision'!$B$27-B209)*(1-(1-'3. The decision'!$B$27)^('3. The decision'!$B$12-1))/'3. The decision'!$B$27</f>
        <v>4.67598959998225</v>
      </c>
      <c r="E209" s="15" t="n">
        <f aca="false">(1-'3. The decision'!$B$14)*(1-'3. The decision'!$B$27)^('3. The decision'!$B$11-1)</f>
        <v>0.690273454655712</v>
      </c>
      <c r="F209" s="15" t="n">
        <f aca="false">1+(1-'3. The decision'!$B$14)*(1-(1-'3. The decision'!$B$27)^('3. The decision'!$B$11-1))/'3. The decision'!$B$27</f>
        <v>4.28912098262087</v>
      </c>
      <c r="G209" s="15" t="n">
        <f aca="false">(1-(1-'3. The decision'!$B$9*MIN(1,('3. The decision'!$B$10/(52/12)))))+(1-(1-'3. The decision'!$B$9*MAX(0,MIN(1,('3. The decision'!$B$10/(52/12))-1))))*(1-'3. The decision'!$B$14)+(1-(1-'3. The decision'!$B$9*MAX(0,MIN(1,('3. The decision'!$B$10/(52/12))-2))))*(1-'3. The decision'!$B$14)*(1-'3. The decision'!$B$27)</f>
        <v>0.884576923076923</v>
      </c>
      <c r="H209" s="15" t="n">
        <f aca="false">IF(A209&lt;=0,0,MAX(0,ROUNDUP(LN('3. The decision'!$B$13)/LN(1+A209)-0.000000000001,0)-1))</f>
        <v>3</v>
      </c>
      <c r="I209" s="15" t="n">
        <f aca="false">IF(A209&lt;=0,1/(1-C209),(1+A209)*(1-(C209*(1+A209))^H209)/(1-C209*(1+A209))+'3. The decision'!$B$13*C209^H209/(1-C209))</f>
        <v>3.30134702460604</v>
      </c>
      <c r="J209" s="17" t="n">
        <f aca="false">F209+E209*D209/(1-C209)</f>
        <v>12.2635227054773</v>
      </c>
      <c r="K209" s="15" t="n">
        <f aca="false">F209-G209+E209*D209*I209</f>
        <v>14.060339800225</v>
      </c>
      <c r="L209" s="17" t="n">
        <f aca="false">'3. The decision'!$B$8*'3. The decision'!$B$5/J209</f>
        <v>38.2956847945693</v>
      </c>
      <c r="M209" s="31" t="n">
        <f aca="false">L209*'3. The decision'!$B$6*'3. The decision'!$B$7*K209</f>
        <v>1032760.53100596</v>
      </c>
      <c r="N209" s="31" t="n">
        <f aca="false">M209*(1+'3. The decision'!$B$19+'3. The decision'!$B$20+'3. The decision'!$B$22)</f>
        <v>1142233.14729259</v>
      </c>
      <c r="O209" s="31" t="n">
        <f aca="false">'3. The decision'!$B$17+'3. The decision'!$B$18*L209*12+M209*('3. The decision'!$B$20*(1-'3. The decision'!$B$21)+'3. The decision'!$B$23)+N209*('3. The decision'!$B$24+'3. The decision'!$B$25)</f>
        <v>597064.46258428</v>
      </c>
      <c r="P209" s="31" t="n">
        <f aca="false">N209-O209</f>
        <v>545168.684708311</v>
      </c>
    </row>
    <row r="210" customFormat="false" ht="15" hidden="false" customHeight="false" outlineLevel="0" collapsed="false">
      <c r="A210" s="27" t="n">
        <f aca="false">59*0.0025</f>
        <v>0.1475</v>
      </c>
      <c r="B210" s="27" t="n">
        <f aca="false">IF(A210&gt;0,MIN('3. The decision'!$B$15,'3. The decision'!$B$29*(A210/'3. The decision'!$B$28)^$B$148),0)</f>
        <v>0.0970683372992266</v>
      </c>
      <c r="C210" s="15" t="n">
        <f aca="false">(1-'3. The decision'!$B$27-B210)*(1-'3. The decision'!$B$27)^('3. The decision'!$B$12-1)</f>
        <v>0.592928158707434</v>
      </c>
      <c r="D210" s="15" t="n">
        <f aca="false">1+(1-'3. The decision'!$B$27-B210)*(1-(1-'3. The decision'!$B$27)^('3. The decision'!$B$12-1))/'3. The decision'!$B$27</f>
        <v>4.66170682696751</v>
      </c>
      <c r="E210" s="15" t="n">
        <f aca="false">(1-'3. The decision'!$B$14)*(1-'3. The decision'!$B$27)^('3. The decision'!$B$11-1)</f>
        <v>0.690273454655712</v>
      </c>
      <c r="F210" s="15" t="n">
        <f aca="false">1+(1-'3. The decision'!$B$14)*(1-(1-'3. The decision'!$B$27)^('3. The decision'!$B$11-1))/'3. The decision'!$B$27</f>
        <v>4.28912098262087</v>
      </c>
      <c r="G210" s="15" t="n">
        <f aca="false">(1-(1-'3. The decision'!$B$9*MIN(1,('3. The decision'!$B$10/(52/12)))))+(1-(1-'3. The decision'!$B$9*MAX(0,MIN(1,('3. The decision'!$B$10/(52/12))-1))))*(1-'3. The decision'!$B$14)+(1-(1-'3. The decision'!$B$9*MAX(0,MIN(1,('3. The decision'!$B$10/(52/12))-2))))*(1-'3. The decision'!$B$14)*(1-'3. The decision'!$B$27)</f>
        <v>0.884576923076923</v>
      </c>
      <c r="H210" s="15" t="n">
        <f aca="false">IF(A210&lt;=0,0,MAX(0,ROUNDUP(LN('3. The decision'!$B$13)/LN(1+A210)-0.000000000001,0)-1))</f>
        <v>3</v>
      </c>
      <c r="I210" s="15" t="n">
        <f aca="false">IF(A210&lt;=0,1/(1-C210),(1+A210)*(1-(C210*(1+A210))^H210)/(1-C210*(1+A210))+'3. The decision'!$B$13*C210^H210/(1-C210))</f>
        <v>3.28901149848321</v>
      </c>
      <c r="J210" s="17" t="n">
        <f aca="false">F210+E210*D210/(1-C210)</f>
        <v>12.1939970993904</v>
      </c>
      <c r="K210" s="15" t="n">
        <f aca="false">F210-G210+E210*D210*I210</f>
        <v>13.988097853672</v>
      </c>
      <c r="L210" s="17" t="n">
        <f aca="false">'3. The decision'!$B$8*'3. The decision'!$B$5/J210</f>
        <v>38.5140324515478</v>
      </c>
      <c r="M210" s="31" t="n">
        <f aca="false">L210*'3. The decision'!$B$6*'3. The decision'!$B$7*K210</f>
        <v>1033312.37247527</v>
      </c>
      <c r="N210" s="31" t="n">
        <f aca="false">M210*(1+'3. The decision'!$B$19+'3. The decision'!$B$20+'3. The decision'!$B$22)</f>
        <v>1142843.48395765</v>
      </c>
      <c r="O210" s="31" t="n">
        <f aca="false">'3. The decision'!$B$17+'3. The decision'!$B$18*L210*12+M210*('3. The decision'!$B$20*(1-'3. The decision'!$B$21)+'3. The decision'!$B$23)+N210*('3. The decision'!$B$24+'3. The decision'!$B$25)</f>
        <v>597454.615735953</v>
      </c>
      <c r="P210" s="31" t="n">
        <f aca="false">N210-O210</f>
        <v>545388.868221697</v>
      </c>
    </row>
    <row r="211" customFormat="false" ht="15" hidden="false" customHeight="false" outlineLevel="0" collapsed="false">
      <c r="A211" s="27" t="n">
        <f aca="false">60*0.0025</f>
        <v>0.15</v>
      </c>
      <c r="B211" s="27" t="n">
        <f aca="false">IF(A211&gt;0,MIN('3. The decision'!$B$15,'3. The decision'!$B$29*(A211/'3. The decision'!$B$28)^$B$148),0)</f>
        <v>0.100386674598453</v>
      </c>
      <c r="C211" s="15" t="n">
        <f aca="false">(1-'3. The decision'!$B$27-B211)*(1-'3. The decision'!$B$27)^('3. The decision'!$B$12-1)</f>
        <v>0.590575861786431</v>
      </c>
      <c r="D211" s="15" t="n">
        <f aca="false">1+(1-'3. The decision'!$B$27-B211)*(1-(1-'3. The decision'!$B$27)^('3. The decision'!$B$12-1))/'3. The decision'!$B$27</f>
        <v>4.6471799039867</v>
      </c>
      <c r="E211" s="15" t="n">
        <f aca="false">(1-'3. The decision'!$B$14)*(1-'3. The decision'!$B$27)^('3. The decision'!$B$11-1)</f>
        <v>0.690273454655712</v>
      </c>
      <c r="F211" s="15" t="n">
        <f aca="false">1+(1-'3. The decision'!$B$14)*(1-(1-'3. The decision'!$B$27)^('3. The decision'!$B$11-1))/'3. The decision'!$B$27</f>
        <v>4.28912098262087</v>
      </c>
      <c r="G211" s="15" t="n">
        <f aca="false">(1-(1-'3. The decision'!$B$9*MIN(1,('3. The decision'!$B$10/(52/12)))))+(1-(1-'3. The decision'!$B$9*MAX(0,MIN(1,('3. The decision'!$B$10/(52/12))-1))))*(1-'3. The decision'!$B$14)+(1-(1-'3. The decision'!$B$9*MAX(0,MIN(1,('3. The decision'!$B$10/(52/12))-2))))*(1-'3. The decision'!$B$14)*(1-'3. The decision'!$B$27)</f>
        <v>0.884576923076923</v>
      </c>
      <c r="H211" s="15" t="n">
        <f aca="false">IF(A211&lt;=0,0,MAX(0,ROUNDUP(LN('3. The decision'!$B$13)/LN(1+A211)-0.000000000001,0)-1))</f>
        <v>3</v>
      </c>
      <c r="I211" s="15" t="n">
        <f aca="false">IF(A211&lt;=0,1/(1-C211),(1+A211)*(1-(C211*(1+A211))^H211)/(1-C211*(1+A211))+'3. The decision'!$B$13*C211^H211/(1-C211))</f>
        <v>3.27650784607981</v>
      </c>
      <c r="J211" s="17" t="n">
        <f aca="false">F211+E211*D211/(1-C211)</f>
        <v>12.1240887515661</v>
      </c>
      <c r="K211" s="15" t="n">
        <f aca="false">F211-G211+E211*D211*I211</f>
        <v>13.9150076008301</v>
      </c>
      <c r="L211" s="17" t="n">
        <f aca="false">'3. The decision'!$B$8*'3. The decision'!$B$5/J211</f>
        <v>38.7361070694352</v>
      </c>
      <c r="M211" s="31" t="n">
        <f aca="false">L211*'3. The decision'!$B$6*'3. The decision'!$B$7*K211</f>
        <v>1033840.15434741</v>
      </c>
      <c r="N211" s="31" t="n">
        <f aca="false">M211*(1+'3. The decision'!$B$19+'3. The decision'!$B$20+'3. The decision'!$B$22)</f>
        <v>1143427.21070823</v>
      </c>
      <c r="O211" s="31" t="n">
        <f aca="false">'3. The decision'!$B$17+'3. The decision'!$B$18*L211*12+M211*('3. The decision'!$B$20*(1-'3. The decision'!$B$21)+'3. The decision'!$B$23)+N211*('3. The decision'!$B$24+'3. The decision'!$B$25)</f>
        <v>597847.825146577</v>
      </c>
      <c r="P211" s="31" t="n">
        <f aca="false">N211-O211</f>
        <v>545579.385561657</v>
      </c>
    </row>
    <row r="212" customFormat="false" ht="15" hidden="false" customHeight="false" outlineLevel="0" collapsed="false">
      <c r="A212" s="27" t="n">
        <f aca="false">61*0.0025</f>
        <v>0.1525</v>
      </c>
      <c r="B212" s="27" t="n">
        <f aca="false">IF(A212&gt;0,MIN('3. The decision'!$B$15,'3. The decision'!$B$29*(A212/'3. The decision'!$B$28)^$B$148),0)</f>
        <v>0.103760782272457</v>
      </c>
      <c r="C212" s="15" t="n">
        <f aca="false">(1-'3. The decision'!$B$27-B212)*(1-'3. The decision'!$B$27)^('3. The decision'!$B$12-1)</f>
        <v>0.588184030463394</v>
      </c>
      <c r="D212" s="15" t="n">
        <f aca="false">1+(1-'3. The decision'!$B$27-B212)*(1-(1-'3. The decision'!$B$27)^('3. The decision'!$B$12-1))/'3. The decision'!$B$27</f>
        <v>4.63240883103984</v>
      </c>
      <c r="E212" s="15" t="n">
        <f aca="false">(1-'3. The decision'!$B$14)*(1-'3. The decision'!$B$27)^('3. The decision'!$B$11-1)</f>
        <v>0.690273454655712</v>
      </c>
      <c r="F212" s="15" t="n">
        <f aca="false">1+(1-'3. The decision'!$B$14)*(1-(1-'3. The decision'!$B$27)^('3. The decision'!$B$11-1))/'3. The decision'!$B$27</f>
        <v>4.28912098262087</v>
      </c>
      <c r="G212" s="15" t="n">
        <f aca="false">(1-(1-'3. The decision'!$B$9*MIN(1,('3. The decision'!$B$10/(52/12)))))+(1-(1-'3. The decision'!$B$9*MAX(0,MIN(1,('3. The decision'!$B$10/(52/12))-1))))*(1-'3. The decision'!$B$14)+(1-(1-'3. The decision'!$B$9*MAX(0,MIN(1,('3. The decision'!$B$10/(52/12))-2))))*(1-'3. The decision'!$B$14)*(1-'3. The decision'!$B$27)</f>
        <v>0.884576923076923</v>
      </c>
      <c r="H212" s="15" t="n">
        <f aca="false">IF(A212&lt;=0,0,MAX(0,ROUNDUP(LN('3. The decision'!$B$13)/LN(1+A212)-0.000000000001,0)-1))</f>
        <v>3</v>
      </c>
      <c r="I212" s="15" t="n">
        <f aca="false">IF(A212&lt;=0,1/(1-C212),(1+A212)*(1-(C212*(1+A212))^H212)/(1-C212*(1+A212))+'3. The decision'!$B$13*C212^H212/(1-C212))</f>
        <v>3.26384258245284</v>
      </c>
      <c r="J212" s="17" t="n">
        <f aca="false">F212+E212*D212/(1-C212)</f>
        <v>12.0538243543177</v>
      </c>
      <c r="K212" s="15" t="n">
        <f aca="false">F212-G212+E212*D212*I212</f>
        <v>13.841101253848</v>
      </c>
      <c r="L212" s="17" t="n">
        <f aca="false">'3. The decision'!$B$8*'3. The decision'!$B$5/J212</f>
        <v>38.9619083699169</v>
      </c>
      <c r="M212" s="31" t="n">
        <f aca="false">L212*'3. The decision'!$B$6*'3. The decision'!$B$7*K212</f>
        <v>1034343.62501444</v>
      </c>
      <c r="N212" s="31" t="n">
        <f aca="false">M212*(1+'3. The decision'!$B$19+'3. The decision'!$B$20+'3. The decision'!$B$22)</f>
        <v>1143984.04926598</v>
      </c>
      <c r="O212" s="31" t="n">
        <f aca="false">'3. The decision'!$B$17+'3. The decision'!$B$18*L212*12+M212*('3. The decision'!$B$20*(1-'3. The decision'!$B$21)+'3. The decision'!$B$23)+N212*('3. The decision'!$B$24+'3. The decision'!$B$25)</f>
        <v>598244.063314746</v>
      </c>
      <c r="P212" s="31" t="n">
        <f aca="false">N212-O212</f>
        <v>545739.98595123</v>
      </c>
    </row>
    <row r="213" customFormat="false" ht="15" hidden="false" customHeight="false" outlineLevel="0" collapsed="false">
      <c r="A213" s="27" t="n">
        <f aca="false">62*0.0025</f>
        <v>0.155</v>
      </c>
      <c r="B213" s="27" t="n">
        <f aca="false">IF(A213&gt;0,MIN('3. The decision'!$B$15,'3. The decision'!$B$29*(A213/'3. The decision'!$B$28)^$B$148),0)</f>
        <v>0.107190660321237</v>
      </c>
      <c r="C213" s="15" t="n">
        <f aca="false">(1-'3. The decision'!$B$27-B213)*(1-'3. The decision'!$B$27)^('3. The decision'!$B$12-1)</f>
        <v>0.585752664738323</v>
      </c>
      <c r="D213" s="15" t="n">
        <f aca="false">1+(1-'3. The decision'!$B$27-B213)*(1-(1-'3. The decision'!$B$27)^('3. The decision'!$B$12-1))/'3. The decision'!$B$27</f>
        <v>4.61739360812691</v>
      </c>
      <c r="E213" s="15" t="n">
        <f aca="false">(1-'3. The decision'!$B$14)*(1-'3. The decision'!$B$27)^('3. The decision'!$B$11-1)</f>
        <v>0.690273454655712</v>
      </c>
      <c r="F213" s="15" t="n">
        <f aca="false">1+(1-'3. The decision'!$B$14)*(1-(1-'3. The decision'!$B$27)^('3. The decision'!$B$11-1))/'3. The decision'!$B$27</f>
        <v>4.28912098262087</v>
      </c>
      <c r="G213" s="15" t="n">
        <f aca="false">(1-(1-'3. The decision'!$B$9*MIN(1,('3. The decision'!$B$10/(52/12)))))+(1-(1-'3. The decision'!$B$9*MAX(0,MIN(1,('3. The decision'!$B$10/(52/12))-1))))*(1-'3. The decision'!$B$14)+(1-(1-'3. The decision'!$B$9*MAX(0,MIN(1,('3. The decision'!$B$10/(52/12))-2))))*(1-'3. The decision'!$B$14)*(1-'3. The decision'!$B$27)</f>
        <v>0.884576923076923</v>
      </c>
      <c r="H213" s="15" t="n">
        <f aca="false">IF(A213&lt;=0,0,MAX(0,ROUNDUP(LN('3. The decision'!$B$13)/LN(1+A213)-0.000000000001,0)-1))</f>
        <v>3</v>
      </c>
      <c r="I213" s="15" t="n">
        <f aca="false">IF(A213&lt;=0,1/(1-C213),(1+A213)*(1-(C213*(1+A213))^H213)/(1-C213*(1+A213))+'3. The decision'!$B$13*C213^H213/(1-C213))</f>
        <v>3.25102209758894</v>
      </c>
      <c r="J213" s="17" t="n">
        <f aca="false">F213+E213*D213/(1-C213)</f>
        <v>11.9832301924571</v>
      </c>
      <c r="K213" s="15" t="n">
        <f aca="false">F213-G213+E213*D213*I213</f>
        <v>13.7664105261439</v>
      </c>
      <c r="L213" s="17" t="n">
        <f aca="false">'3. The decision'!$B$8*'3. The decision'!$B$5/J213</f>
        <v>39.1914360700188</v>
      </c>
      <c r="M213" s="31" t="n">
        <f aca="false">L213*'3. The decision'!$B$6*'3. The decision'!$B$7*K213</f>
        <v>1034822.51575557</v>
      </c>
      <c r="N213" s="31" t="n">
        <f aca="false">M213*(1+'3. The decision'!$B$19+'3. The decision'!$B$20+'3. The decision'!$B$22)</f>
        <v>1144513.70242566</v>
      </c>
      <c r="O213" s="31" t="n">
        <f aca="false">'3. The decision'!$B$17+'3. The decision'!$B$18*L213*12+M213*('3. The decision'!$B$20*(1-'3. The decision'!$B$21)+'3. The decision'!$B$23)+N213*('3. The decision'!$B$24+'3. The decision'!$B$25)</f>
        <v>598643.300890188</v>
      </c>
      <c r="P213" s="31" t="n">
        <f aca="false">N213-O213</f>
        <v>545870.401535472</v>
      </c>
    </row>
    <row r="214" customFormat="false" ht="15" hidden="false" customHeight="false" outlineLevel="0" collapsed="false">
      <c r="A214" s="27" t="n">
        <f aca="false">63*0.0025</f>
        <v>0.1575</v>
      </c>
      <c r="B214" s="27" t="n">
        <f aca="false">IF(A214&gt;0,MIN('3. The decision'!$B$15,'3. The decision'!$B$29*(A214/'3. The decision'!$B$28)^$B$148),0)</f>
        <v>0.110676308744795</v>
      </c>
      <c r="C214" s="15" t="n">
        <f aca="false">(1-'3. The decision'!$B$27-B214)*(1-'3. The decision'!$B$27)^('3. The decision'!$B$12-1)</f>
        <v>0.583281764611219</v>
      </c>
      <c r="D214" s="15" t="n">
        <f aca="false">1+(1-'3. The decision'!$B$27-B214)*(1-(1-'3. The decision'!$B$27)^('3. The decision'!$B$12-1))/'3. The decision'!$B$27</f>
        <v>4.60213423524791</v>
      </c>
      <c r="E214" s="15" t="n">
        <f aca="false">(1-'3. The decision'!$B$14)*(1-'3. The decision'!$B$27)^('3. The decision'!$B$11-1)</f>
        <v>0.690273454655712</v>
      </c>
      <c r="F214" s="15" t="n">
        <f aca="false">1+(1-'3. The decision'!$B$14)*(1-(1-'3. The decision'!$B$27)^('3. The decision'!$B$11-1))/'3. The decision'!$B$27</f>
        <v>4.28912098262087</v>
      </c>
      <c r="G214" s="15" t="n">
        <f aca="false">(1-(1-'3. The decision'!$B$9*MIN(1,('3. The decision'!$B$10/(52/12)))))+(1-(1-'3. The decision'!$B$9*MAX(0,MIN(1,('3. The decision'!$B$10/(52/12))-1))))*(1-'3. The decision'!$B$14)+(1-(1-'3. The decision'!$B$9*MAX(0,MIN(1,('3. The decision'!$B$10/(52/12))-2))))*(1-'3. The decision'!$B$14)*(1-'3. The decision'!$B$27)</f>
        <v>0.884576923076923</v>
      </c>
      <c r="H214" s="15" t="n">
        <f aca="false">IF(A214&lt;=0,0,MAX(0,ROUNDUP(LN('3. The decision'!$B$13)/LN(1+A214)-0.000000000001,0)-1))</f>
        <v>3</v>
      </c>
      <c r="I214" s="15" t="n">
        <f aca="false">IF(A214&lt;=0,1/(1-C214),(1+A214)*(1-(C214*(1+A214))^H214)/(1-C214*(1+A214))+'3. The decision'!$B$13*C214^H214/(1-C214))</f>
        <v>3.23805265275157</v>
      </c>
      <c r="J214" s="17" t="n">
        <f aca="false">F214+E214*D214/(1-C214)</f>
        <v>11.9123321300528</v>
      </c>
      <c r="K214" s="15" t="n">
        <f aca="false">F214-G214+E214*D214*I214</f>
        <v>13.6909666164091</v>
      </c>
      <c r="L214" s="17" t="n">
        <f aca="false">'3. The decision'!$B$8*'3. The decision'!$B$5/J214</f>
        <v>39.4246898821079</v>
      </c>
      <c r="M214" s="31" t="n">
        <f aca="false">L214*'3. The decision'!$B$6*'3. The decision'!$B$7*K214</f>
        <v>1035276.54072186</v>
      </c>
      <c r="N214" s="31" t="n">
        <f aca="false">M214*(1+'3. The decision'!$B$19+'3. The decision'!$B$20+'3. The decision'!$B$22)</f>
        <v>1145015.85403838</v>
      </c>
      <c r="O214" s="31" t="n">
        <f aca="false">'3. The decision'!$B$17+'3. The decision'!$B$18*L214*12+M214*('3. The decision'!$B$20*(1-'3. The decision'!$B$21)+'3. The decision'!$B$23)+N214*('3. The decision'!$B$24+'3. The decision'!$B$25)</f>
        <v>599045.506672125</v>
      </c>
      <c r="P214" s="31" t="n">
        <f aca="false">N214-O214</f>
        <v>545970.347366251</v>
      </c>
    </row>
    <row r="215" customFormat="false" ht="15" hidden="false" customHeight="false" outlineLevel="0" collapsed="false">
      <c r="A215" s="27" t="n">
        <f aca="false">64*0.0025</f>
        <v>0.16</v>
      </c>
      <c r="B215" s="27" t="n">
        <f aca="false">IF(A215&gt;0,MIN('3. The decision'!$B$15,'3. The decision'!$B$29*(A215/'3. The decision'!$B$28)^$B$148),0)</f>
        <v>0.114217727543129</v>
      </c>
      <c r="C215" s="15" t="n">
        <f aca="false">(1-'3. The decision'!$B$27-B215)*(1-'3. The decision'!$B$27)^('3. The decision'!$B$12-1)</f>
        <v>0.580771330082081</v>
      </c>
      <c r="D215" s="15" t="n">
        <f aca="false">1+(1-'3. The decision'!$B$27-B215)*(1-(1-'3. The decision'!$B$27)^('3. The decision'!$B$12-1))/'3. The decision'!$B$27</f>
        <v>4.58663071240285</v>
      </c>
      <c r="E215" s="15" t="n">
        <f aca="false">(1-'3. The decision'!$B$14)*(1-'3. The decision'!$B$27)^('3. The decision'!$B$11-1)</f>
        <v>0.690273454655712</v>
      </c>
      <c r="F215" s="15" t="n">
        <f aca="false">1+(1-'3. The decision'!$B$14)*(1-(1-'3. The decision'!$B$27)^('3. The decision'!$B$11-1))/'3. The decision'!$B$27</f>
        <v>4.28912098262087</v>
      </c>
      <c r="G215" s="15" t="n">
        <f aca="false">(1-(1-'3. The decision'!$B$9*MIN(1,('3. The decision'!$B$10/(52/12)))))+(1-(1-'3. The decision'!$B$9*MAX(0,MIN(1,('3. The decision'!$B$10/(52/12))-1))))*(1-'3. The decision'!$B$14)+(1-(1-'3. The decision'!$B$9*MAX(0,MIN(1,('3. The decision'!$B$10/(52/12))-2))))*(1-'3. The decision'!$B$14)*(1-'3. The decision'!$B$27)</f>
        <v>0.884576923076923</v>
      </c>
      <c r="H215" s="15" t="n">
        <f aca="false">IF(A215&lt;=0,0,MAX(0,ROUNDUP(LN('3. The decision'!$B$13)/LN(1+A215)-0.000000000001,0)-1))</f>
        <v>3</v>
      </c>
      <c r="I215" s="15" t="n">
        <f aca="false">IF(A215&lt;=0,1/(1-C215),(1+A215)*(1-(C215*(1+A215))^H215)/(1-C215*(1+A215))+'3. The decision'!$B$13*C215^H215/(1-C215))</f>
        <v>3.22494037717935</v>
      </c>
      <c r="J215" s="17" t="n">
        <f aca="false">F215+E215*D215/(1-C215)</f>
        <v>11.8411555982405</v>
      </c>
      <c r="K215" s="15" t="n">
        <f aca="false">F215-G215+E215*D215*I215</f>
        <v>13.6148001942732</v>
      </c>
      <c r="L215" s="17" t="n">
        <f aca="false">'3. The decision'!$B$8*'3. The decision'!$B$5/J215</f>
        <v>39.661669513893</v>
      </c>
      <c r="M215" s="31" t="n">
        <f aca="false">L215*'3. The decision'!$B$6*'3. The decision'!$B$7*K215</f>
        <v>1035705.3969502</v>
      </c>
      <c r="N215" s="31" t="n">
        <f aca="false">M215*(1+'3. The decision'!$B$19+'3. The decision'!$B$20+'3. The decision'!$B$22)</f>
        <v>1145490.16902692</v>
      </c>
      <c r="O215" s="31" t="n">
        <f aca="false">'3. The decision'!$B$17+'3. The decision'!$B$18*L215*12+M215*('3. The decision'!$B$20*(1-'3. The decision'!$B$21)+'3. The decision'!$B$23)+N215*('3. The decision'!$B$24+'3. The decision'!$B$25)</f>
        <v>599450.647610772</v>
      </c>
      <c r="P215" s="31" t="n">
        <f aca="false">N215-O215</f>
        <v>546039.521416147</v>
      </c>
    </row>
    <row r="216" customFormat="false" ht="15" hidden="false" customHeight="false" outlineLevel="0" collapsed="false">
      <c r="A216" s="27" t="n">
        <f aca="false">65*0.0025</f>
        <v>0.1625</v>
      </c>
      <c r="B216" s="27" t="n">
        <f aca="false">IF(A216&gt;0,MIN('3. The decision'!$B$15,'3. The decision'!$B$29*(A216/'3. The decision'!$B$28)^$B$148),0)</f>
        <v>0.11781491671624</v>
      </c>
      <c r="C216" s="15" t="n">
        <f aca="false">(1-'3. The decision'!$B$27-B216)*(1-'3. The decision'!$B$27)^('3. The decision'!$B$12-1)</f>
        <v>0.57822136115091</v>
      </c>
      <c r="D216" s="15" t="n">
        <f aca="false">1+(1-'3. The decision'!$B$27-B216)*(1-(1-'3. The decision'!$B$27)^('3. The decision'!$B$12-1))/'3. The decision'!$B$27</f>
        <v>4.57088303959173</v>
      </c>
      <c r="E216" s="15" t="n">
        <f aca="false">(1-'3. The decision'!$B$14)*(1-'3. The decision'!$B$27)^('3. The decision'!$B$11-1)</f>
        <v>0.690273454655712</v>
      </c>
      <c r="F216" s="15" t="n">
        <f aca="false">1+(1-'3. The decision'!$B$14)*(1-(1-'3. The decision'!$B$27)^('3. The decision'!$B$11-1))/'3. The decision'!$B$27</f>
        <v>4.28912098262087</v>
      </c>
      <c r="G216" s="15" t="n">
        <f aca="false">(1-(1-'3. The decision'!$B$9*MIN(1,('3. The decision'!$B$10/(52/12)))))+(1-(1-'3. The decision'!$B$9*MAX(0,MIN(1,('3. The decision'!$B$10/(52/12))-1))))*(1-'3. The decision'!$B$14)+(1-(1-'3. The decision'!$B$9*MAX(0,MIN(1,('3. The decision'!$B$10/(52/12))-2))))*(1-'3. The decision'!$B$14)*(1-'3. The decision'!$B$27)</f>
        <v>0.884576923076923</v>
      </c>
      <c r="H216" s="15" t="n">
        <f aca="false">IF(A216&lt;=0,0,MAX(0,ROUNDUP(LN('3. The decision'!$B$13)/LN(1+A216)-0.000000000001,0)-1))</f>
        <v>3</v>
      </c>
      <c r="I216" s="15" t="n">
        <f aca="false">IF(A216&lt;=0,1/(1-C216),(1+A216)*(1-(C216*(1+A216))^H216)/(1-C216*(1+A216))+'3. The decision'!$B$13*C216^H216/(1-C216))</f>
        <v>3.21169126512971</v>
      </c>
      <c r="J216" s="17" t="n">
        <f aca="false">F216+E216*D216/(1-C216)</f>
        <v>11.769725584067</v>
      </c>
      <c r="K216" s="15" t="n">
        <f aca="false">F216-G216+E216*D216*I216</f>
        <v>13.5379413876</v>
      </c>
      <c r="L216" s="17" t="n">
        <f aca="false">'3. The decision'!$B$8*'3. The decision'!$B$5/J216</f>
        <v>39.902374668426</v>
      </c>
      <c r="M216" s="31" t="n">
        <f aca="false">L216*'3. The decision'!$B$6*'3. The decision'!$B$7*K216</f>
        <v>1036108.76440686</v>
      </c>
      <c r="N216" s="31" t="n">
        <f aca="false">M216*(1+'3. The decision'!$B$19+'3. The decision'!$B$20+'3. The decision'!$B$22)</f>
        <v>1145936.29343398</v>
      </c>
      <c r="O216" s="31" t="n">
        <f aca="false">'3. The decision'!$B$17+'3. The decision'!$B$18*L216*12+M216*('3. The decision'!$B$20*(1-'3. The decision'!$B$21)+'3. The decision'!$B$23)+N216*('3. The decision'!$B$24+'3. The decision'!$B$25)</f>
        <v>599858.688812034</v>
      </c>
      <c r="P216" s="31" t="n">
        <f aca="false">N216-O216</f>
        <v>546077.604621948</v>
      </c>
    </row>
    <row r="217" customFormat="false" ht="15" hidden="false" customHeight="false" outlineLevel="0" collapsed="false">
      <c r="A217" s="27" t="n">
        <f aca="false">66*0.0025</f>
        <v>0.165</v>
      </c>
      <c r="B217" s="27" t="n">
        <f aca="false">IF(A217&gt;0,MIN('3. The decision'!$B$15,'3. The decision'!$B$29*(A217/'3. The decision'!$B$28)^$B$148),0)</f>
        <v>0.121467876264129</v>
      </c>
      <c r="C217" s="15" t="n">
        <f aca="false">(1-'3. The decision'!$B$27-B217)*(1-'3. The decision'!$B$27)^('3. The decision'!$B$12-1)</f>
        <v>0.575631857817704</v>
      </c>
      <c r="D217" s="15" t="n">
        <f aca="false">1+(1-'3. The decision'!$B$27-B217)*(1-(1-'3. The decision'!$B$27)^('3. The decision'!$B$12-1))/'3. The decision'!$B$27</f>
        <v>4.55489121681454</v>
      </c>
      <c r="E217" s="15" t="n">
        <f aca="false">(1-'3. The decision'!$B$14)*(1-'3. The decision'!$B$27)^('3. The decision'!$B$11-1)</f>
        <v>0.690273454655712</v>
      </c>
      <c r="F217" s="15" t="n">
        <f aca="false">1+(1-'3. The decision'!$B$14)*(1-(1-'3. The decision'!$B$27)^('3. The decision'!$B$11-1))/'3. The decision'!$B$27</f>
        <v>4.28912098262087</v>
      </c>
      <c r="G217" s="15" t="n">
        <f aca="false">(1-(1-'3. The decision'!$B$9*MIN(1,('3. The decision'!$B$10/(52/12)))))+(1-(1-'3. The decision'!$B$9*MAX(0,MIN(1,('3. The decision'!$B$10/(52/12))-1))))*(1-'3. The decision'!$B$14)+(1-(1-'3. The decision'!$B$9*MAX(0,MIN(1,('3. The decision'!$B$10/(52/12))-2))))*(1-'3. The decision'!$B$14)*(1-'3. The decision'!$B$27)</f>
        <v>0.884576923076923</v>
      </c>
      <c r="H217" s="15" t="n">
        <f aca="false">IF(A217&lt;=0,0,MAX(0,ROUNDUP(LN('3. The decision'!$B$13)/LN(1+A217)-0.000000000001,0)-1))</f>
        <v>3</v>
      </c>
      <c r="I217" s="15" t="n">
        <f aca="false">IF(A217&lt;=0,1/(1-C217),(1+A217)*(1-(C217*(1+A217))^H217)/(1-C217*(1+A217))+'3. The decision'!$B$13*C217^H217/(1-C217))</f>
        <v>3.19831117326128</v>
      </c>
      <c r="J217" s="17" t="n">
        <f aca="false">F217+E217*D217/(1-C217)</f>
        <v>11.6980666203472</v>
      </c>
      <c r="K217" s="15" t="n">
        <f aca="false">F217-G217+E217*D217*I217</f>
        <v>13.4604197713778</v>
      </c>
      <c r="L217" s="17" t="n">
        <f aca="false">'3. The decision'!$B$8*'3. The decision'!$B$5/J217</f>
        <v>40.1468050441024</v>
      </c>
      <c r="M217" s="31" t="n">
        <f aca="false">L217*'3. The decision'!$B$6*'3. The decision'!$B$7*K217</f>
        <v>1036486.30606111</v>
      </c>
      <c r="N217" s="31" t="n">
        <f aca="false">M217*(1+'3. The decision'!$B$19+'3. The decision'!$B$20+'3. The decision'!$B$22)</f>
        <v>1146353.85450359</v>
      </c>
      <c r="O217" s="31" t="n">
        <f aca="false">'3. The decision'!$B$17+'3. The decision'!$B$18*L217*12+M217*('3. The decision'!$B$20*(1-'3. The decision'!$B$21)+'3. The decision'!$B$23)+N217*('3. The decision'!$B$24+'3. The decision'!$B$25)</f>
        <v>600269.593545424</v>
      </c>
      <c r="P217" s="31" t="n">
        <f aca="false">N217-O217</f>
        <v>546084.260958162</v>
      </c>
    </row>
    <row r="218" customFormat="false" ht="15" hidden="false" customHeight="false" outlineLevel="0" collapsed="false">
      <c r="A218" s="27" t="n">
        <f aca="false">67*0.0025</f>
        <v>0.1675</v>
      </c>
      <c r="B218" s="27" t="n">
        <f aca="false">IF(A218&gt;0,MIN('3. The decision'!$B$15,'3. The decision'!$B$29*(A218/'3. The decision'!$B$28)^$B$148),0)</f>
        <v>0.125176606186794</v>
      </c>
      <c r="C218" s="15" t="n">
        <f aca="false">(1-'3. The decision'!$B$27-B218)*(1-'3. The decision'!$B$27)^('3. The decision'!$B$12-1)</f>
        <v>0.573002820082465</v>
      </c>
      <c r="D218" s="15" t="n">
        <f aca="false">1+(1-'3. The decision'!$B$27-B218)*(1-(1-'3. The decision'!$B$27)^('3. The decision'!$B$12-1))/'3. The decision'!$B$27</f>
        <v>4.53865524407129</v>
      </c>
      <c r="E218" s="15" t="n">
        <f aca="false">(1-'3. The decision'!$B$14)*(1-'3. The decision'!$B$27)^('3. The decision'!$B$11-1)</f>
        <v>0.690273454655712</v>
      </c>
      <c r="F218" s="15" t="n">
        <f aca="false">1+(1-'3. The decision'!$B$14)*(1-(1-'3. The decision'!$B$27)^('3. The decision'!$B$11-1))/'3. The decision'!$B$27</f>
        <v>4.28912098262087</v>
      </c>
      <c r="G218" s="15" t="n">
        <f aca="false">(1-(1-'3. The decision'!$B$9*MIN(1,('3. The decision'!$B$10/(52/12)))))+(1-(1-'3. The decision'!$B$9*MAX(0,MIN(1,('3. The decision'!$B$10/(52/12))-1))))*(1-'3. The decision'!$B$14)+(1-(1-'3. The decision'!$B$9*MAX(0,MIN(1,('3. The decision'!$B$10/(52/12))-2))))*(1-'3. The decision'!$B$14)*(1-'3. The decision'!$B$27)</f>
        <v>0.884576923076923</v>
      </c>
      <c r="H218" s="15" t="n">
        <f aca="false">IF(A218&lt;=0,0,MAX(0,ROUNDUP(LN('3. The decision'!$B$13)/LN(1+A218)-0.000000000001,0)-1))</f>
        <v>3</v>
      </c>
      <c r="I218" s="15" t="n">
        <f aca="false">IF(A218&lt;=0,1/(1-C218),(1+A218)*(1-(C218*(1+A218))^H218)/(1-C218*(1+A218))+'3. The decision'!$B$13*C218^H218/(1-C218))</f>
        <v>3.18480581834767</v>
      </c>
      <c r="J218" s="17" t="n">
        <f aca="false">F218+E218*D218/(1-C218)</f>
        <v>11.6262027765133</v>
      </c>
      <c r="K218" s="15" t="n">
        <f aca="false">F218-G218+E218*D218*I218</f>
        <v>13.3822643581655</v>
      </c>
      <c r="L218" s="17" t="n">
        <f aca="false">'3. The decision'!$B$8*'3. The decision'!$B$5/J218</f>
        <v>40.3949603346627</v>
      </c>
      <c r="M218" s="31" t="n">
        <f aca="false">L218*'3. The decision'!$B$6*'3. The decision'!$B$7*K218</f>
        <v>1036837.66798939</v>
      </c>
      <c r="N218" s="31" t="n">
        <f aca="false">M218*(1+'3. The decision'!$B$19+'3. The decision'!$B$20+'3. The decision'!$B$22)</f>
        <v>1146742.46079627</v>
      </c>
      <c r="O218" s="31" t="n">
        <f aca="false">'3. The decision'!$B$17+'3. The decision'!$B$18*L218*12+M218*('3. The decision'!$B$20*(1-'3. The decision'!$B$21)+'3. The decision'!$B$23)+N218*('3. The decision'!$B$24+'3. The decision'!$B$25)</f>
        <v>600683.323255279</v>
      </c>
      <c r="P218" s="31" t="n">
        <f aca="false">N218-O218</f>
        <v>546059.137540988</v>
      </c>
    </row>
    <row r="219" customFormat="false" ht="15" hidden="false" customHeight="false" outlineLevel="0" collapsed="false">
      <c r="A219" s="27" t="n">
        <f aca="false">68*0.0025</f>
        <v>0.17</v>
      </c>
      <c r="B219" s="27" t="n">
        <f aca="false">IF(A219&gt;0,MIN('3. The decision'!$B$15,'3. The decision'!$B$29*(A219/'3. The decision'!$B$28)^$B$148),0)</f>
        <v>0.128941106484236</v>
      </c>
      <c r="C219" s="15" t="n">
        <f aca="false">(1-'3. The decision'!$B$27-B219)*(1-'3. The decision'!$B$27)^('3. The decision'!$B$12-1)</f>
        <v>0.570334247945193</v>
      </c>
      <c r="D219" s="15" t="n">
        <f aca="false">1+(1-'3. The decision'!$B$27-B219)*(1-(1-'3. The decision'!$B$27)^('3. The decision'!$B$12-1))/'3. The decision'!$B$27</f>
        <v>4.52217512136198</v>
      </c>
      <c r="E219" s="15" t="n">
        <f aca="false">(1-'3. The decision'!$B$14)*(1-'3. The decision'!$B$27)^('3. The decision'!$B$11-1)</f>
        <v>0.690273454655712</v>
      </c>
      <c r="F219" s="15" t="n">
        <f aca="false">1+(1-'3. The decision'!$B$14)*(1-(1-'3. The decision'!$B$27)^('3. The decision'!$B$11-1))/'3. The decision'!$B$27</f>
        <v>4.28912098262087</v>
      </c>
      <c r="G219" s="15" t="n">
        <f aca="false">(1-(1-'3. The decision'!$B$9*MIN(1,('3. The decision'!$B$10/(52/12)))))+(1-(1-'3. The decision'!$B$9*MAX(0,MIN(1,('3. The decision'!$B$10/(52/12))-1))))*(1-'3. The decision'!$B$14)+(1-(1-'3. The decision'!$B$9*MAX(0,MIN(1,('3. The decision'!$B$10/(52/12))-2))))*(1-'3. The decision'!$B$14)*(1-'3. The decision'!$B$27)</f>
        <v>0.884576923076923</v>
      </c>
      <c r="H219" s="15" t="n">
        <f aca="false">IF(A219&lt;=0,0,MAX(0,ROUNDUP(LN('3. The decision'!$B$13)/LN(1+A219)-0.000000000001,0)-1))</f>
        <v>3</v>
      </c>
      <c r="I219" s="15" t="n">
        <f aca="false">IF(A219&lt;=0,1/(1-C219),(1+A219)*(1-(C219*(1+A219))^H219)/(1-C219*(1+A219))+'3. The decision'!$B$13*C219^H219/(1-C219))</f>
        <v>3.17118077531522</v>
      </c>
      <c r="J219" s="17" t="n">
        <f aca="false">F219+E219*D219/(1-C219)</f>
        <v>11.5541576504316</v>
      </c>
      <c r="K219" s="15" t="n">
        <f aca="false">F219-G219+E219*D219*I219</f>
        <v>13.3035035900535</v>
      </c>
      <c r="L219" s="17" t="n">
        <f aca="false">'3. The decision'!$B$8*'3. The decision'!$B$5/J219</f>
        <v>40.6468402291929</v>
      </c>
      <c r="M219" s="31" t="n">
        <f aca="false">L219*'3. The decision'!$B$6*'3. The decision'!$B$7*K219</f>
        <v>1037162.47951032</v>
      </c>
      <c r="N219" s="31" t="n">
        <f aca="false">M219*(1+'3. The decision'!$B$19+'3. The decision'!$B$20+'3. The decision'!$B$22)</f>
        <v>1147101.70233842</v>
      </c>
      <c r="O219" s="31" t="n">
        <f aca="false">'3. The decision'!$B$17+'3. The decision'!$B$18*L219*12+M219*('3. The decision'!$B$20*(1-'3. The decision'!$B$21)+'3. The decision'!$B$23)+N219*('3. The decision'!$B$24+'3. The decision'!$B$25)</f>
        <v>601099.837575291</v>
      </c>
      <c r="P219" s="31" t="n">
        <f aca="false">N219-O219</f>
        <v>546001.864763125</v>
      </c>
    </row>
    <row r="220" customFormat="false" ht="15" hidden="false" customHeight="false" outlineLevel="0" collapsed="false">
      <c r="A220" s="27" t="n">
        <f aca="false">69*0.0025</f>
        <v>0.1725</v>
      </c>
      <c r="B220" s="27" t="n">
        <f aca="false">IF(A220&gt;0,MIN('3. The decision'!$B$15,'3. The decision'!$B$29*(A220/'3. The decision'!$B$28)^$B$148),0)</f>
        <v>0.132761377156454</v>
      </c>
      <c r="C220" s="15" t="n">
        <f aca="false">(1-'3. The decision'!$B$27-B220)*(1-'3. The decision'!$B$27)^('3. The decision'!$B$12-1)</f>
        <v>0.567626141405887</v>
      </c>
      <c r="D220" s="15" t="n">
        <f aca="false">1+(1-'3. The decision'!$B$27-B220)*(1-(1-'3. The decision'!$B$27)^('3. The decision'!$B$12-1))/'3. The decision'!$B$27</f>
        <v>4.5054508486866</v>
      </c>
      <c r="E220" s="15" t="n">
        <f aca="false">(1-'3. The decision'!$B$14)*(1-'3. The decision'!$B$27)^('3. The decision'!$B$11-1)</f>
        <v>0.690273454655712</v>
      </c>
      <c r="F220" s="15" t="n">
        <f aca="false">1+(1-'3. The decision'!$B$14)*(1-(1-'3. The decision'!$B$27)^('3. The decision'!$B$11-1))/'3. The decision'!$B$27</f>
        <v>4.28912098262087</v>
      </c>
      <c r="G220" s="15" t="n">
        <f aca="false">(1-(1-'3. The decision'!$B$9*MIN(1,('3. The decision'!$B$10/(52/12)))))+(1-(1-'3. The decision'!$B$9*MAX(0,MIN(1,('3. The decision'!$B$10/(52/12))-1))))*(1-'3. The decision'!$B$14)+(1-(1-'3. The decision'!$B$9*MAX(0,MIN(1,('3. The decision'!$B$10/(52/12))-2))))*(1-'3. The decision'!$B$14)*(1-'3. The decision'!$B$27)</f>
        <v>0.884576923076923</v>
      </c>
      <c r="H220" s="15" t="n">
        <f aca="false">IF(A220&lt;=0,0,MAX(0,ROUNDUP(LN('3. The decision'!$B$13)/LN(1+A220)-0.000000000001,0)-1))</f>
        <v>3</v>
      </c>
      <c r="I220" s="15" t="n">
        <f aca="false">IF(A220&lt;=0,1/(1-C220),(1+A220)*(1-(C220*(1+A220))^H220)/(1-C220*(1+A220))+'3. The decision'!$B$13*C220^H220/(1-C220))</f>
        <v>3.15744147559645</v>
      </c>
      <c r="J220" s="17" t="n">
        <f aca="false">F220+E220*D220/(1-C220)</f>
        <v>11.4819543611621</v>
      </c>
      <c r="K220" s="15" t="n">
        <f aca="false">F220-G220+E220*D220*I220</f>
        <v>13.2241653320961</v>
      </c>
      <c r="L220" s="17" t="n">
        <f aca="false">'3. The decision'!$B$8*'3. The decision'!$B$5/J220</f>
        <v>40.9024444121259</v>
      </c>
      <c r="M220" s="31" t="n">
        <f aca="false">L220*'3. The decision'!$B$6*'3. The decision'!$B$7*K220</f>
        <v>1037460.353351</v>
      </c>
      <c r="N220" s="31" t="n">
        <f aca="false">M220*(1+'3. The decision'!$B$19+'3. The decision'!$B$20+'3. The decision'!$B$22)</f>
        <v>1147431.15080621</v>
      </c>
      <c r="O220" s="31" t="n">
        <f aca="false">'3. The decision'!$B$17+'3. The decision'!$B$18*L220*12+M220*('3. The decision'!$B$20*(1-'3. The decision'!$B$21)+'3. The decision'!$B$23)+N220*('3. The decision'!$B$24+'3. The decision'!$B$25)</f>
        <v>601519.094346408</v>
      </c>
      <c r="P220" s="31" t="n">
        <f aca="false">N220-O220</f>
        <v>545912.056459799</v>
      </c>
    </row>
    <row r="221" customFormat="false" ht="15" hidden="false" customHeight="false" outlineLevel="0" collapsed="false">
      <c r="A221" s="27" t="n">
        <f aca="false">70*0.0025</f>
        <v>0.175</v>
      </c>
      <c r="B221" s="27" t="n">
        <f aca="false">IF(A221&gt;0,MIN('3. The decision'!$B$15,'3. The decision'!$B$29*(A221/'3. The decision'!$B$28)^$B$148),0)</f>
        <v>0.13663741820345</v>
      </c>
      <c r="C221" s="15" t="n">
        <f aca="false">(1-'3. The decision'!$B$27-B221)*(1-'3. The decision'!$B$27)^('3. The decision'!$B$12-1)</f>
        <v>0.564878500464547</v>
      </c>
      <c r="D221" s="15" t="n">
        <f aca="false">1+(1-'3. The decision'!$B$27-B221)*(1-(1-'3. The decision'!$B$27)^('3. The decision'!$B$12-1))/'3. The decision'!$B$27</f>
        <v>4.48848242604516</v>
      </c>
      <c r="E221" s="15" t="n">
        <f aca="false">(1-'3. The decision'!$B$14)*(1-'3. The decision'!$B$27)^('3. The decision'!$B$11-1)</f>
        <v>0.690273454655712</v>
      </c>
      <c r="F221" s="15" t="n">
        <f aca="false">1+(1-'3. The decision'!$B$14)*(1-(1-'3. The decision'!$B$27)^('3. The decision'!$B$11-1))/'3. The decision'!$B$27</f>
        <v>4.28912098262087</v>
      </c>
      <c r="G221" s="15" t="n">
        <f aca="false">(1-(1-'3. The decision'!$B$9*MIN(1,('3. The decision'!$B$10/(52/12)))))+(1-(1-'3. The decision'!$B$9*MAX(0,MIN(1,('3. The decision'!$B$10/(52/12))-1))))*(1-'3. The decision'!$B$14)+(1-(1-'3. The decision'!$B$9*MAX(0,MIN(1,('3. The decision'!$B$10/(52/12))-2))))*(1-'3. The decision'!$B$14)*(1-'3. The decision'!$B$27)</f>
        <v>0.884576923076923</v>
      </c>
      <c r="H221" s="15" t="n">
        <f aca="false">IF(A221&lt;=0,0,MAX(0,ROUNDUP(LN('3. The decision'!$B$13)/LN(1+A221)-0.000000000001,0)-1))</f>
        <v>2</v>
      </c>
      <c r="I221" s="15" t="n">
        <f aca="false">IF(A221&lt;=0,1/(1-C221),(1+A221)*(1-(C221*(1+A221))^H221)/(1-C221*(1+A221))+'3. The decision'!$B$13*C221^H221/(1-C221))</f>
        <v>3.14288024416572</v>
      </c>
      <c r="J221" s="17" t="n">
        <f aca="false">F221+E221*D221/(1-C221)</f>
        <v>11.4096155426356</v>
      </c>
      <c r="K221" s="15" t="n">
        <f aca="false">F221-G221+E221*D221*I221</f>
        <v>13.1420679122337</v>
      </c>
      <c r="L221" s="17" t="n">
        <f aca="false">'3. The decision'!$B$8*'3. The decision'!$B$5/J221</f>
        <v>41.1617725632423</v>
      </c>
      <c r="M221" s="31" t="n">
        <f aca="false">L221*'3. The decision'!$B$6*'3. The decision'!$B$7*K221</f>
        <v>1037556.49049507</v>
      </c>
      <c r="N221" s="31" t="n">
        <f aca="false">M221*(1+'3. The decision'!$B$19+'3. The decision'!$B$20+'3. The decision'!$B$22)</f>
        <v>1147537.47848755</v>
      </c>
      <c r="O221" s="31" t="n">
        <f aca="false">'3. The decision'!$B$17+'3. The decision'!$B$18*L221*12+M221*('3. The decision'!$B$20*(1-'3. The decision'!$B$21)+'3. The decision'!$B$23)+N221*('3. The decision'!$B$24+'3. The decision'!$B$25)</f>
        <v>601922.279989819</v>
      </c>
      <c r="P221" s="31" t="n">
        <f aca="false">N221-O221</f>
        <v>545615.198497727</v>
      </c>
    </row>
    <row r="222" customFormat="false" ht="15" hidden="false" customHeight="false" outlineLevel="0" collapsed="false">
      <c r="A222" s="27" t="n">
        <f aca="false">71*0.0025</f>
        <v>0.1775</v>
      </c>
      <c r="B222" s="27" t="n">
        <f aca="false">IF(A222&gt;0,MIN('3. The decision'!$B$15,'3. The decision'!$B$29*(A222/'3. The decision'!$B$28)^$B$148),0)</f>
        <v>0.140569229625223</v>
      </c>
      <c r="C222" s="15" t="n">
        <f aca="false">(1-'3. The decision'!$B$27-B222)*(1-'3. The decision'!$B$27)^('3. The decision'!$B$12-1)</f>
        <v>0.562091325121173</v>
      </c>
      <c r="D222" s="15" t="n">
        <f aca="false">1+(1-'3. The decision'!$B$27-B222)*(1-(1-'3. The decision'!$B$27)^('3. The decision'!$B$12-1))/'3. The decision'!$B$27</f>
        <v>4.47126985343765</v>
      </c>
      <c r="E222" s="15" t="n">
        <f aca="false">(1-'3. The decision'!$B$14)*(1-'3. The decision'!$B$27)^('3. The decision'!$B$11-1)</f>
        <v>0.690273454655712</v>
      </c>
      <c r="F222" s="15" t="n">
        <f aca="false">1+(1-'3. The decision'!$B$14)*(1-(1-'3. The decision'!$B$27)^('3. The decision'!$B$11-1))/'3. The decision'!$B$27</f>
        <v>4.28912098262087</v>
      </c>
      <c r="G222" s="15" t="n">
        <f aca="false">(1-(1-'3. The decision'!$B$9*MIN(1,('3. The decision'!$B$10/(52/12)))))+(1-(1-'3. The decision'!$B$9*MAX(0,MIN(1,('3. The decision'!$B$10/(52/12))-1))))*(1-'3. The decision'!$B$14)+(1-(1-'3. The decision'!$B$9*MAX(0,MIN(1,('3. The decision'!$B$10/(52/12))-2))))*(1-'3. The decision'!$B$14)*(1-'3. The decision'!$B$27)</f>
        <v>0.884576923076923</v>
      </c>
      <c r="H222" s="15" t="n">
        <f aca="false">IF(A222&lt;=0,0,MAX(0,ROUNDUP(LN('3. The decision'!$B$13)/LN(1+A222)-0.000000000001,0)-1))</f>
        <v>2</v>
      </c>
      <c r="I222" s="15" t="n">
        <f aca="false">IF(A222&lt;=0,1/(1-C222),(1+A222)*(1-(C222*(1+A222))^H222)/(1-C222*(1+A222))+'3. The decision'!$B$13*C222^H222/(1-C222))</f>
        <v>3.12565666876558</v>
      </c>
      <c r="J222" s="17" t="n">
        <f aca="false">F222+E222*D222/(1-C222)</f>
        <v>11.3371633382202</v>
      </c>
      <c r="K222" s="15" t="n">
        <f aca="false">F222-G222+E222*D222*I222</f>
        <v>13.0515673276369</v>
      </c>
      <c r="L222" s="17" t="n">
        <f aca="false">'3. The decision'!$B$8*'3. The decision'!$B$5/J222</f>
        <v>41.4248243576711</v>
      </c>
      <c r="M222" s="31" t="n">
        <f aca="false">L222*'3. The decision'!$B$6*'3. The decision'!$B$7*K222</f>
        <v>1036996.56897377</v>
      </c>
      <c r="N222" s="31" t="n">
        <f aca="false">M222*(1+'3. The decision'!$B$19+'3. The decision'!$B$20+'3. The decision'!$B$22)</f>
        <v>1146918.20528498</v>
      </c>
      <c r="O222" s="31" t="n">
        <f aca="false">'3. The decision'!$B$17+'3. The decision'!$B$18*L222*12+M222*('3. The decision'!$B$20*(1-'3. The decision'!$B$21)+'3. The decision'!$B$23)+N222*('3. The decision'!$B$24+'3. The decision'!$B$25)</f>
        <v>602260.496702866</v>
      </c>
      <c r="P222" s="31" t="n">
        <f aca="false">N222-O222</f>
        <v>544657.708582119</v>
      </c>
    </row>
    <row r="223" customFormat="false" ht="15" hidden="false" customHeight="false" outlineLevel="0" collapsed="false">
      <c r="A223" s="27" t="n">
        <f aca="false">72*0.0025</f>
        <v>0.18</v>
      </c>
      <c r="B223" s="27" t="n">
        <f aca="false">IF(A223&gt;0,MIN('3. The decision'!$B$15,'3. The decision'!$B$29*(A223/'3. The decision'!$B$28)^$B$148),0)</f>
        <v>0.144556811421773</v>
      </c>
      <c r="C223" s="15" t="n">
        <f aca="false">(1-'3. The decision'!$B$27-B223)*(1-'3. The decision'!$B$27)^('3. The decision'!$B$12-1)</f>
        <v>0.559264615375766</v>
      </c>
      <c r="D223" s="15" t="n">
        <f aca="false">1+(1-'3. The decision'!$B$27-B223)*(1-(1-'3. The decision'!$B$27)^('3. The decision'!$B$12-1))/'3. The decision'!$B$27</f>
        <v>4.45381313086408</v>
      </c>
      <c r="E223" s="15" t="n">
        <f aca="false">(1-'3. The decision'!$B$14)*(1-'3. The decision'!$B$27)^('3. The decision'!$B$11-1)</f>
        <v>0.690273454655712</v>
      </c>
      <c r="F223" s="15" t="n">
        <f aca="false">1+(1-'3. The decision'!$B$14)*(1-(1-'3. The decision'!$B$27)^('3. The decision'!$B$11-1))/'3. The decision'!$B$27</f>
        <v>4.28912098262087</v>
      </c>
      <c r="G223" s="15" t="n">
        <f aca="false">(1-(1-'3. The decision'!$B$9*MIN(1,('3. The decision'!$B$10/(52/12)))))+(1-(1-'3. The decision'!$B$9*MAX(0,MIN(1,('3. The decision'!$B$10/(52/12))-1))))*(1-'3. The decision'!$B$14)+(1-(1-'3. The decision'!$B$9*MAX(0,MIN(1,('3. The decision'!$B$10/(52/12))-2))))*(1-'3. The decision'!$B$14)*(1-'3. The decision'!$B$27)</f>
        <v>0.884576923076923</v>
      </c>
      <c r="H223" s="15" t="n">
        <f aca="false">IF(A223&lt;=0,0,MAX(0,ROUNDUP(LN('3. The decision'!$B$13)/LN(1+A223)-0.000000000001,0)-1))</f>
        <v>2</v>
      </c>
      <c r="I223" s="15" t="n">
        <f aca="false">IF(A223&lt;=0,1/(1-C223),(1+A223)*(1-(C223*(1+A223))^H223)/(1-C223*(1+A223))+'3. The decision'!$B$13*C223^H223/(1-C223))</f>
        <v>3.10838629440301</v>
      </c>
      <c r="J223" s="17" t="n">
        <f aca="false">F223+E223*D223/(1-C223)</f>
        <v>11.2646193961501</v>
      </c>
      <c r="K223" s="15" t="n">
        <f aca="false">F223-G223+E223*D223*I223</f>
        <v>12.960808281477</v>
      </c>
      <c r="L223" s="17" t="n">
        <f aca="false">'3. The decision'!$B$8*'3. The decision'!$B$5/J223</f>
        <v>41.6915994658914</v>
      </c>
      <c r="M223" s="31" t="n">
        <f aca="false">L223*'3. The decision'!$B$6*'3. The decision'!$B$7*K223</f>
        <v>1036417.21741222</v>
      </c>
      <c r="N223" s="31" t="n">
        <f aca="false">M223*(1+'3. The decision'!$B$19+'3. The decision'!$B$20+'3. The decision'!$B$22)</f>
        <v>1146277.44245792</v>
      </c>
      <c r="O223" s="31" t="n">
        <f aca="false">'3. The decision'!$B$17+'3. The decision'!$B$18*L223*12+M223*('3. The decision'!$B$20*(1-'3. The decision'!$B$21)+'3. The decision'!$B$23)+N223*('3. The decision'!$B$24+'3. The decision'!$B$25)</f>
        <v>602602.262415417</v>
      </c>
      <c r="P223" s="31" t="n">
        <f aca="false">N223-O223</f>
        <v>543675.180042501</v>
      </c>
    </row>
    <row r="224" customFormat="false" ht="15" hidden="false" customHeight="false" outlineLevel="0" collapsed="false">
      <c r="A224" s="27" t="n">
        <f aca="false">73*0.0025</f>
        <v>0.1825</v>
      </c>
      <c r="B224" s="27" t="n">
        <f aca="false">IF(A224&gt;0,MIN('3. The decision'!$B$15,'3. The decision'!$B$29*(A224/'3. The decision'!$B$28)^$B$148),0)</f>
        <v>0.148600163593099</v>
      </c>
      <c r="C224" s="15" t="n">
        <f aca="false">(1-'3. The decision'!$B$27-B224)*(1-'3. The decision'!$B$27)^('3. The decision'!$B$12-1)</f>
        <v>0.556398371228325</v>
      </c>
      <c r="D224" s="15" t="n">
        <f aca="false">1+(1-'3. The decision'!$B$27-B224)*(1-(1-'3. The decision'!$B$27)^('3. The decision'!$B$12-1))/'3. The decision'!$B$27</f>
        <v>4.43611225832445</v>
      </c>
      <c r="E224" s="15" t="n">
        <f aca="false">(1-'3. The decision'!$B$14)*(1-'3. The decision'!$B$27)^('3. The decision'!$B$11-1)</f>
        <v>0.690273454655712</v>
      </c>
      <c r="F224" s="15" t="n">
        <f aca="false">1+(1-'3. The decision'!$B$14)*(1-(1-'3. The decision'!$B$27)^('3. The decision'!$B$11-1))/'3. The decision'!$B$27</f>
        <v>4.28912098262087</v>
      </c>
      <c r="G224" s="15" t="n">
        <f aca="false">(1-(1-'3. The decision'!$B$9*MIN(1,('3. The decision'!$B$10/(52/12)))))+(1-(1-'3. The decision'!$B$9*MAX(0,MIN(1,('3. The decision'!$B$10/(52/12))-1))))*(1-'3. The decision'!$B$14)+(1-(1-'3. The decision'!$B$9*MAX(0,MIN(1,('3. The decision'!$B$10/(52/12))-2))))*(1-'3. The decision'!$B$14)*(1-'3. The decision'!$B$27)</f>
        <v>0.884576923076923</v>
      </c>
      <c r="H224" s="15" t="n">
        <f aca="false">IF(A224&lt;=0,0,MAX(0,ROUNDUP(LN('3. The decision'!$B$13)/LN(1+A224)-0.000000000001,0)-1))</f>
        <v>2</v>
      </c>
      <c r="I224" s="15" t="n">
        <f aca="false">IF(A224&lt;=0,1/(1-C224),(1+A224)*(1-(C224*(1+A224))^H224)/(1-C224*(1+A224))+'3. The decision'!$B$13*C224^H224/(1-C224))</f>
        <v>3.09107523326738</v>
      </c>
      <c r="J224" s="17" t="n">
        <f aca="false">F224+E224*D224/(1-C224)</f>
        <v>11.1920048657868</v>
      </c>
      <c r="K224" s="15" t="n">
        <f aca="false">F224-G224+E224*D224*I224</f>
        <v>12.8698199135869</v>
      </c>
      <c r="L224" s="17" t="n">
        <f aca="false">'3. The decision'!$B$8*'3. The decision'!$B$5/J224</f>
        <v>41.9620975537328</v>
      </c>
      <c r="M224" s="31" t="n">
        <f aca="false">L224*'3. The decision'!$B$6*'3. The decision'!$B$7*K224</f>
        <v>1035818.43166991</v>
      </c>
      <c r="N224" s="31" t="n">
        <f aca="false">M224*(1+'3. The decision'!$B$19+'3. The decision'!$B$20+'3. The decision'!$B$22)</f>
        <v>1145615.18542691</v>
      </c>
      <c r="O224" s="31" t="n">
        <f aca="false">'3. The decision'!$B$17+'3. The decision'!$B$18*L224*12+M224*('3. The decision'!$B$20*(1-'3. The decision'!$B$21)+'3. The decision'!$B$23)+N224*('3. The decision'!$B$24+'3. The decision'!$B$25)</f>
        <v>602947.576175627</v>
      </c>
      <c r="P224" s="31" t="n">
        <f aca="false">N224-O224</f>
        <v>542667.609251288</v>
      </c>
    </row>
    <row r="225" customFormat="false" ht="15" hidden="false" customHeight="false" outlineLevel="0" collapsed="false">
      <c r="A225" s="27" t="n">
        <f aca="false">74*0.0025</f>
        <v>0.185</v>
      </c>
      <c r="B225" s="27" t="n">
        <f aca="false">IF(A225&gt;0,MIN('3. The decision'!$B$15,'3. The decision'!$B$29*(A225/'3. The decision'!$B$28)^$B$148),0)</f>
        <v>0.152699286139203</v>
      </c>
      <c r="C225" s="15" t="n">
        <f aca="false">(1-'3. The decision'!$B$27-B225)*(1-'3. The decision'!$B$27)^('3. The decision'!$B$12-1)</f>
        <v>0.55349259267885</v>
      </c>
      <c r="D225" s="15" t="n">
        <f aca="false">1+(1-'3. The decision'!$B$27-B225)*(1-(1-'3. The decision'!$B$27)^('3. The decision'!$B$12-1))/'3. The decision'!$B$27</f>
        <v>4.41816723581875</v>
      </c>
      <c r="E225" s="15" t="n">
        <f aca="false">(1-'3. The decision'!$B$14)*(1-'3. The decision'!$B$27)^('3. The decision'!$B$11-1)</f>
        <v>0.690273454655712</v>
      </c>
      <c r="F225" s="15" t="n">
        <f aca="false">1+(1-'3. The decision'!$B$14)*(1-(1-'3. The decision'!$B$27)^('3. The decision'!$B$11-1))/'3. The decision'!$B$27</f>
        <v>4.28912098262087</v>
      </c>
      <c r="G225" s="15" t="n">
        <f aca="false">(1-(1-'3. The decision'!$B$9*MIN(1,('3. The decision'!$B$10/(52/12)))))+(1-(1-'3. The decision'!$B$9*MAX(0,MIN(1,('3. The decision'!$B$10/(52/12))-1))))*(1-'3. The decision'!$B$14)+(1-(1-'3. The decision'!$B$9*MAX(0,MIN(1,('3. The decision'!$B$10/(52/12))-2))))*(1-'3. The decision'!$B$14)*(1-'3. The decision'!$B$27)</f>
        <v>0.884576923076923</v>
      </c>
      <c r="H225" s="15" t="n">
        <f aca="false">IF(A225&lt;=0,0,MAX(0,ROUNDUP(LN('3. The decision'!$B$13)/LN(1+A225)-0.000000000001,0)-1))</f>
        <v>2</v>
      </c>
      <c r="I225" s="15" t="n">
        <f aca="false">IF(A225&lt;=0,1/(1-C225),(1+A225)*(1-(C225*(1+A225))^H225)/(1-C225*(1+A225))+'3. The decision'!$B$13*C225^H225/(1-C225))</f>
        <v>3.07372943045956</v>
      </c>
      <c r="J225" s="17" t="n">
        <f aca="false">F225+E225*D225/(1-C225)</f>
        <v>11.1193403946849</v>
      </c>
      <c r="K225" s="15" t="n">
        <f aca="false">F225-G225+E225*D225*I225</f>
        <v>12.7786305986986</v>
      </c>
      <c r="L225" s="17" t="n">
        <f aca="false">'3. The decision'!$B$8*'3. The decision'!$B$5/J225</f>
        <v>42.2363182823768</v>
      </c>
      <c r="M225" s="31" t="n">
        <f aca="false">L225*'3. The decision'!$B$6*'3. The decision'!$B$7*K225</f>
        <v>1035200.19597643</v>
      </c>
      <c r="N225" s="31" t="n">
        <f aca="false">M225*(1+'3. The decision'!$B$19+'3. The decision'!$B$20+'3. The decision'!$B$22)</f>
        <v>1144931.41674993</v>
      </c>
      <c r="O225" s="31" t="n">
        <f aca="false">'3. The decision'!$B$17+'3. The decision'!$B$18*L225*12+M225*('3. The decision'!$B$20*(1-'3. The decision'!$B$21)+'3. The decision'!$B$23)+N225*('3. The decision'!$B$24+'3. The decision'!$B$25)</f>
        <v>603296.435772923</v>
      </c>
      <c r="P225" s="31" t="n">
        <f aca="false">N225-O225</f>
        <v>541634.980977008</v>
      </c>
    </row>
    <row r="226" customFormat="false" ht="15" hidden="false" customHeight="false" outlineLevel="0" collapsed="false">
      <c r="A226" s="27" t="n">
        <f aca="false">75*0.0025</f>
        <v>0.1875</v>
      </c>
      <c r="B226" s="27" t="n">
        <f aca="false">IF(A226&gt;0,MIN('3. The decision'!$B$15,'3. The decision'!$B$29*(A226/'3. The decision'!$B$28)^$B$148),0)</f>
        <v>0.156854179060083</v>
      </c>
      <c r="C226" s="15" t="n">
        <f aca="false">(1-'3. The decision'!$B$27-B226)*(1-'3. The decision'!$B$27)^('3. The decision'!$B$12-1)</f>
        <v>0.550547279727342</v>
      </c>
      <c r="D226" s="15" t="n">
        <f aca="false">1+(1-'3. The decision'!$B$27-B226)*(1-(1-'3. The decision'!$B$27)^('3. The decision'!$B$12-1))/'3. The decision'!$B$27</f>
        <v>4.39997806334699</v>
      </c>
      <c r="E226" s="15" t="n">
        <f aca="false">(1-'3. The decision'!$B$14)*(1-'3. The decision'!$B$27)^('3. The decision'!$B$11-1)</f>
        <v>0.690273454655712</v>
      </c>
      <c r="F226" s="15" t="n">
        <f aca="false">1+(1-'3. The decision'!$B$14)*(1-(1-'3. The decision'!$B$27)^('3. The decision'!$B$11-1))/'3. The decision'!$B$27</f>
        <v>4.28912098262087</v>
      </c>
      <c r="G226" s="15" t="n">
        <f aca="false">(1-(1-'3. The decision'!$B$9*MIN(1,('3. The decision'!$B$10/(52/12)))))+(1-(1-'3. The decision'!$B$9*MAX(0,MIN(1,('3. The decision'!$B$10/(52/12))-1))))*(1-'3. The decision'!$B$14)+(1-(1-'3. The decision'!$B$9*MAX(0,MIN(1,('3. The decision'!$B$10/(52/12))-2))))*(1-'3. The decision'!$B$14)*(1-'3. The decision'!$B$27)</f>
        <v>0.884576923076923</v>
      </c>
      <c r="H226" s="15" t="n">
        <f aca="false">IF(A226&lt;=0,0,MAX(0,ROUNDUP(LN('3. The decision'!$B$13)/LN(1+A226)-0.000000000001,0)-1))</f>
        <v>2</v>
      </c>
      <c r="I226" s="15" t="n">
        <f aca="false">IF(A226&lt;=0,1/(1-C226),(1+A226)*(1-(C226*(1+A226))^H226)/(1-C226*(1+A226))+'3. The decision'!$B$13*C226^H226/(1-C226))</f>
        <v>3.05635466328502</v>
      </c>
      <c r="J226" s="17" t="n">
        <f aca="false">F226+E226*D226/(1-C226)</f>
        <v>11.04664612643</v>
      </c>
      <c r="K226" s="15" t="n">
        <f aca="false">F226-G226+E226*D226*I226</f>
        <v>12.6872679444845</v>
      </c>
      <c r="L226" s="17" t="n">
        <f aca="false">'3. The decision'!$B$8*'3. The decision'!$B$5/J226</f>
        <v>42.5142613083577</v>
      </c>
      <c r="M226" s="31" t="n">
        <f aca="false">L226*'3. The decision'!$B$6*'3. The decision'!$B$7*K226</f>
        <v>1034562.48281867</v>
      </c>
      <c r="N226" s="31" t="n">
        <f aca="false">M226*(1+'3. The decision'!$B$19+'3. The decision'!$B$20+'3. The decision'!$B$22)</f>
        <v>1144226.10599745</v>
      </c>
      <c r="O226" s="31" t="n">
        <f aca="false">'3. The decision'!$B$17+'3. The decision'!$B$18*L226*12+M226*('3. The decision'!$B$20*(1-'3. The decision'!$B$21)+'3. The decision'!$B$23)+N226*('3. The decision'!$B$24+'3. The decision'!$B$25)</f>
        <v>603648.837725858</v>
      </c>
      <c r="P226" s="31" t="n">
        <f aca="false">N226-O226</f>
        <v>540577.268271595</v>
      </c>
    </row>
    <row r="227" customFormat="false" ht="15" hidden="false" customHeight="false" outlineLevel="0" collapsed="false">
      <c r="A227" s="27" t="n">
        <f aca="false">76*0.0025</f>
        <v>0.19</v>
      </c>
      <c r="B227" s="27" t="n">
        <f aca="false">IF(A227&gt;0,MIN('3. The decision'!$B$15,'3. The decision'!$B$29*(A227/'3. The decision'!$B$28)^$B$148),0)</f>
        <v>0.161064842355741</v>
      </c>
      <c r="C227" s="15" t="n">
        <f aca="false">(1-'3. The decision'!$B$27-B227)*(1-'3. The decision'!$B$27)^('3. The decision'!$B$12-1)</f>
        <v>0.5475624323738</v>
      </c>
      <c r="D227" s="15" t="n">
        <f aca="false">1+(1-'3. The decision'!$B$27-B227)*(1-(1-'3. The decision'!$B$27)^('3. The decision'!$B$12-1))/'3. The decision'!$B$27</f>
        <v>4.38154474090916</v>
      </c>
      <c r="E227" s="15" t="n">
        <f aca="false">(1-'3. The decision'!$B$14)*(1-'3. The decision'!$B$27)^('3. The decision'!$B$11-1)</f>
        <v>0.690273454655712</v>
      </c>
      <c r="F227" s="15" t="n">
        <f aca="false">1+(1-'3. The decision'!$B$14)*(1-(1-'3. The decision'!$B$27)^('3. The decision'!$B$11-1))/'3. The decision'!$B$27</f>
        <v>4.28912098262087</v>
      </c>
      <c r="G227" s="15" t="n">
        <f aca="false">(1-(1-'3. The decision'!$B$9*MIN(1,('3. The decision'!$B$10/(52/12)))))+(1-(1-'3. The decision'!$B$9*MAX(0,MIN(1,('3. The decision'!$B$10/(52/12))-1))))*(1-'3. The decision'!$B$14)+(1-(1-'3. The decision'!$B$9*MAX(0,MIN(1,('3. The decision'!$B$10/(52/12))-2))))*(1-'3. The decision'!$B$14)*(1-'3. The decision'!$B$27)</f>
        <v>0.884576923076923</v>
      </c>
      <c r="H227" s="15" t="n">
        <f aca="false">IF(A227&lt;=0,0,MAX(0,ROUNDUP(LN('3. The decision'!$B$13)/LN(1+A227)-0.000000000001,0)-1))</f>
        <v>2</v>
      </c>
      <c r="I227" s="15" t="n">
        <f aca="false">IF(A227&lt;=0,1/(1-C227),(1+A227)*(1-(C227*(1+A227))^H227)/(1-C227*(1+A227))+'3. The decision'!$B$13*C227^H227/(1-C227))</f>
        <v>3.03895654079008</v>
      </c>
      <c r="J227" s="17" t="n">
        <f aca="false">F227+E227*D227/(1-C227)</f>
        <v>10.9739416992213</v>
      </c>
      <c r="K227" s="15" t="n">
        <f aca="false">F227-G227+E227*D227*I227</f>
        <v>12.5957587908112</v>
      </c>
      <c r="L227" s="17" t="n">
        <f aca="false">'3. The decision'!$B$8*'3. The decision'!$B$5/J227</f>
        <v>42.7959262835636</v>
      </c>
      <c r="M227" s="31" t="n">
        <f aca="false">L227*'3. The decision'!$B$6*'3. The decision'!$B$7*K227</f>
        <v>1033905.25283872</v>
      </c>
      <c r="N227" s="31" t="n">
        <f aca="false">M227*(1+'3. The decision'!$B$19+'3. The decision'!$B$20+'3. The decision'!$B$22)</f>
        <v>1143499.20963962</v>
      </c>
      <c r="O227" s="31" t="n">
        <f aca="false">'3. The decision'!$B$17+'3. The decision'!$B$18*L227*12+M227*('3. The decision'!$B$20*(1-'3. The decision'!$B$21)+'3. The decision'!$B$23)+N227*('3. The decision'!$B$24+'3. The decision'!$B$25)</f>
        <v>604004.777271125</v>
      </c>
      <c r="P227" s="31" t="n">
        <f aca="false">N227-O227</f>
        <v>539494.432368494</v>
      </c>
    </row>
    <row r="228" customFormat="false" ht="15" hidden="false" customHeight="false" outlineLevel="0" collapsed="false">
      <c r="A228" s="27" t="n">
        <f aca="false">77*0.0025</f>
        <v>0.1925</v>
      </c>
      <c r="B228" s="27" t="n">
        <f aca="false">IF(A228&gt;0,MIN('3. The decision'!$B$15,'3. The decision'!$B$29*(A228/'3. The decision'!$B$28)^$B$148),0)</f>
        <v>0.165331276026175</v>
      </c>
      <c r="C228" s="15" t="n">
        <f aca="false">(1-'3. The decision'!$B$27-B228)*(1-'3. The decision'!$B$27)^('3. The decision'!$B$12-1)</f>
        <v>0.544538050618224</v>
      </c>
      <c r="D228" s="15" t="n">
        <f aca="false">1+(1-'3. The decision'!$B$27-B228)*(1-(1-'3. The decision'!$B$27)^('3. The decision'!$B$12-1))/'3. The decision'!$B$27</f>
        <v>4.36286726850527</v>
      </c>
      <c r="E228" s="15" t="n">
        <f aca="false">(1-'3. The decision'!$B$14)*(1-'3. The decision'!$B$27)^('3. The decision'!$B$11-1)</f>
        <v>0.690273454655712</v>
      </c>
      <c r="F228" s="15" t="n">
        <f aca="false">1+(1-'3. The decision'!$B$14)*(1-(1-'3. The decision'!$B$27)^('3. The decision'!$B$11-1))/'3. The decision'!$B$27</f>
        <v>4.28912098262087</v>
      </c>
      <c r="G228" s="15" t="n">
        <f aca="false">(1-(1-'3. The decision'!$B$9*MIN(1,('3. The decision'!$B$10/(52/12)))))+(1-(1-'3. The decision'!$B$9*MAX(0,MIN(1,('3. The decision'!$B$10/(52/12))-1))))*(1-'3. The decision'!$B$14)+(1-(1-'3. The decision'!$B$9*MAX(0,MIN(1,('3. The decision'!$B$10/(52/12))-2))))*(1-'3. The decision'!$B$14)*(1-'3. The decision'!$B$27)</f>
        <v>0.884576923076923</v>
      </c>
      <c r="H228" s="15" t="n">
        <f aca="false">IF(A228&lt;=0,0,MAX(0,ROUNDUP(LN('3. The decision'!$B$13)/LN(1+A228)-0.000000000001,0)-1))</f>
        <v>2</v>
      </c>
      <c r="I228" s="15" t="n">
        <f aca="false">IF(A228&lt;=0,1/(1-C228),(1+A228)*(1-(C228*(1+A228))^H228)/(1-C228*(1+A228))+'3. The decision'!$B$13*C228^H228/(1-C228))</f>
        <v>3.02154050353123</v>
      </c>
      <c r="J228" s="17" t="n">
        <f aca="false">F228+E228*D228/(1-C228)</f>
        <v>10.9012462451664</v>
      </c>
      <c r="K228" s="15" t="n">
        <f aca="false">F228-G228+E228*D228*I228</f>
        <v>12.5041292101542</v>
      </c>
      <c r="L228" s="17" t="n">
        <f aca="false">'3. The decision'!$B$8*'3. The decision'!$B$5/J228</f>
        <v>43.0813128552379</v>
      </c>
      <c r="M228" s="31" t="n">
        <f aca="false">L228*'3. The decision'!$B$6*'3. The decision'!$B$7*K228</f>
        <v>1033228.45474285</v>
      </c>
      <c r="N228" s="31" t="n">
        <f aca="false">M228*(1+'3. The decision'!$B$19+'3. The decision'!$B$20+'3. The decision'!$B$22)</f>
        <v>1142750.67094559</v>
      </c>
      <c r="O228" s="31" t="n">
        <f aca="false">'3. The decision'!$B$17+'3. The decision'!$B$18*L228*12+M228*('3. The decision'!$B$20*(1-'3. The decision'!$B$21)+'3. The decision'!$B$23)+N228*('3. The decision'!$B$24+'3. The decision'!$B$25)</f>
        <v>604364.24835377</v>
      </c>
      <c r="P228" s="31" t="n">
        <f aca="false">N228-O228</f>
        <v>538386.42259182</v>
      </c>
    </row>
    <row r="229" customFormat="false" ht="15" hidden="false" customHeight="false" outlineLevel="0" collapsed="false">
      <c r="A229" s="27" t="n">
        <f aca="false">78*0.0025</f>
        <v>0.195</v>
      </c>
      <c r="B229" s="27" t="n">
        <f aca="false">IF(A229&gt;0,MIN('3. The decision'!$B$15,'3. The decision'!$B$29*(A229/'3. The decision'!$B$28)^$B$148),0)</f>
        <v>0.169653480071386</v>
      </c>
      <c r="C229" s="15" t="n">
        <f aca="false">(1-'3. The decision'!$B$27-B229)*(1-'3. The decision'!$B$27)^('3. The decision'!$B$12-1)</f>
        <v>0.541474134460615</v>
      </c>
      <c r="D229" s="15" t="n">
        <f aca="false">1+(1-'3. The decision'!$B$27-B229)*(1-(1-'3. The decision'!$B$27)^('3. The decision'!$B$12-1))/'3. The decision'!$B$27</f>
        <v>4.34394564613532</v>
      </c>
      <c r="E229" s="15" t="n">
        <f aca="false">(1-'3. The decision'!$B$14)*(1-'3. The decision'!$B$27)^('3. The decision'!$B$11-1)</f>
        <v>0.690273454655712</v>
      </c>
      <c r="F229" s="15" t="n">
        <f aca="false">1+(1-'3. The decision'!$B$14)*(1-(1-'3. The decision'!$B$27)^('3. The decision'!$B$11-1))/'3. The decision'!$B$27</f>
        <v>4.28912098262087</v>
      </c>
      <c r="G229" s="15" t="n">
        <f aca="false">(1-(1-'3. The decision'!$B$9*MIN(1,('3. The decision'!$B$10/(52/12)))))+(1-(1-'3. The decision'!$B$9*MAX(0,MIN(1,('3. The decision'!$B$10/(52/12))-1))))*(1-'3. The decision'!$B$14)+(1-(1-'3. The decision'!$B$9*MAX(0,MIN(1,('3. The decision'!$B$10/(52/12))-2))))*(1-'3. The decision'!$B$14)*(1-'3. The decision'!$B$27)</f>
        <v>0.884576923076923</v>
      </c>
      <c r="H229" s="15" t="n">
        <f aca="false">IF(A229&lt;=0,0,MAX(0,ROUNDUP(LN('3. The decision'!$B$13)/LN(1+A229)-0.000000000001,0)-1))</f>
        <v>2</v>
      </c>
      <c r="I229" s="15" t="n">
        <f aca="false">IF(A229&lt;=0,1/(1-C229),(1+A229)*(1-(C229*(1+A229))^H229)/(1-C229*(1+A229))+'3. The decision'!$B$13*C229^H229/(1-C229))</f>
        <v>3.00411182356749</v>
      </c>
      <c r="J229" s="17" t="n">
        <f aca="false">F229+E229*D229/(1-C229)</f>
        <v>10.8285783902574</v>
      </c>
      <c r="K229" s="15" t="n">
        <f aca="false">F229-G229+E229*D229*I229</f>
        <v>12.4124045091258</v>
      </c>
      <c r="L229" s="17" t="n">
        <f aca="false">'3. The decision'!$B$8*'3. The decision'!$B$5/J229</f>
        <v>43.3704206659798</v>
      </c>
      <c r="M229" s="31" t="n">
        <f aca="false">L229*'3. The decision'!$B$6*'3. The decision'!$B$7*K229</f>
        <v>1032532.02522194</v>
      </c>
      <c r="N229" s="31" t="n">
        <f aca="false">M229*(1+'3. The decision'!$B$19+'3. The decision'!$B$20+'3. The decision'!$B$22)</f>
        <v>1141980.41989546</v>
      </c>
      <c r="O229" s="31" t="n">
        <f aca="false">'3. The decision'!$B$17+'3. The decision'!$B$18*L229*12+M229*('3. The decision'!$B$20*(1-'3. The decision'!$B$21)+'3. The decision'!$B$23)+N229*('3. The decision'!$B$24+'3. The decision'!$B$25)</f>
        <v>604727.243618618</v>
      </c>
      <c r="P229" s="31" t="n">
        <f aca="false">N229-O229</f>
        <v>537253.176276846</v>
      </c>
    </row>
    <row r="230" customFormat="false" ht="15" hidden="false" customHeight="false" outlineLevel="0" collapsed="false">
      <c r="A230" s="27" t="n">
        <f aca="false">79*0.0025</f>
        <v>0.1975</v>
      </c>
      <c r="B230" s="27" t="n">
        <f aca="false">IF(A230&gt;0,MIN('3. The decision'!$B$15,'3. The decision'!$B$29*(A230/'3. The decision'!$B$28)^$B$148),0)</f>
        <v>0.174031454491374</v>
      </c>
      <c r="C230" s="15" t="n">
        <f aca="false">(1-'3. The decision'!$B$27-B230)*(1-'3. The decision'!$B$27)^('3. The decision'!$B$12-1)</f>
        <v>0.538370683900972</v>
      </c>
      <c r="D230" s="15" t="n">
        <f aca="false">1+(1-'3. The decision'!$B$27-B230)*(1-(1-'3. The decision'!$B$27)^('3. The decision'!$B$12-1))/'3. The decision'!$B$27</f>
        <v>4.3247798737993</v>
      </c>
      <c r="E230" s="15" t="n">
        <f aca="false">(1-'3. The decision'!$B$14)*(1-'3. The decision'!$B$27)^('3. The decision'!$B$11-1)</f>
        <v>0.690273454655712</v>
      </c>
      <c r="F230" s="15" t="n">
        <f aca="false">1+(1-'3. The decision'!$B$14)*(1-(1-'3. The decision'!$B$27)^('3. The decision'!$B$11-1))/'3. The decision'!$B$27</f>
        <v>4.28912098262087</v>
      </c>
      <c r="G230" s="15" t="n">
        <f aca="false">(1-(1-'3. The decision'!$B$9*MIN(1,('3. The decision'!$B$10/(52/12)))))+(1-(1-'3. The decision'!$B$9*MAX(0,MIN(1,('3. The decision'!$B$10/(52/12))-1))))*(1-'3. The decision'!$B$14)+(1-(1-'3. The decision'!$B$9*MAX(0,MIN(1,('3. The decision'!$B$10/(52/12))-2))))*(1-'3. The decision'!$B$14)*(1-'3. The decision'!$B$27)</f>
        <v>0.884576923076923</v>
      </c>
      <c r="H230" s="15" t="n">
        <f aca="false">IF(A230&lt;=0,0,MAX(0,ROUNDUP(LN('3. The decision'!$B$13)/LN(1+A230)-0.000000000001,0)-1))</f>
        <v>2</v>
      </c>
      <c r="I230" s="15" t="n">
        <f aca="false">IF(A230&lt;=0,1/(1-C230),(1+A230)*(1-(C230*(1+A230))^H230)/(1-C230*(1+A230))+'3. The decision'!$B$13*C230^H230/(1-C230))</f>
        <v>2.98667560466569</v>
      </c>
      <c r="J230" s="17" t="n">
        <f aca="false">F230+E230*D230/(1-C230)</f>
        <v>10.7559562549989</v>
      </c>
      <c r="K230" s="15" t="n">
        <f aca="false">F230-G230+E230*D230*I230</f>
        <v>12.3206092310643</v>
      </c>
      <c r="L230" s="17" t="n">
        <f aca="false">'3. The decision'!$B$8*'3. The decision'!$B$5/J230</f>
        <v>43.6632493537459</v>
      </c>
      <c r="M230" s="31" t="n">
        <f aca="false">L230*'3. The decision'!$B$6*'3. The decision'!$B$7*K230</f>
        <v>1031815.8888834</v>
      </c>
      <c r="N230" s="31" t="n">
        <f aca="false">M230*(1+'3. The decision'!$B$19+'3. The decision'!$B$20+'3. The decision'!$B$22)</f>
        <v>1141188.37310504</v>
      </c>
      <c r="O230" s="31" t="n">
        <f aca="false">'3. The decision'!$B$17+'3. The decision'!$B$18*L230*12+M230*('3. The decision'!$B$20*(1-'3. The decision'!$B$21)+'3. The decision'!$B$23)+N230*('3. The decision'!$B$24+'3. The decision'!$B$25)</f>
        <v>605093.754402956</v>
      </c>
      <c r="P230" s="31" t="n">
        <f aca="false">N230-O230</f>
        <v>536094.618702081</v>
      </c>
    </row>
    <row r="231" customFormat="false" ht="15" hidden="false" customHeight="false" outlineLevel="0" collapsed="false">
      <c r="A231" s="27" t="n">
        <f aca="false">80*0.0025</f>
        <v>0.2</v>
      </c>
      <c r="B231" s="27" t="n">
        <f aca="false">IF(A231&gt;0,MIN('3. The decision'!$B$15,'3. The decision'!$B$29*(A231/'3. The decision'!$B$28)^$B$148),0)</f>
        <v>0.178465199286139</v>
      </c>
      <c r="C231" s="15" t="n">
        <f aca="false">(1-'3. The decision'!$B$27-B231)*(1-'3. The decision'!$B$27)^('3. The decision'!$B$12-1)</f>
        <v>0.535227698939296</v>
      </c>
      <c r="D231" s="15" t="n">
        <f aca="false">1+(1-'3. The decision'!$B$27-B231)*(1-(1-'3. The decision'!$B$27)^('3. The decision'!$B$12-1))/'3. The decision'!$B$27</f>
        <v>4.30536995149722</v>
      </c>
      <c r="E231" s="15" t="n">
        <f aca="false">(1-'3. The decision'!$B$14)*(1-'3. The decision'!$B$27)^('3. The decision'!$B$11-1)</f>
        <v>0.690273454655712</v>
      </c>
      <c r="F231" s="15" t="n">
        <f aca="false">1+(1-'3. The decision'!$B$14)*(1-(1-'3. The decision'!$B$27)^('3. The decision'!$B$11-1))/'3. The decision'!$B$27</f>
        <v>4.28912098262087</v>
      </c>
      <c r="G231" s="15" t="n">
        <f aca="false">(1-(1-'3. The decision'!$B$9*MIN(1,('3. The decision'!$B$10/(52/12)))))+(1-(1-'3. The decision'!$B$9*MAX(0,MIN(1,('3. The decision'!$B$10/(52/12))-1))))*(1-'3. The decision'!$B$14)+(1-(1-'3. The decision'!$B$9*MAX(0,MIN(1,('3. The decision'!$B$10/(52/12))-2))))*(1-'3. The decision'!$B$14)*(1-'3. The decision'!$B$27)</f>
        <v>0.884576923076923</v>
      </c>
      <c r="H231" s="15" t="n">
        <f aca="false">IF(A231&lt;=0,0,MAX(0,ROUNDUP(LN('3. The decision'!$B$13)/LN(1+A231)-0.000000000001,0)-1))</f>
        <v>2</v>
      </c>
      <c r="I231" s="15" t="n">
        <f aca="false">IF(A231&lt;=0,1/(1-C231),(1+A231)*(1-(C231*(1+A231))^H231)/(1-C231*(1+A231))+'3. The decision'!$B$13*C231^H231/(1-C231))</f>
        <v>2.96923678270861</v>
      </c>
      <c r="J231" s="17" t="n">
        <f aca="false">F231+E231*D231/(1-C231)</f>
        <v>10.683397455656</v>
      </c>
      <c r="K231" s="15" t="n">
        <f aca="false">F231-G231+E231*D231*I231</f>
        <v>12.2287671596362</v>
      </c>
      <c r="L231" s="17" t="n">
        <f aca="false">'3. The decision'!$B$8*'3. The decision'!$B$5/J231</f>
        <v>43.9597985518513</v>
      </c>
      <c r="M231" s="31" t="n">
        <f aca="false">L231*'3. The decision'!$B$6*'3. The decision'!$B$7*K231</f>
        <v>1031079.95819501</v>
      </c>
      <c r="N231" s="31" t="n">
        <f aca="false">M231*(1+'3. The decision'!$B$19+'3. The decision'!$B$20+'3. The decision'!$B$22)</f>
        <v>1140374.43376368</v>
      </c>
      <c r="O231" s="31" t="n">
        <f aca="false">'3. The decision'!$B$17+'3. The decision'!$B$18*L231*12+M231*('3. The decision'!$B$20*(1-'3. The decision'!$B$21)+'3. The decision'!$B$23)+N231*('3. The decision'!$B$24+'3. The decision'!$B$25)</f>
        <v>605463.770730488</v>
      </c>
      <c r="P231" s="31" t="n">
        <f aca="false">N231-O231</f>
        <v>534910.663033193</v>
      </c>
    </row>
    <row r="232" customFormat="false" ht="15" hidden="false" customHeight="false" outlineLevel="0" collapsed="false">
      <c r="A232" s="27" t="n">
        <f aca="false">81*0.0025</f>
        <v>0.2025</v>
      </c>
      <c r="B232" s="27" t="n">
        <f aca="false">IF(A232&gt;0,MIN('3. The decision'!$B$15,'3. The decision'!$B$29*(A232/'3. The decision'!$B$28)^$B$148),0)</f>
        <v>0.182954714455681</v>
      </c>
      <c r="C232" s="15" t="n">
        <f aca="false">(1-'3. The decision'!$B$27-B232)*(1-'3. The decision'!$B$27)^('3. The decision'!$B$12-1)</f>
        <v>0.532045179575585</v>
      </c>
      <c r="D232" s="15" t="n">
        <f aca="false">1+(1-'3. The decision'!$B$27-B232)*(1-(1-'3. The decision'!$B$27)^('3. The decision'!$B$12-1))/'3. The decision'!$B$27</f>
        <v>4.28571587922908</v>
      </c>
      <c r="E232" s="15" t="n">
        <f aca="false">(1-'3. The decision'!$B$14)*(1-'3. The decision'!$B$27)^('3. The decision'!$B$11-1)</f>
        <v>0.690273454655712</v>
      </c>
      <c r="F232" s="15" t="n">
        <f aca="false">1+(1-'3. The decision'!$B$14)*(1-(1-'3. The decision'!$B$27)^('3. The decision'!$B$11-1))/'3. The decision'!$B$27</f>
        <v>4.28912098262087</v>
      </c>
      <c r="G232" s="15" t="n">
        <f aca="false">(1-(1-'3. The decision'!$B$9*MIN(1,('3. The decision'!$B$10/(52/12)))))+(1-(1-'3. The decision'!$B$9*MAX(0,MIN(1,('3. The decision'!$B$10/(52/12))-1))))*(1-'3. The decision'!$B$14)+(1-(1-'3. The decision'!$B$9*MAX(0,MIN(1,('3. The decision'!$B$10/(52/12))-2))))*(1-'3. The decision'!$B$14)*(1-'3. The decision'!$B$27)</f>
        <v>0.884576923076923</v>
      </c>
      <c r="H232" s="15" t="n">
        <f aca="false">IF(A232&lt;=0,0,MAX(0,ROUNDUP(LN('3. The decision'!$B$13)/LN(1+A232)-0.000000000001,0)-1))</f>
        <v>2</v>
      </c>
      <c r="I232" s="15" t="n">
        <f aca="false">IF(A232&lt;=0,1/(1-C232),(1+A232)*(1-(C232*(1+A232))^H232)/(1-C232*(1+A232))+'3. The decision'!$B$13*C232^H232/(1-C232))</f>
        <v>2.95180012629607</v>
      </c>
      <c r="J232" s="17" t="n">
        <f aca="false">F232+E232*D232/(1-C232)</f>
        <v>10.6109191060919</v>
      </c>
      <c r="K232" s="15" t="n">
        <f aca="false">F232-G232+E232*D232*I232</f>
        <v>12.1369013234012</v>
      </c>
      <c r="L232" s="17" t="n">
        <f aca="false">'3. The decision'!$B$8*'3. The decision'!$B$5/J232</f>
        <v>44.2600678889703</v>
      </c>
      <c r="M232" s="31" t="n">
        <f aca="false">L232*'3. The decision'!$B$6*'3. The decision'!$B$7*K232</f>
        <v>1030324.13344092</v>
      </c>
      <c r="N232" s="31" t="n">
        <f aca="false">M232*(1+'3. The decision'!$B$19+'3. The decision'!$B$20+'3. The decision'!$B$22)</f>
        <v>1139538.49158566</v>
      </c>
      <c r="O232" s="31" t="n">
        <f aca="false">'3. The decision'!$B$17+'3. The decision'!$B$18*L232*12+M232*('3. The decision'!$B$20*(1-'3. The decision'!$B$21)+'3. The decision'!$B$23)+N232*('3. The decision'!$B$24+'3. The decision'!$B$25)</f>
        <v>605837.281306599</v>
      </c>
      <c r="P232" s="31" t="n">
        <f aca="false">N232-O232</f>
        <v>533701.210279057</v>
      </c>
    </row>
    <row r="233" customFormat="false" ht="15" hidden="false" customHeight="false" outlineLevel="0" collapsed="false">
      <c r="A233" s="27" t="n">
        <f aca="false">82*0.0025</f>
        <v>0.205</v>
      </c>
      <c r="B233" s="27" t="n">
        <f aca="false">IF(A233&gt;0,MIN('3. The decision'!$B$15,'3. The decision'!$B$29*(A233/'3. The decision'!$B$28)^$B$148),0)</f>
        <v>0.1875</v>
      </c>
      <c r="C233" s="15" t="n">
        <f aca="false">(1-'3. The decision'!$B$27-B233)*(1-'3. The decision'!$B$27)^('3. The decision'!$B$12-1)</f>
        <v>0.528823125809841</v>
      </c>
      <c r="D233" s="15" t="n">
        <f aca="false">1+(1-'3. The decision'!$B$27-B233)*(1-(1-'3. The decision'!$B$27)^('3. The decision'!$B$12-1))/'3. The decision'!$B$27</f>
        <v>4.26581765699487</v>
      </c>
      <c r="E233" s="15" t="n">
        <f aca="false">(1-'3. The decision'!$B$14)*(1-'3. The decision'!$B$27)^('3. The decision'!$B$11-1)</f>
        <v>0.690273454655712</v>
      </c>
      <c r="F233" s="15" t="n">
        <f aca="false">1+(1-'3. The decision'!$B$14)*(1-(1-'3. The decision'!$B$27)^('3. The decision'!$B$11-1))/'3. The decision'!$B$27</f>
        <v>4.28912098262087</v>
      </c>
      <c r="G233" s="15" t="n">
        <f aca="false">(1-(1-'3. The decision'!$B$9*MIN(1,('3. The decision'!$B$10/(52/12)))))+(1-(1-'3. The decision'!$B$9*MAX(0,MIN(1,('3. The decision'!$B$10/(52/12))-1))))*(1-'3. The decision'!$B$14)+(1-(1-'3. The decision'!$B$9*MAX(0,MIN(1,('3. The decision'!$B$10/(52/12))-2))))*(1-'3. The decision'!$B$14)*(1-'3. The decision'!$B$27)</f>
        <v>0.884576923076923</v>
      </c>
      <c r="H233" s="15" t="n">
        <f aca="false">IF(A233&lt;=0,0,MAX(0,ROUNDUP(LN('3. The decision'!$B$13)/LN(1+A233)-0.000000000001,0)-1))</f>
        <v>2</v>
      </c>
      <c r="I233" s="15" t="n">
        <f aca="false">IF(A233&lt;=0,1/(1-C233),(1+A233)*(1-(C233*(1+A233))^H233)/(1-C233*(1+A233))+'3. The decision'!$B$13*C233^H233/(1-C233))</f>
        <v>2.9343702375288</v>
      </c>
      <c r="J233" s="17" t="n">
        <f aca="false">F233+E233*D233/(1-C233)</f>
        <v>10.5385378201646</v>
      </c>
      <c r="K233" s="15" t="n">
        <f aca="false">F233-G233+E233*D233*I233</f>
        <v>12.0450340012902</v>
      </c>
      <c r="L233" s="17" t="n">
        <f aca="false">'3. The decision'!$B$8*'3. The decision'!$B$5/J233</f>
        <v>44.564056989138</v>
      </c>
      <c r="M233" s="31" t="n">
        <f aca="false">L233*'3. The decision'!$B$6*'3. The decision'!$B$7*K233</f>
        <v>1029548.30269</v>
      </c>
      <c r="N233" s="31" t="n">
        <f aca="false">M233*(1+'3. The decision'!$B$19+'3. The decision'!$B$20+'3. The decision'!$B$22)</f>
        <v>1138680.42277514</v>
      </c>
      <c r="O233" s="31" t="n">
        <f aca="false">'3. The decision'!$B$17+'3. The decision'!$B$18*L233*12+M233*('3. The decision'!$B$20*(1-'3. The decision'!$B$21)+'3. The decision'!$B$23)+N233*('3. The decision'!$B$24+'3. The decision'!$B$25)</f>
        <v>606214.273514954</v>
      </c>
      <c r="P233" s="31" t="n">
        <f aca="false">N233-O233</f>
        <v>532466.149260185</v>
      </c>
    </row>
    <row r="234" customFormat="false" ht="15" hidden="false" customHeight="false" outlineLevel="0" collapsed="false">
      <c r="A234" s="27" t="n">
        <f aca="false">83*0.0025</f>
        <v>0.2075</v>
      </c>
      <c r="B234" s="27" t="n">
        <f aca="false">IF(A234&gt;0,MIN('3. The decision'!$B$15,'3. The decision'!$B$29*(A234/'3. The decision'!$B$28)^$B$148),0)</f>
        <v>0.192101055919096</v>
      </c>
      <c r="C234" s="15" t="n">
        <f aca="false">(1-'3. The decision'!$B$27-B234)*(1-'3. The decision'!$B$27)^('3. The decision'!$B$12-1)</f>
        <v>0.525561537642064</v>
      </c>
      <c r="D234" s="15" t="n">
        <f aca="false">1+(1-'3. The decision'!$B$27-B234)*(1-(1-'3. The decision'!$B$27)^('3. The decision'!$B$12-1))/'3. The decision'!$B$27</f>
        <v>4.24567528479459</v>
      </c>
      <c r="E234" s="15" t="n">
        <f aca="false">(1-'3. The decision'!$B$14)*(1-'3. The decision'!$B$27)^('3. The decision'!$B$11-1)</f>
        <v>0.690273454655712</v>
      </c>
      <c r="F234" s="15" t="n">
        <f aca="false">1+(1-'3. The decision'!$B$14)*(1-(1-'3. The decision'!$B$27)^('3. The decision'!$B$11-1))/'3. The decision'!$B$27</f>
        <v>4.28912098262087</v>
      </c>
      <c r="G234" s="15" t="n">
        <f aca="false">(1-(1-'3. The decision'!$B$9*MIN(1,('3. The decision'!$B$10/(52/12)))))+(1-(1-'3. The decision'!$B$9*MAX(0,MIN(1,('3. The decision'!$B$10/(52/12))-1))))*(1-'3. The decision'!$B$14)+(1-(1-'3. The decision'!$B$9*MAX(0,MIN(1,('3. The decision'!$B$10/(52/12))-2))))*(1-'3. The decision'!$B$14)*(1-'3. The decision'!$B$27)</f>
        <v>0.884576923076923</v>
      </c>
      <c r="H234" s="15" t="n">
        <f aca="false">IF(A234&lt;=0,0,MAX(0,ROUNDUP(LN('3. The decision'!$B$13)/LN(1+A234)-0.000000000001,0)-1))</f>
        <v>2</v>
      </c>
      <c r="I234" s="15" t="n">
        <f aca="false">IF(A234&lt;=0,1/(1-C234),(1+A234)*(1-(C234*(1+A234))^H234)/(1-C234*(1+A234))+'3. The decision'!$B$13*C234^H234/(1-C234))</f>
        <v>2.91695155296543</v>
      </c>
      <c r="J234" s="17" t="n">
        <f aca="false">F234+E234*D234/(1-C234)</f>
        <v>10.4662697146529</v>
      </c>
      <c r="K234" s="15" t="n">
        <f aca="false">F234-G234+E234*D234*I234</f>
        <v>11.9531867289482</v>
      </c>
      <c r="L234" s="17" t="n">
        <f aca="false">'3. The decision'!$B$8*'3. The decision'!$B$5/J234</f>
        <v>44.8717654717516</v>
      </c>
      <c r="M234" s="31" t="n">
        <f aca="false">L234*'3. The decision'!$B$6*'3. The decision'!$B$7*K234</f>
        <v>1028752.34177691</v>
      </c>
      <c r="N234" s="31" t="n">
        <f aca="false">M234*(1+'3. The decision'!$B$19+'3. The decision'!$B$20+'3. The decision'!$B$22)</f>
        <v>1137800.09000527</v>
      </c>
      <c r="O234" s="31" t="n">
        <f aca="false">'3. The decision'!$B$17+'3. The decision'!$B$18*L234*12+M234*('3. The decision'!$B$20*(1-'3. The decision'!$B$21)+'3. The decision'!$B$23)+N234*('3. The decision'!$B$24+'3. The decision'!$B$25)</f>
        <v>606594.733415461</v>
      </c>
      <c r="P234" s="31" t="n">
        <f aca="false">N234-O234</f>
        <v>531205.356589804</v>
      </c>
    </row>
    <row r="235" customFormat="false" ht="15" hidden="false" customHeight="false" outlineLevel="0" collapsed="false">
      <c r="A235" s="27" t="n">
        <f aca="false">84*0.0025</f>
        <v>0.21</v>
      </c>
      <c r="B235" s="27" t="n">
        <f aca="false">IF(A235&gt;0,MIN('3. The decision'!$B$15,'3. The decision'!$B$29*(A235/'3. The decision'!$B$28)^$B$148),0)</f>
        <v>0.196757882212968</v>
      </c>
      <c r="C235" s="15" t="n">
        <f aca="false">(1-'3. The decision'!$B$27-B235)*(1-'3. The decision'!$B$27)^('3. The decision'!$B$12-1)</f>
        <v>0.522260415072253</v>
      </c>
      <c r="D235" s="15" t="n">
        <f aca="false">1+(1-'3. The decision'!$B$27-B235)*(1-(1-'3. The decision'!$B$27)^('3. The decision'!$B$12-1))/'3. The decision'!$B$27</f>
        <v>4.22528876262826</v>
      </c>
      <c r="E235" s="15" t="n">
        <f aca="false">(1-'3. The decision'!$B$14)*(1-'3. The decision'!$B$27)^('3. The decision'!$B$11-1)</f>
        <v>0.690273454655712</v>
      </c>
      <c r="F235" s="15" t="n">
        <f aca="false">1+(1-'3. The decision'!$B$14)*(1-(1-'3. The decision'!$B$27)^('3. The decision'!$B$11-1))/'3. The decision'!$B$27</f>
        <v>4.28912098262087</v>
      </c>
      <c r="G235" s="15" t="n">
        <f aca="false">(1-(1-'3. The decision'!$B$9*MIN(1,('3. The decision'!$B$10/(52/12)))))+(1-(1-'3. The decision'!$B$9*MAX(0,MIN(1,('3. The decision'!$B$10/(52/12))-1))))*(1-'3. The decision'!$B$14)+(1-(1-'3. The decision'!$B$9*MAX(0,MIN(1,('3. The decision'!$B$10/(52/12))-2))))*(1-'3. The decision'!$B$14)*(1-'3. The decision'!$B$27)</f>
        <v>0.884576923076923</v>
      </c>
      <c r="H235" s="15" t="n">
        <f aca="false">IF(A235&lt;=0,0,MAX(0,ROUNDUP(LN('3. The decision'!$B$13)/LN(1+A235)-0.000000000001,0)-1))</f>
        <v>2</v>
      </c>
      <c r="I235" s="15" t="n">
        <f aca="false">IF(A235&lt;=0,1/(1-C235),(1+A235)*(1-(C235*(1+A235))^H235)/(1-C235*(1+A235))+'3. The decision'!$B$13*C235^H235/(1-C235))</f>
        <v>2.89954834474281</v>
      </c>
      <c r="J235" s="17" t="n">
        <f aca="false">F235+E235*D235/(1-C235)</f>
        <v>10.394130412682</v>
      </c>
      <c r="K235" s="15" t="n">
        <f aca="false">F235-G235+E235*D235*I235</f>
        <v>11.8613803058935</v>
      </c>
      <c r="L235" s="17" t="n">
        <f aca="false">'3. The decision'!$B$8*'3. The decision'!$B$5/J235</f>
        <v>45.1831929515709</v>
      </c>
      <c r="M235" s="31" t="n">
        <f aca="false">L235*'3. The decision'!$B$6*'3. The decision'!$B$7*K235</f>
        <v>1027936.1142961</v>
      </c>
      <c r="N235" s="31" t="n">
        <f aca="false">M235*(1+'3. The decision'!$B$19+'3. The decision'!$B$20+'3. The decision'!$B$22)</f>
        <v>1136897.34241149</v>
      </c>
      <c r="O235" s="31" t="n">
        <f aca="false">'3. The decision'!$B$17+'3. The decision'!$B$18*L235*12+M235*('3. The decision'!$B$20*(1-'3. The decision'!$B$21)+'3. The decision'!$B$23)+N235*('3. The decision'!$B$24+'3. The decision'!$B$25)</f>
        <v>606978.645743625</v>
      </c>
      <c r="P235" s="31" t="n">
        <f aca="false">N235-O235</f>
        <v>529918.696667866</v>
      </c>
    </row>
    <row r="236" customFormat="false" ht="15" hidden="false" customHeight="false" outlineLevel="0" collapsed="false">
      <c r="A236" s="27" t="n">
        <f aca="false">85*0.0025</f>
        <v>0.2125</v>
      </c>
      <c r="B236" s="27" t="n">
        <f aca="false">IF(A236&gt;0,MIN('3. The decision'!$B$15,'3. The decision'!$B$29*(A236/'3. The decision'!$B$28)^$B$148),0)</f>
        <v>0.201470478881618</v>
      </c>
      <c r="C236" s="15" t="n">
        <f aca="false">(1-'3. The decision'!$B$27-B236)*(1-'3. The decision'!$B$27)^('3. The decision'!$B$12-1)</f>
        <v>0.518919758100408</v>
      </c>
      <c r="D236" s="15" t="n">
        <f aca="false">1+(1-'3. The decision'!$B$27-B236)*(1-(1-'3. The decision'!$B$27)^('3. The decision'!$B$12-1))/'3. The decision'!$B$27</f>
        <v>4.20465809049586</v>
      </c>
      <c r="E236" s="15" t="n">
        <f aca="false">(1-'3. The decision'!$B$14)*(1-'3. The decision'!$B$27)^('3. The decision'!$B$11-1)</f>
        <v>0.690273454655712</v>
      </c>
      <c r="F236" s="15" t="n">
        <f aca="false">1+(1-'3. The decision'!$B$14)*(1-(1-'3. The decision'!$B$27)^('3. The decision'!$B$11-1))/'3. The decision'!$B$27</f>
        <v>4.28912098262087</v>
      </c>
      <c r="G236" s="15" t="n">
        <f aca="false">(1-(1-'3. The decision'!$B$9*MIN(1,('3. The decision'!$B$10/(52/12)))))+(1-(1-'3. The decision'!$B$9*MAX(0,MIN(1,('3. The decision'!$B$10/(52/12))-1))))*(1-'3. The decision'!$B$14)+(1-(1-'3. The decision'!$B$9*MAX(0,MIN(1,('3. The decision'!$B$10/(52/12))-2))))*(1-'3. The decision'!$B$14)*(1-'3. The decision'!$B$27)</f>
        <v>0.884576923076923</v>
      </c>
      <c r="H236" s="15" t="n">
        <f aca="false">IF(A236&lt;=0,0,MAX(0,ROUNDUP(LN('3. The decision'!$B$13)/LN(1+A236)-0.000000000001,0)-1))</f>
        <v>2</v>
      </c>
      <c r="I236" s="15" t="n">
        <f aca="false">IF(A236&lt;=0,1/(1-C236),(1+A236)*(1-(C236*(1+A236))^H236)/(1-C236*(1+A236))+'3. The decision'!$B$13*C236^H236/(1-C236))</f>
        <v>2.88216472185003</v>
      </c>
      <c r="J236" s="17" t="n">
        <f aca="false">F236+E236*D236/(1-C236)</f>
        <v>10.3221350476184</v>
      </c>
      <c r="K236" s="15" t="n">
        <f aca="false">F236-G236+E236*D236*I236</f>
        <v>11.7696348034462</v>
      </c>
      <c r="L236" s="17" t="n">
        <f aca="false">'3. The decision'!$B$8*'3. The decision'!$B$5/J236</f>
        <v>45.4983390387203</v>
      </c>
      <c r="M236" s="31" t="n">
        <f aca="false">L236*'3. The decision'!$B$6*'3. The decision'!$B$7*K236</f>
        <v>1027099.47160901</v>
      </c>
      <c r="N236" s="31" t="n">
        <f aca="false">M236*(1+'3. The decision'!$B$19+'3. The decision'!$B$20+'3. The decision'!$B$22)</f>
        <v>1135972.01559957</v>
      </c>
      <c r="O236" s="31" t="n">
        <f aca="false">'3. The decision'!$B$17+'3. The decision'!$B$18*L236*12+M236*('3. The decision'!$B$20*(1-'3. The decision'!$B$21)+'3. The decision'!$B$23)+N236*('3. The decision'!$B$24+'3. The decision'!$B$25)</f>
        <v>607365.993911327</v>
      </c>
      <c r="P236" s="31" t="n">
        <f aca="false">N236-O236</f>
        <v>528606.021688243</v>
      </c>
    </row>
    <row r="237" customFormat="false" ht="15" hidden="false" customHeight="false" outlineLevel="0" collapsed="false">
      <c r="A237" s="27" t="n">
        <f aca="false">86*0.0025</f>
        <v>0.215</v>
      </c>
      <c r="B237" s="27" t="n">
        <f aca="false">IF(A237&gt;0,MIN('3. The decision'!$B$15,'3. The decision'!$B$29*(A237/'3. The decision'!$B$28)^$B$148),0)</f>
        <v>0.206238845925045</v>
      </c>
      <c r="C237" s="15" t="n">
        <f aca="false">(1-'3. The decision'!$B$27-B237)*(1-'3. The decision'!$B$27)^('3. The decision'!$B$12-1)</f>
        <v>0.515539566726529</v>
      </c>
      <c r="D237" s="15" t="n">
        <f aca="false">1+(1-'3. The decision'!$B$27-B237)*(1-(1-'3. The decision'!$B$27)^('3. The decision'!$B$12-1))/'3. The decision'!$B$27</f>
        <v>4.18378326839739</v>
      </c>
      <c r="E237" s="15" t="n">
        <f aca="false">(1-'3. The decision'!$B$14)*(1-'3. The decision'!$B$27)^('3. The decision'!$B$11-1)</f>
        <v>0.690273454655712</v>
      </c>
      <c r="F237" s="15" t="n">
        <f aca="false">1+(1-'3. The decision'!$B$14)*(1-(1-'3. The decision'!$B$27)^('3. The decision'!$B$11-1))/'3. The decision'!$B$27</f>
        <v>4.28912098262087</v>
      </c>
      <c r="G237" s="15" t="n">
        <f aca="false">(1-(1-'3. The decision'!$B$9*MIN(1,('3. The decision'!$B$10/(52/12)))))+(1-(1-'3. The decision'!$B$9*MAX(0,MIN(1,('3. The decision'!$B$10/(52/12))-1))))*(1-'3. The decision'!$B$14)+(1-(1-'3. The decision'!$B$9*MAX(0,MIN(1,('3. The decision'!$B$10/(52/12))-2))))*(1-'3. The decision'!$B$14)*(1-'3. The decision'!$B$27)</f>
        <v>0.884576923076923</v>
      </c>
      <c r="H237" s="15" t="n">
        <f aca="false">IF(A237&lt;=0,0,MAX(0,ROUNDUP(LN('3. The decision'!$B$13)/LN(1+A237)-0.000000000001,0)-1))</f>
        <v>2</v>
      </c>
      <c r="I237" s="15" t="n">
        <f aca="false">IF(A237&lt;=0,1/(1-C237),(1+A237)*(1-(C237*(1+A237))^H237)/(1-C237*(1+A237))+'3. The decision'!$B$13*C237^H237/(1-C237))</f>
        <v>2.86480463154671</v>
      </c>
      <c r="J237" s="17" t="n">
        <f aca="false">F237+E237*D237/(1-C237)</f>
        <v>10.2502982674069</v>
      </c>
      <c r="K237" s="15" t="n">
        <f aca="false">F237-G237+E237*D237*I237</f>
        <v>11.6779695733785</v>
      </c>
      <c r="L237" s="17" t="n">
        <f aca="false">'3. The decision'!$B$8*'3. The decision'!$B$5/J237</f>
        <v>45.8172033386894</v>
      </c>
      <c r="M237" s="31" t="n">
        <f aca="false">L237*'3. The decision'!$B$6*'3. The decision'!$B$7*K237</f>
        <v>1026242.25286478</v>
      </c>
      <c r="N237" s="31" t="n">
        <f aca="false">M237*(1+'3. The decision'!$B$19+'3. The decision'!$B$20+'3. The decision'!$B$22)</f>
        <v>1135023.93166845</v>
      </c>
      <c r="O237" s="31" t="n">
        <f aca="false">'3. The decision'!$B$17+'3. The decision'!$B$18*L237*12+M237*('3. The decision'!$B$20*(1-'3. The decision'!$B$21)+'3. The decision'!$B$23)+N237*('3. The decision'!$B$24+'3. The decision'!$B$25)</f>
        <v>607756.760009056</v>
      </c>
      <c r="P237" s="31" t="n">
        <f aca="false">N237-O237</f>
        <v>527267.171659396</v>
      </c>
    </row>
    <row r="238" customFormat="false" ht="15" hidden="false" customHeight="false" outlineLevel="0" collapsed="false">
      <c r="A238" s="27" t="n">
        <f aca="false">87*0.0025</f>
        <v>0.2175</v>
      </c>
      <c r="B238" s="27" t="n">
        <f aca="false">IF(A238&gt;0,MIN('3. The decision'!$B$15,'3. The decision'!$B$29*(A238/'3. The decision'!$B$28)^$B$148),0)</f>
        <v>0.211062983343248</v>
      </c>
      <c r="C238" s="15" t="n">
        <f aca="false">(1-'3. The decision'!$B$27-B238)*(1-'3. The decision'!$B$27)^('3. The decision'!$B$12-1)</f>
        <v>0.512119840950617</v>
      </c>
      <c r="D238" s="15" t="n">
        <f aca="false">1+(1-'3. The decision'!$B$27-B238)*(1-(1-'3. The decision'!$B$27)^('3. The decision'!$B$12-1))/'3. The decision'!$B$27</f>
        <v>4.16266429633286</v>
      </c>
      <c r="E238" s="15" t="n">
        <f aca="false">(1-'3. The decision'!$B$14)*(1-'3. The decision'!$B$27)^('3. The decision'!$B$11-1)</f>
        <v>0.690273454655712</v>
      </c>
      <c r="F238" s="15" t="n">
        <f aca="false">1+(1-'3. The decision'!$B$14)*(1-(1-'3. The decision'!$B$27)^('3. The decision'!$B$11-1))/'3. The decision'!$B$27</f>
        <v>4.28912098262087</v>
      </c>
      <c r="G238" s="15" t="n">
        <f aca="false">(1-(1-'3. The decision'!$B$9*MIN(1,('3. The decision'!$B$10/(52/12)))))+(1-(1-'3. The decision'!$B$9*MAX(0,MIN(1,('3. The decision'!$B$10/(52/12))-1))))*(1-'3. The decision'!$B$14)+(1-(1-'3. The decision'!$B$9*MAX(0,MIN(1,('3. The decision'!$B$10/(52/12))-2))))*(1-'3. The decision'!$B$14)*(1-'3. The decision'!$B$27)</f>
        <v>0.884576923076923</v>
      </c>
      <c r="H238" s="15" t="n">
        <f aca="false">IF(A238&lt;=0,0,MAX(0,ROUNDUP(LN('3. The decision'!$B$13)/LN(1+A238)-0.000000000001,0)-1))</f>
        <v>2</v>
      </c>
      <c r="I238" s="15" t="n">
        <f aca="false">IF(A238&lt;=0,1/(1-C238),(1+A238)*(1-(C238*(1+A238))^H238)/(1-C238*(1+A238))+'3. The decision'!$B$13*C238^H238/(1-C238))</f>
        <v>2.84747186091644</v>
      </c>
      <c r="J238" s="17" t="n">
        <f aca="false">F238+E238*D238/(1-C238)</f>
        <v>10.1786342393197</v>
      </c>
      <c r="K238" s="15" t="n">
        <f aca="false">F238-G238+E238*D238*I238</f>
        <v>11.5864032572417</v>
      </c>
      <c r="L238" s="17" t="n">
        <f aca="false">'3. The decision'!$B$8*'3. The decision'!$B$5/J238</f>
        <v>46.1397854523348</v>
      </c>
      <c r="M238" s="31" t="n">
        <f aca="false">L238*'3. The decision'!$B$6*'3. The decision'!$B$7*K238</f>
        <v>1025364.28503472</v>
      </c>
      <c r="N238" s="31" t="n">
        <f aca="false">M238*(1+'3. The decision'!$B$19+'3. The decision'!$B$20+'3. The decision'!$B$22)</f>
        <v>1134052.89924839</v>
      </c>
      <c r="O238" s="31" t="n">
        <f aca="false">'3. The decision'!$B$17+'3. The decision'!$B$18*L238*12+M238*('3. The decision'!$B$20*(1-'3. The decision'!$B$21)+'3. The decision'!$B$23)+N238*('3. The decision'!$B$24+'3. The decision'!$B$25)</f>
        <v>608150.924809614</v>
      </c>
      <c r="P238" s="31" t="n">
        <f aca="false">N238-O238</f>
        <v>525901.974438781</v>
      </c>
    </row>
    <row r="239" customFormat="false" ht="15" hidden="false" customHeight="false" outlineLevel="0" collapsed="false">
      <c r="A239" s="27" t="n">
        <f aca="false">88*0.0025</f>
        <v>0.22</v>
      </c>
      <c r="B239" s="27" t="n">
        <f aca="false">IF(A239&gt;0,MIN('3. The decision'!$B$15,'3. The decision'!$B$29*(A239/'3. The decision'!$B$28)^$B$148),0)</f>
        <v>0.215942891136228</v>
      </c>
      <c r="C239" s="15" t="n">
        <f aca="false">(1-'3. The decision'!$B$27-B239)*(1-'3. The decision'!$B$27)^('3. The decision'!$B$12-1)</f>
        <v>0.508660580772671</v>
      </c>
      <c r="D239" s="15" t="n">
        <f aca="false">1+(1-'3. The decision'!$B$27-B239)*(1-(1-'3. The decision'!$B$27)^('3. The decision'!$B$12-1))/'3. The decision'!$B$27</f>
        <v>4.14130117430227</v>
      </c>
      <c r="E239" s="15" t="n">
        <f aca="false">(1-'3. The decision'!$B$14)*(1-'3. The decision'!$B$27)^('3. The decision'!$B$11-1)</f>
        <v>0.690273454655712</v>
      </c>
      <c r="F239" s="15" t="n">
        <f aca="false">1+(1-'3. The decision'!$B$14)*(1-(1-'3. The decision'!$B$27)^('3. The decision'!$B$11-1))/'3. The decision'!$B$27</f>
        <v>4.28912098262087</v>
      </c>
      <c r="G239" s="15" t="n">
        <f aca="false">(1-(1-'3. The decision'!$B$9*MIN(1,('3. The decision'!$B$10/(52/12)))))+(1-(1-'3. The decision'!$B$9*MAX(0,MIN(1,('3. The decision'!$B$10/(52/12))-1))))*(1-'3. The decision'!$B$14)+(1-(1-'3. The decision'!$B$9*MAX(0,MIN(1,('3. The decision'!$B$10/(52/12))-2))))*(1-'3. The decision'!$B$14)*(1-'3. The decision'!$B$27)</f>
        <v>0.884576923076923</v>
      </c>
      <c r="H239" s="15" t="n">
        <f aca="false">IF(A239&lt;=0,0,MAX(0,ROUNDUP(LN('3. The decision'!$B$13)/LN(1+A239)-0.000000000001,0)-1))</f>
        <v>2</v>
      </c>
      <c r="I239" s="15" t="n">
        <f aca="false">IF(A239&lt;=0,1/(1-C239),(1+A239)*(1-(C239*(1+A239))^H239)/(1-C239*(1+A239))+'3. The decision'!$B$13*C239^H239/(1-C239))</f>
        <v>2.83017003854611</v>
      </c>
      <c r="J239" s="17" t="n">
        <f aca="false">F239+E239*D239/(1-C239)</f>
        <v>10.1071566550911</v>
      </c>
      <c r="K239" s="15" t="n">
        <f aca="false">F239-G239+E239*D239*I239</f>
        <v>11.4949537963244</v>
      </c>
      <c r="L239" s="17" t="n">
        <f aca="false">'3. The decision'!$B$8*'3. The decision'!$B$5/J239</f>
        <v>46.4660849758808</v>
      </c>
      <c r="M239" s="31" t="n">
        <f aca="false">L239*'3. The decision'!$B$6*'3. The decision'!$B$7*K239</f>
        <v>1024465.38296078</v>
      </c>
      <c r="N239" s="31" t="n">
        <f aca="false">M239*(1+'3. The decision'!$B$19+'3. The decision'!$B$20+'3. The decision'!$B$22)</f>
        <v>1133058.71355462</v>
      </c>
      <c r="O239" s="31" t="n">
        <f aca="false">'3. The decision'!$B$17+'3. The decision'!$B$18*L239*12+M239*('3. The decision'!$B$20*(1-'3. The decision'!$B$21)+'3. The decision'!$B$23)+N239*('3. The decision'!$B$24+'3. The decision'!$B$25)</f>
        <v>608548.467773348</v>
      </c>
      <c r="P239" s="31" t="n">
        <f aca="false">N239-O239</f>
        <v>524510.245781269</v>
      </c>
    </row>
    <row r="240" customFormat="false" ht="15" hidden="false" customHeight="false" outlineLevel="0" collapsed="false">
      <c r="A240" s="27" t="n">
        <f aca="false">89*0.0025</f>
        <v>0.2225</v>
      </c>
      <c r="B240" s="27" t="n">
        <f aca="false">IF(A240&gt;0,MIN('3. The decision'!$B$15,'3. The decision'!$B$29*(A240/'3. The decision'!$B$28)^$B$148),0)</f>
        <v>0.220878569303986</v>
      </c>
      <c r="C240" s="15" t="n">
        <f aca="false">(1-'3. The decision'!$B$27-B240)*(1-'3. The decision'!$B$27)^('3. The decision'!$B$12-1)</f>
        <v>0.505161786192691</v>
      </c>
      <c r="D240" s="15" t="n">
        <f aca="false">1+(1-'3. The decision'!$B$27-B240)*(1-(1-'3. The decision'!$B$27)^('3. The decision'!$B$12-1))/'3. The decision'!$B$27</f>
        <v>4.11969390230561</v>
      </c>
      <c r="E240" s="15" t="n">
        <f aca="false">(1-'3. The decision'!$B$14)*(1-'3. The decision'!$B$27)^('3. The decision'!$B$11-1)</f>
        <v>0.690273454655712</v>
      </c>
      <c r="F240" s="15" t="n">
        <f aca="false">1+(1-'3. The decision'!$B$14)*(1-(1-'3. The decision'!$B$27)^('3. The decision'!$B$11-1))/'3. The decision'!$B$27</f>
        <v>4.28912098262087</v>
      </c>
      <c r="G240" s="15" t="n">
        <f aca="false">(1-(1-'3. The decision'!$B$9*MIN(1,('3. The decision'!$B$10/(52/12)))))+(1-(1-'3. The decision'!$B$9*MAX(0,MIN(1,('3. The decision'!$B$10/(52/12))-1))))*(1-'3. The decision'!$B$14)+(1-(1-'3. The decision'!$B$9*MAX(0,MIN(1,('3. The decision'!$B$10/(52/12))-2))))*(1-'3. The decision'!$B$14)*(1-'3. The decision'!$B$27)</f>
        <v>0.884576923076923</v>
      </c>
      <c r="H240" s="15" t="n">
        <f aca="false">IF(A240&lt;=0,0,MAX(0,ROUNDUP(LN('3. The decision'!$B$13)/LN(1+A240)-0.000000000001,0)-1))</f>
        <v>2</v>
      </c>
      <c r="I240" s="15" t="n">
        <f aca="false">IF(A240&lt;=0,1/(1-C240),(1+A240)*(1-(C240*(1+A240))^H240)/(1-C240*(1+A240))+'3. The decision'!$B$13*C240^H240/(1-C240))</f>
        <v>2.81290263632246</v>
      </c>
      <c r="J240" s="17" t="n">
        <f aca="false">F240+E240*D240/(1-C240)</f>
        <v>10.0358787364105</v>
      </c>
      <c r="K240" s="15" t="n">
        <f aca="false">F240-G240+E240*D240*I240</f>
        <v>11.4036384421992</v>
      </c>
      <c r="L240" s="17" t="n">
        <f aca="false">'3. The decision'!$B$8*'3. The decision'!$B$5/J240</f>
        <v>46.7961015009209</v>
      </c>
      <c r="M240" s="31" t="n">
        <f aca="false">L240*'3. The decision'!$B$6*'3. The decision'!$B$7*K240</f>
        <v>1023545.34941842</v>
      </c>
      <c r="N240" s="31" t="n">
        <f aca="false">M240*(1+'3. The decision'!$B$19+'3. The decision'!$B$20+'3. The decision'!$B$22)</f>
        <v>1132041.15645677</v>
      </c>
      <c r="O240" s="31" t="n">
        <f aca="false">'3. The decision'!$B$17+'3. The decision'!$B$18*L240*12+M240*('3. The decision'!$B$20*(1-'3. The decision'!$B$21)+'3. The decision'!$B$23)+N240*('3. The decision'!$B$24+'3. The decision'!$B$25)</f>
        <v>608949.367054903</v>
      </c>
      <c r="P240" s="31" t="n">
        <f aca="false">N240-O240</f>
        <v>523091.789401867</v>
      </c>
    </row>
    <row r="241" customFormat="false" ht="15" hidden="false" customHeight="false" outlineLevel="0" collapsed="false">
      <c r="A241" s="27" t="n">
        <f aca="false">90*0.0025</f>
        <v>0.225</v>
      </c>
      <c r="B241" s="27" t="n">
        <f aca="false">IF(A241&gt;0,MIN('3. The decision'!$B$15,'3. The decision'!$B$29*(A241/'3. The decision'!$B$28)^$B$148),0)</f>
        <v>0.22587001784652</v>
      </c>
      <c r="C241" s="15" t="n">
        <f aca="false">(1-'3. The decision'!$B$27-B241)*(1-'3. The decision'!$B$27)^('3. The decision'!$B$12-1)</f>
        <v>0.501623457210678</v>
      </c>
      <c r="D241" s="15" t="n">
        <f aca="false">1+(1-'3. The decision'!$B$27-B241)*(1-(1-'3. The decision'!$B$27)^('3. The decision'!$B$12-1))/'3. The decision'!$B$27</f>
        <v>4.09784248034289</v>
      </c>
      <c r="E241" s="15" t="n">
        <f aca="false">(1-'3. The decision'!$B$14)*(1-'3. The decision'!$B$27)^('3. The decision'!$B$11-1)</f>
        <v>0.690273454655712</v>
      </c>
      <c r="F241" s="15" t="n">
        <f aca="false">1+(1-'3. The decision'!$B$14)*(1-(1-'3. The decision'!$B$27)^('3. The decision'!$B$11-1))/'3. The decision'!$B$27</f>
        <v>4.28912098262087</v>
      </c>
      <c r="G241" s="15" t="n">
        <f aca="false">(1-(1-'3. The decision'!$B$9*MIN(1,('3. The decision'!$B$10/(52/12)))))+(1-(1-'3. The decision'!$B$9*MAX(0,MIN(1,('3. The decision'!$B$10/(52/12))-1))))*(1-'3. The decision'!$B$14)+(1-(1-'3. The decision'!$B$9*MAX(0,MIN(1,('3. The decision'!$B$10/(52/12))-2))))*(1-'3. The decision'!$B$14)*(1-'3. The decision'!$B$27)</f>
        <v>0.884576923076923</v>
      </c>
      <c r="H241" s="15" t="n">
        <f aca="false">IF(A241&lt;=0,0,MAX(0,ROUNDUP(LN('3. The decision'!$B$13)/LN(1+A241)-0.000000000001,0)-1))</f>
        <v>2</v>
      </c>
      <c r="I241" s="15" t="n">
        <f aca="false">IF(A241&lt;=0,1/(1-C241),(1+A241)*(1-(C241*(1+A241))^H241)/(1-C241*(1+A241))+'3. The decision'!$B$13*C241^H241/(1-C241))</f>
        <v>2.79567297133714</v>
      </c>
      <c r="J241" s="17" t="n">
        <f aca="false">F241+E241*D241/(1-C241)</f>
        <v>9.9648132407474</v>
      </c>
      <c r="K241" s="15" t="n">
        <f aca="false">F241-G241+E241*D241*I241</f>
        <v>11.312473767814</v>
      </c>
      <c r="L241" s="17" t="n">
        <f aca="false">'3. The decision'!$B$8*'3. The decision'!$B$5/J241</f>
        <v>47.1298346144192</v>
      </c>
      <c r="M241" s="31" t="n">
        <f aca="false">L241*'3. The decision'!$B$6*'3. The decision'!$B$7*K241</f>
        <v>1022603.97519399</v>
      </c>
      <c r="N241" s="31" t="n">
        <f aca="false">M241*(1+'3. The decision'!$B$19+'3. The decision'!$B$20+'3. The decision'!$B$22)</f>
        <v>1130999.99656456</v>
      </c>
      <c r="O241" s="31" t="n">
        <f aca="false">'3. The decision'!$B$17+'3. The decision'!$B$18*L241*12+M241*('3. The decision'!$B$20*(1-'3. The decision'!$B$21)+'3. The decision'!$B$23)+N241*('3. The decision'!$B$24+'3. The decision'!$B$25)</f>
        <v>609353.599511561</v>
      </c>
      <c r="P241" s="31" t="n">
        <f aca="false">N241-O241</f>
        <v>521646.397052997</v>
      </c>
    </row>
    <row r="242" customFormat="false" ht="15" hidden="false" customHeight="false" outlineLevel="0" collapsed="false">
      <c r="A242" s="27" t="n">
        <f aca="false">91*0.0025</f>
        <v>0.2275</v>
      </c>
      <c r="B242" s="27" t="n">
        <f aca="false">IF(A242&gt;0,MIN('3. The decision'!$B$15,'3. The decision'!$B$29*(A242/'3. The decision'!$B$28)^$B$148),0)</f>
        <v>0.230917236763831</v>
      </c>
      <c r="C242" s="15" t="n">
        <f aca="false">(1-'3. The decision'!$B$27-B242)*(1-'3. The decision'!$B$27)^('3. The decision'!$B$12-1)</f>
        <v>0.498045593826631</v>
      </c>
      <c r="D242" s="15" t="n">
        <f aca="false">1+(1-'3. The decision'!$B$27-B242)*(1-(1-'3. The decision'!$B$27)^('3. The decision'!$B$12-1))/'3. The decision'!$B$27</f>
        <v>4.07574690841411</v>
      </c>
      <c r="E242" s="15" t="n">
        <f aca="false">(1-'3. The decision'!$B$14)*(1-'3. The decision'!$B$27)^('3. The decision'!$B$11-1)</f>
        <v>0.690273454655712</v>
      </c>
      <c r="F242" s="15" t="n">
        <f aca="false">1+(1-'3. The decision'!$B$14)*(1-(1-'3. The decision'!$B$27)^('3. The decision'!$B$11-1))/'3. The decision'!$B$27</f>
        <v>4.28912098262087</v>
      </c>
      <c r="G242" s="15" t="n">
        <f aca="false">(1-(1-'3. The decision'!$B$9*MIN(1,('3. The decision'!$B$10/(52/12)))))+(1-(1-'3. The decision'!$B$9*MAX(0,MIN(1,('3. The decision'!$B$10/(52/12))-1))))*(1-'3. The decision'!$B$14)+(1-(1-'3. The decision'!$B$9*MAX(0,MIN(1,('3. The decision'!$B$10/(52/12))-2))))*(1-'3. The decision'!$B$14)*(1-'3. The decision'!$B$27)</f>
        <v>0.884576923076923</v>
      </c>
      <c r="H242" s="15" t="n">
        <f aca="false">IF(A242&lt;=0,0,MAX(0,ROUNDUP(LN('3. The decision'!$B$13)/LN(1+A242)-0.000000000001,0)-1))</f>
        <v>2</v>
      </c>
      <c r="I242" s="15" t="n">
        <f aca="false">IF(A242&lt;=0,1/(1-C242),(1+A242)*(1-(C242*(1+A242))^H242)/(1-C242*(1+A242))+'3. The decision'!$B$13*C242^H242/(1-C242))</f>
        <v>2.77848420789197</v>
      </c>
      <c r="J242" s="17" t="n">
        <f aca="false">F242+E242*D242/(1-C242)</f>
        <v>9.8939724674819</v>
      </c>
      <c r="K242" s="15" t="n">
        <f aca="false">F242-G242+E242*D242*I242</f>
        <v>11.2214756790864</v>
      </c>
      <c r="L242" s="17" t="n">
        <f aca="false">'3. The decision'!$B$8*'3. The decision'!$B$5/J242</f>
        <v>47.4672838987117</v>
      </c>
      <c r="M242" s="31" t="n">
        <f aca="false">L242*'3. The decision'!$B$6*'3. The decision'!$B$7*K242</f>
        <v>1021641.03917705</v>
      </c>
      <c r="N242" s="31" t="n">
        <f aca="false">M242*(1+'3. The decision'!$B$19+'3. The decision'!$B$20+'3. The decision'!$B$22)</f>
        <v>1129934.98932981</v>
      </c>
      <c r="O242" s="31" t="n">
        <f aca="false">'3. The decision'!$B$17+'3. The decision'!$B$18*L242*12+M242*('3. The decision'!$B$20*(1-'3. The decision'!$B$21)+'3. The decision'!$B$23)+N242*('3. The decision'!$B$24+'3. The decision'!$B$25)</f>
        <v>609761.140713176</v>
      </c>
      <c r="P242" s="31" t="n">
        <f aca="false">N242-O242</f>
        <v>520173.848616638</v>
      </c>
    </row>
    <row r="243" customFormat="false" ht="15" hidden="false" customHeight="false" outlineLevel="0" collapsed="false">
      <c r="A243" s="27" t="n">
        <f aca="false">92*0.0025</f>
        <v>0.23</v>
      </c>
      <c r="B243" s="27" t="n">
        <f aca="false">IF(A243&gt;0,MIN('3. The decision'!$B$15,'3. The decision'!$B$29*(A243/'3. The decision'!$B$28)^$B$148),0)</f>
        <v>0.236020226055919</v>
      </c>
      <c r="C243" s="15" t="n">
        <f aca="false">(1-'3. The decision'!$B$27-B243)*(1-'3. The decision'!$B$27)^('3. The decision'!$B$12-1)</f>
        <v>0.49442819604055</v>
      </c>
      <c r="D243" s="15" t="n">
        <f aca="false">1+(1-'3. The decision'!$B$27-B243)*(1-(1-'3. The decision'!$B$27)^('3. The decision'!$B$12-1))/'3. The decision'!$B$27</f>
        <v>4.05340718651926</v>
      </c>
      <c r="E243" s="15" t="n">
        <f aca="false">(1-'3. The decision'!$B$14)*(1-'3. The decision'!$B$27)^('3. The decision'!$B$11-1)</f>
        <v>0.690273454655712</v>
      </c>
      <c r="F243" s="15" t="n">
        <f aca="false">1+(1-'3. The decision'!$B$14)*(1-(1-'3. The decision'!$B$27)^('3. The decision'!$B$11-1))/'3. The decision'!$B$27</f>
        <v>4.28912098262087</v>
      </c>
      <c r="G243" s="15" t="n">
        <f aca="false">(1-(1-'3. The decision'!$B$9*MIN(1,('3. The decision'!$B$10/(52/12)))))+(1-(1-'3. The decision'!$B$9*MAX(0,MIN(1,('3. The decision'!$B$10/(52/12))-1))))*(1-'3. The decision'!$B$14)+(1-(1-'3. The decision'!$B$9*MAX(0,MIN(1,('3. The decision'!$B$10/(52/12))-2))))*(1-'3. The decision'!$B$14)*(1-'3. The decision'!$B$27)</f>
        <v>0.884576923076923</v>
      </c>
      <c r="H243" s="15" t="n">
        <f aca="false">IF(A243&lt;=0,0,MAX(0,ROUNDUP(LN('3. The decision'!$B$13)/LN(1+A243)-0.000000000001,0)-1))</f>
        <v>2</v>
      </c>
      <c r="I243" s="15" t="n">
        <f aca="false">IF(A243&lt;=0,1/(1-C243),(1+A243)*(1-(C243*(1+A243))^H243)/(1-C243*(1+A243))+'3. The decision'!$B$13*C243^H243/(1-C243))</f>
        <v>2.76133935959613</v>
      </c>
      <c r="J243" s="17" t="n">
        <f aca="false">F243+E243*D243/(1-C243)</f>
        <v>9.82336826431729</v>
      </c>
      <c r="K243" s="15" t="n">
        <f aca="false">F243-G243+E243*D243*I243</f>
        <v>11.1306594269627</v>
      </c>
      <c r="L243" s="17" t="n">
        <f aca="false">'3. The decision'!$B$8*'3. The decision'!$B$5/J243</f>
        <v>47.808448931507</v>
      </c>
      <c r="M243" s="31" t="n">
        <f aca="false">L243*'3. The decision'!$B$6*'3. The decision'!$B$7*K243</f>
        <v>1020656.30846775</v>
      </c>
      <c r="N243" s="31" t="n">
        <f aca="false">M243*(1+'3. The decision'!$B$19+'3. The decision'!$B$20+'3. The decision'!$B$22)</f>
        <v>1128845.87716533</v>
      </c>
      <c r="O243" s="31" t="n">
        <f aca="false">'3. The decision'!$B$17+'3. The decision'!$B$18*L243*12+M243*('3. The decision'!$B$20*(1-'3. The decision'!$B$21)+'3. The decision'!$B$23)+N243*('3. The decision'!$B$24+'3. The decision'!$B$25)</f>
        <v>610171.964953739</v>
      </c>
      <c r="P243" s="31" t="n">
        <f aca="false">N243-O243</f>
        <v>518673.912211594</v>
      </c>
    </row>
    <row r="244" customFormat="false" ht="15" hidden="false" customHeight="false" outlineLevel="0" collapsed="false">
      <c r="A244" s="27" t="n">
        <f aca="false">93*0.0025</f>
        <v>0.2325</v>
      </c>
      <c r="B244" s="27" t="n">
        <f aca="false">IF(A244&gt;0,MIN('3. The decision'!$B$15,'3. The decision'!$B$29*(A244/'3. The decision'!$B$28)^$B$148),0)</f>
        <v>0.241178985722784</v>
      </c>
      <c r="C244" s="15" t="n">
        <f aca="false">(1-'3. The decision'!$B$27-B244)*(1-'3. The decision'!$B$27)^('3. The decision'!$B$12-1)</f>
        <v>0.490771263852436</v>
      </c>
      <c r="D244" s="15" t="n">
        <f aca="false">1+(1-'3. The decision'!$B$27-B244)*(1-(1-'3. The decision'!$B$27)^('3. The decision'!$B$12-1))/'3. The decision'!$B$27</f>
        <v>4.03082331465835</v>
      </c>
      <c r="E244" s="15" t="n">
        <f aca="false">(1-'3. The decision'!$B$14)*(1-'3. The decision'!$B$27)^('3. The decision'!$B$11-1)</f>
        <v>0.690273454655712</v>
      </c>
      <c r="F244" s="15" t="n">
        <f aca="false">1+(1-'3. The decision'!$B$14)*(1-(1-'3. The decision'!$B$27)^('3. The decision'!$B$11-1))/'3. The decision'!$B$27</f>
        <v>4.28912098262087</v>
      </c>
      <c r="G244" s="15" t="n">
        <f aca="false">(1-(1-'3. The decision'!$B$9*MIN(1,('3. The decision'!$B$10/(52/12)))))+(1-(1-'3. The decision'!$B$9*MAX(0,MIN(1,('3. The decision'!$B$10/(52/12))-1))))*(1-'3. The decision'!$B$14)+(1-(1-'3. The decision'!$B$9*MAX(0,MIN(1,('3. The decision'!$B$10/(52/12))-2))))*(1-'3. The decision'!$B$14)*(1-'3. The decision'!$B$27)</f>
        <v>0.884576923076923</v>
      </c>
      <c r="H244" s="15" t="n">
        <f aca="false">IF(A244&lt;=0,0,MAX(0,ROUNDUP(LN('3. The decision'!$B$13)/LN(1+A244)-0.000000000001,0)-1))</f>
        <v>2</v>
      </c>
      <c r="I244" s="15" t="n">
        <f aca="false">IF(A244&lt;=0,1/(1-C244),(1+A244)*(1-(C244*(1+A244))^H244)/(1-C244*(1+A244))+'3. The decision'!$B$13*C244^H244/(1-C244))</f>
        <v>2.74424129154749</v>
      </c>
      <c r="J244" s="17" t="n">
        <f aca="false">F244+E244*D244/(1-C244)</f>
        <v>9.75301203394939</v>
      </c>
      <c r="K244" s="15" t="n">
        <f aca="false">F244-G244+E244*D244*I244</f>
        <v>11.0400396198996</v>
      </c>
      <c r="L244" s="17" t="n">
        <f aca="false">'3. The decision'!$B$8*'3. The decision'!$B$5/J244</f>
        <v>48.1533292858887</v>
      </c>
      <c r="M244" s="31" t="n">
        <f aca="false">L244*'3. The decision'!$B$6*'3. The decision'!$B$7*K244</f>
        <v>1019649.5384998</v>
      </c>
      <c r="N244" s="31" t="n">
        <f aca="false">M244*(1+'3. The decision'!$B$19+'3. The decision'!$B$20+'3. The decision'!$B$22)</f>
        <v>1127732.38958078</v>
      </c>
      <c r="O244" s="31" t="n">
        <f aca="false">'3. The decision'!$B$17+'3. The decision'!$B$18*L244*12+M244*('3. The decision'!$B$20*(1-'3. The decision'!$B$21)+'3. The decision'!$B$23)+N244*('3. The decision'!$B$24+'3. The decision'!$B$25)</f>
        <v>610586.045264604</v>
      </c>
      <c r="P244" s="31" t="n">
        <f aca="false">N244-O244</f>
        <v>517146.344316172</v>
      </c>
    </row>
    <row r="245" customFormat="false" ht="15" hidden="false" customHeight="false" outlineLevel="0" collapsed="false">
      <c r="A245" s="27" t="n">
        <f aca="false">94*0.0025</f>
        <v>0.235</v>
      </c>
      <c r="B245" s="27" t="n">
        <f aca="false">IF(A245&gt;0,MIN('3. The decision'!$B$15,'3. The decision'!$B$29*(A245/'3. The decision'!$B$28)^$B$148),0)</f>
        <v>0.246393515764426</v>
      </c>
      <c r="C245" s="15" t="n">
        <f aca="false">(1-'3. The decision'!$B$27-B245)*(1-'3. The decision'!$B$27)^('3. The decision'!$B$12-1)</f>
        <v>0.487074797262288</v>
      </c>
      <c r="D245" s="15" t="n">
        <f aca="false">1+(1-'3. The decision'!$B$27-B245)*(1-(1-'3. The decision'!$B$27)^('3. The decision'!$B$12-1))/'3. The decision'!$B$27</f>
        <v>4.00799529283137</v>
      </c>
      <c r="E245" s="15" t="n">
        <f aca="false">(1-'3. The decision'!$B$14)*(1-'3. The decision'!$B$27)^('3. The decision'!$B$11-1)</f>
        <v>0.690273454655712</v>
      </c>
      <c r="F245" s="15" t="n">
        <f aca="false">1+(1-'3. The decision'!$B$14)*(1-(1-'3. The decision'!$B$27)^('3. The decision'!$B$11-1))/'3. The decision'!$B$27</f>
        <v>4.28912098262087</v>
      </c>
      <c r="G245" s="15" t="n">
        <f aca="false">(1-(1-'3. The decision'!$B$9*MIN(1,('3. The decision'!$B$10/(52/12)))))+(1-(1-'3. The decision'!$B$9*MAX(0,MIN(1,('3. The decision'!$B$10/(52/12))-1))))*(1-'3. The decision'!$B$14)+(1-(1-'3. The decision'!$B$9*MAX(0,MIN(1,('3. The decision'!$B$10/(52/12))-2))))*(1-'3. The decision'!$B$14)*(1-'3. The decision'!$B$27)</f>
        <v>0.884576923076923</v>
      </c>
      <c r="H245" s="15" t="n">
        <f aca="false">IF(A245&lt;=0,0,MAX(0,ROUNDUP(LN('3. The decision'!$B$13)/LN(1+A245)-0.000000000001,0)-1))</f>
        <v>2</v>
      </c>
      <c r="I245" s="15" t="n">
        <f aca="false">IF(A245&lt;=0,1/(1-C245),(1+A245)*(1-(C245*(1+A245))^H245)/(1-C245*(1+A245))+'3. The decision'!$B$13*C245^H245/(1-C245))</f>
        <v>2.72719272259049</v>
      </c>
      <c r="J245" s="17" t="n">
        <f aca="false">F245+E245*D245/(1-C245)</f>
        <v>9.68291474096983</v>
      </c>
      <c r="K245" s="15" t="n">
        <f aca="false">F245-G245+E245*D245*I245</f>
        <v>10.9496302367327</v>
      </c>
      <c r="L245" s="17" t="n">
        <f aca="false">'3. The decision'!$B$8*'3. The decision'!$B$5/J245</f>
        <v>48.5019245303157</v>
      </c>
      <c r="M245" s="31" t="n">
        <f aca="false">L245*'3. The decision'!$B$6*'3. The decision'!$B$7*K245</f>
        <v>1018620.473179</v>
      </c>
      <c r="N245" s="31" t="n">
        <f aca="false">M245*(1+'3. The decision'!$B$19+'3. The decision'!$B$20+'3. The decision'!$B$22)</f>
        <v>1126594.24333597</v>
      </c>
      <c r="O245" s="31" t="n">
        <f aca="false">'3. The decision'!$B$17+'3. The decision'!$B$18*L245*12+M245*('3. The decision'!$B$20*(1-'3. The decision'!$B$21)+'3. The decision'!$B$23)+N245*('3. The decision'!$B$24+'3. The decision'!$B$25)</f>
        <v>611003.35342941</v>
      </c>
      <c r="P245" s="31" t="n">
        <f aca="false">N245-O245</f>
        <v>515590.889906564</v>
      </c>
    </row>
    <row r="246" customFormat="false" ht="15" hidden="false" customHeight="false" outlineLevel="0" collapsed="false">
      <c r="A246" s="27" t="n">
        <f aca="false">95*0.0025</f>
        <v>0.2375</v>
      </c>
      <c r="B246" s="27" t="n">
        <f aca="false">IF(A246&gt;0,MIN('3. The decision'!$B$15,'3. The decision'!$B$29*(A246/'3. The decision'!$B$28)^$B$148),0)</f>
        <v>0.251663816180845</v>
      </c>
      <c r="C246" s="15" t="n">
        <f aca="false">(1-'3. The decision'!$B$27-B246)*(1-'3. The decision'!$B$27)^('3. The decision'!$B$12-1)</f>
        <v>0.483338796270106</v>
      </c>
      <c r="D246" s="15" t="n">
        <f aca="false">1+(1-'3. The decision'!$B$27-B246)*(1-(1-'3. The decision'!$B$27)^('3. The decision'!$B$12-1))/'3. The decision'!$B$27</f>
        <v>3.98492312103833</v>
      </c>
      <c r="E246" s="15" t="n">
        <f aca="false">(1-'3. The decision'!$B$14)*(1-'3. The decision'!$B$27)^('3. The decision'!$B$11-1)</f>
        <v>0.690273454655712</v>
      </c>
      <c r="F246" s="15" t="n">
        <f aca="false">1+(1-'3. The decision'!$B$14)*(1-(1-'3. The decision'!$B$27)^('3. The decision'!$B$11-1))/'3. The decision'!$B$27</f>
        <v>4.28912098262087</v>
      </c>
      <c r="G246" s="15" t="n">
        <f aca="false">(1-(1-'3. The decision'!$B$9*MIN(1,('3. The decision'!$B$10/(52/12)))))+(1-(1-'3. The decision'!$B$9*MAX(0,MIN(1,('3. The decision'!$B$10/(52/12))-1))))*(1-'3. The decision'!$B$14)+(1-(1-'3. The decision'!$B$9*MAX(0,MIN(1,('3. The decision'!$B$10/(52/12))-2))))*(1-'3. The decision'!$B$14)*(1-'3. The decision'!$B$27)</f>
        <v>0.884576923076923</v>
      </c>
      <c r="H246" s="15" t="n">
        <f aca="false">IF(A246&lt;=0,0,MAX(0,ROUNDUP(LN('3. The decision'!$B$13)/LN(1+A246)-0.000000000001,0)-1))</f>
        <v>2</v>
      </c>
      <c r="I246" s="15" t="n">
        <f aca="false">IF(A246&lt;=0,1/(1-C246),(1+A246)*(1-(C246*(1+A246))^H246)/(1-C246*(1+A246))+'3. The decision'!$B$13*C246^H246/(1-C246))</f>
        <v>2.71019622764295</v>
      </c>
      <c r="J246" s="17" t="n">
        <f aca="false">F246+E246*D246/(1-C246)</f>
        <v>9.61308691898057</v>
      </c>
      <c r="K246" s="15" t="n">
        <f aca="false">F246-G246+E246*D246*I246</f>
        <v>10.8594446398953</v>
      </c>
      <c r="L246" s="17" t="n">
        <f aca="false">'3. The decision'!$B$8*'3. The decision'!$B$5/J246</f>
        <v>48.8542342286242</v>
      </c>
      <c r="M246" s="31" t="n">
        <f aca="false">L246*'3. The decision'!$B$6*'3. The decision'!$B$7*K246</f>
        <v>1017568.84503791</v>
      </c>
      <c r="N246" s="31" t="n">
        <f aca="false">M246*(1+'3. The decision'!$B$19+'3. The decision'!$B$20+'3. The decision'!$B$22)</f>
        <v>1125431.14261193</v>
      </c>
      <c r="O246" s="31" t="n">
        <f aca="false">'3. The decision'!$B$17+'3. The decision'!$B$18*L246*12+M246*('3. The decision'!$B$20*(1-'3. The decision'!$B$21)+'3. The decision'!$B$23)+N246*('3. The decision'!$B$24+'3. The decision'!$B$25)</f>
        <v>611423.860000722</v>
      </c>
      <c r="P246" s="31" t="n">
        <f aca="false">N246-O246</f>
        <v>514007.282611209</v>
      </c>
    </row>
    <row r="247" customFormat="false" ht="15" hidden="false" customHeight="false" outlineLevel="0" collapsed="false">
      <c r="A247" s="27" t="n">
        <f aca="false">96*0.0025</f>
        <v>0.24</v>
      </c>
      <c r="B247" s="27" t="n">
        <f aca="false">IF(A247&gt;0,MIN('3. The decision'!$B$15,'3. The decision'!$B$29*(A247/'3. The decision'!$B$28)^$B$148),0)</f>
        <v>0.25698988697204</v>
      </c>
      <c r="C247" s="15" t="n">
        <f aca="false">(1-'3. The decision'!$B$27-B247)*(1-'3. The decision'!$B$27)^('3. The decision'!$B$12-1)</f>
        <v>0.479563260875891</v>
      </c>
      <c r="D247" s="15" t="n">
        <f aca="false">1+(1-'3. The decision'!$B$27-B247)*(1-(1-'3. The decision'!$B$27)^('3. The decision'!$B$12-1))/'3. The decision'!$B$27</f>
        <v>3.96160679927923</v>
      </c>
      <c r="E247" s="15" t="n">
        <f aca="false">(1-'3. The decision'!$B$14)*(1-'3. The decision'!$B$27)^('3. The decision'!$B$11-1)</f>
        <v>0.690273454655712</v>
      </c>
      <c r="F247" s="15" t="n">
        <f aca="false">1+(1-'3. The decision'!$B$14)*(1-(1-'3. The decision'!$B$27)^('3. The decision'!$B$11-1))/'3. The decision'!$B$27</f>
        <v>4.28912098262087</v>
      </c>
      <c r="G247" s="15" t="n">
        <f aca="false">(1-(1-'3. The decision'!$B$9*MIN(1,('3. The decision'!$B$10/(52/12)))))+(1-(1-'3. The decision'!$B$9*MAX(0,MIN(1,('3. The decision'!$B$10/(52/12))-1))))*(1-'3. The decision'!$B$14)+(1-(1-'3. The decision'!$B$9*MAX(0,MIN(1,('3. The decision'!$B$10/(52/12))-2))))*(1-'3. The decision'!$B$14)*(1-'3. The decision'!$B$27)</f>
        <v>0.884576923076923</v>
      </c>
      <c r="H247" s="15" t="n">
        <f aca="false">IF(A247&lt;=0,0,MAX(0,ROUNDUP(LN('3. The decision'!$B$13)/LN(1+A247)-0.000000000001,0)-1))</f>
        <v>2</v>
      </c>
      <c r="I247" s="15" t="n">
        <f aca="false">IF(A247&lt;=0,1/(1-C247),(1+A247)*(1-(C247*(1+A247))^H247)/(1-C247*(1+A247))+'3. The decision'!$B$13*C247^H247/(1-C247))</f>
        <v>2.69325424008507</v>
      </c>
      <c r="J247" s="17" t="n">
        <f aca="false">F247+E247*D247/(1-C247)</f>
        <v>9.54353867789797</v>
      </c>
      <c r="K247" s="15" t="n">
        <f aca="false">F247-G247+E247*D247*I247</f>
        <v>10.7694955889505</v>
      </c>
      <c r="L247" s="17" t="n">
        <f aca="false">'3. The decision'!$B$8*'3. The decision'!$B$5/J247</f>
        <v>49.2102579400287</v>
      </c>
      <c r="M247" s="31" t="n">
        <f aca="false">L247*'3. The decision'!$B$6*'3. The decision'!$B$7*K247</f>
        <v>1016494.37540674</v>
      </c>
      <c r="N247" s="31" t="n">
        <f aca="false">M247*(1+'3. The decision'!$B$19+'3. The decision'!$B$20+'3. The decision'!$B$22)</f>
        <v>1124242.77919985</v>
      </c>
      <c r="O247" s="31" t="n">
        <f aca="false">'3. The decision'!$B$17+'3. The decision'!$B$18*L247*12+M247*('3. The decision'!$B$20*(1-'3. The decision'!$B$21)+'3. The decision'!$B$23)+N247*('3. The decision'!$B$24+'3. The decision'!$B$25)</f>
        <v>611847.534318431</v>
      </c>
      <c r="P247" s="31" t="n">
        <f aca="false">N247-O247</f>
        <v>512395.244881421</v>
      </c>
    </row>
    <row r="248" customFormat="false" ht="15" hidden="false" customHeight="false" outlineLevel="0" collapsed="false">
      <c r="A248" s="27" t="n">
        <f aca="false">97*0.0025</f>
        <v>0.2425</v>
      </c>
      <c r="B248" s="27" t="n">
        <f aca="false">IF(A248&gt;0,MIN('3. The decision'!$B$15,'3. The decision'!$B$29*(A248/'3. The decision'!$B$28)^$B$148),0)</f>
        <v>0.262371728138013</v>
      </c>
      <c r="C248" s="15" t="n">
        <f aca="false">(1-'3. The decision'!$B$27-B248)*(1-'3. The decision'!$B$27)^('3. The decision'!$B$12-1)</f>
        <v>0.475748191079642</v>
      </c>
      <c r="D248" s="15" t="n">
        <f aca="false">1+(1-'3. The decision'!$B$27-B248)*(1-(1-'3. The decision'!$B$27)^('3. The decision'!$B$12-1))/'3. The decision'!$B$27</f>
        <v>3.93804632755406</v>
      </c>
      <c r="E248" s="15" t="n">
        <f aca="false">(1-'3. The decision'!$B$14)*(1-'3. The decision'!$B$27)^('3. The decision'!$B$11-1)</f>
        <v>0.690273454655712</v>
      </c>
      <c r="F248" s="15" t="n">
        <f aca="false">1+(1-'3. The decision'!$B$14)*(1-(1-'3. The decision'!$B$27)^('3. The decision'!$B$11-1))/'3. The decision'!$B$27</f>
        <v>4.28912098262087</v>
      </c>
      <c r="G248" s="15" t="n">
        <f aca="false">(1-(1-'3. The decision'!$B$9*MIN(1,('3. The decision'!$B$10/(52/12)))))+(1-(1-'3. The decision'!$B$9*MAX(0,MIN(1,('3. The decision'!$B$10/(52/12))-1))))*(1-'3. The decision'!$B$14)+(1-(1-'3. The decision'!$B$9*MAX(0,MIN(1,('3. The decision'!$B$10/(52/12))-2))))*(1-'3. The decision'!$B$14)*(1-'3. The decision'!$B$27)</f>
        <v>0.884576923076923</v>
      </c>
      <c r="H248" s="15" t="n">
        <f aca="false">IF(A248&lt;=0,0,MAX(0,ROUNDUP(LN('3. The decision'!$B$13)/LN(1+A248)-0.000000000001,0)-1))</f>
        <v>2</v>
      </c>
      <c r="I248" s="15" t="n">
        <f aca="false">IF(A248&lt;=0,1/(1-C248),(1+A248)*(1-(C248*(1+A248))^H248)/(1-C248*(1+A248))+'3. The decision'!$B$13*C248^H248/(1-C248))</f>
        <v>2.6763690542034</v>
      </c>
      <c r="J248" s="17" t="n">
        <f aca="false">F248+E248*D248/(1-C248)</f>
        <v>9.47427971142544</v>
      </c>
      <c r="K248" s="15" t="n">
        <f aca="false">F248-G248+E248*D248*I248</f>
        <v>10.6797952544054</v>
      </c>
      <c r="L248" s="17" t="n">
        <f aca="false">'3. The decision'!$B$8*'3. The decision'!$B$5/J248</f>
        <v>49.5699952191237</v>
      </c>
      <c r="M248" s="31" t="n">
        <f aca="false">L248*'3. The decision'!$B$6*'3. The decision'!$B$7*K248</f>
        <v>1015396.77460082</v>
      </c>
      <c r="N248" s="31" t="n">
        <f aca="false">M248*(1+'3. The decision'!$B$19+'3. The decision'!$B$20+'3. The decision'!$B$22)</f>
        <v>1123028.83270851</v>
      </c>
      <c r="O248" s="31" t="n">
        <f aca="false">'3. The decision'!$B$17+'3. The decision'!$B$18*L248*12+M248*('3. The decision'!$B$20*(1-'3. The decision'!$B$21)+'3. The decision'!$B$23)+N248*('3. The decision'!$B$24+'3. The decision'!$B$25)</f>
        <v>612274.344529931</v>
      </c>
      <c r="P248" s="31" t="n">
        <f aca="false">N248-O248</f>
        <v>510754.488178574</v>
      </c>
    </row>
    <row r="249" customFormat="false" ht="15" hidden="false" customHeight="false" outlineLevel="0" collapsed="false">
      <c r="A249" s="27" t="n">
        <f aca="false">98*0.0025</f>
        <v>0.245</v>
      </c>
      <c r="B249" s="27" t="n">
        <f aca="false">IF(A249&gt;0,MIN('3. The decision'!$B$15,'3. The decision'!$B$29*(A249/'3. The decision'!$B$28)^$B$148),0)</f>
        <v>0.267809339678763</v>
      </c>
      <c r="C249" s="15" t="n">
        <f aca="false">(1-'3. The decision'!$B$27-B249)*(1-'3. The decision'!$B$27)^('3. The decision'!$B$12-1)</f>
        <v>0.471893586881359</v>
      </c>
      <c r="D249" s="15" t="n">
        <f aca="false">1+(1-'3. The decision'!$B$27-B249)*(1-(1-'3. The decision'!$B$27)^('3. The decision'!$B$12-1))/'3. The decision'!$B$27</f>
        <v>3.91424170586283</v>
      </c>
      <c r="E249" s="15" t="n">
        <f aca="false">(1-'3. The decision'!$B$14)*(1-'3. The decision'!$B$27)^('3. The decision'!$B$11-1)</f>
        <v>0.690273454655712</v>
      </c>
      <c r="F249" s="15" t="n">
        <f aca="false">1+(1-'3. The decision'!$B$14)*(1-(1-'3. The decision'!$B$27)^('3. The decision'!$B$11-1))/'3. The decision'!$B$27</f>
        <v>4.28912098262087</v>
      </c>
      <c r="G249" s="15" t="n">
        <f aca="false">(1-(1-'3. The decision'!$B$9*MIN(1,('3. The decision'!$B$10/(52/12)))))+(1-(1-'3. The decision'!$B$9*MAX(0,MIN(1,('3. The decision'!$B$10/(52/12))-1))))*(1-'3. The decision'!$B$14)+(1-(1-'3. The decision'!$B$9*MAX(0,MIN(1,('3. The decision'!$B$10/(52/12))-2))))*(1-'3. The decision'!$B$14)*(1-'3. The decision'!$B$27)</f>
        <v>0.884576923076923</v>
      </c>
      <c r="H249" s="15" t="n">
        <f aca="false">IF(A249&lt;=0,0,MAX(0,ROUNDUP(LN('3. The decision'!$B$13)/LN(1+A249)-0.000000000001,0)-1))</f>
        <v>2</v>
      </c>
      <c r="I249" s="15" t="n">
        <f aca="false">IF(A249&lt;=0,1/(1-C249),(1+A249)*(1-(C249*(1+A249))^H249)/(1-C249*(1+A249))+'3. The decision'!$B$13*C249^H249/(1-C249))</f>
        <v>2.65954282768349</v>
      </c>
      <c r="J249" s="17" t="n">
        <f aca="false">F249+E249*D249/(1-C249)</f>
        <v>9.4053193046746</v>
      </c>
      <c r="K249" s="15" t="n">
        <f aca="false">F249-G249+E249*D249*I249</f>
        <v>10.590355231772</v>
      </c>
      <c r="L249" s="17" t="n">
        <f aca="false">'3. The decision'!$B$8*'3. The decision'!$B$5/J249</f>
        <v>49.9334456158848</v>
      </c>
      <c r="M249" s="31" t="n">
        <f aca="false">L249*'3. The decision'!$B$6*'3. The decision'!$B$7*K249</f>
        <v>1014275.74212501</v>
      </c>
      <c r="N249" s="31" t="n">
        <f aca="false">M249*(1+'3. The decision'!$B$19+'3. The decision'!$B$20+'3. The decision'!$B$22)</f>
        <v>1121788.97079026</v>
      </c>
      <c r="O249" s="31" t="n">
        <f aca="false">'3. The decision'!$B$17+'3. The decision'!$B$18*L249*12+M249*('3. The decision'!$B$20*(1-'3. The decision'!$B$21)+'3. The decision'!$B$23)+N249*('3. The decision'!$B$24+'3. The decision'!$B$25)</f>
        <v>612704.25761212</v>
      </c>
      <c r="P249" s="31" t="n">
        <f aca="false">N249-O249</f>
        <v>509084.713178136</v>
      </c>
    </row>
    <row r="250" customFormat="false" ht="15" hidden="false" customHeight="false" outlineLevel="0" collapsed="false">
      <c r="A250" s="27" t="n">
        <f aca="false">99*0.0025</f>
        <v>0.2475</v>
      </c>
      <c r="B250" s="27" t="n">
        <f aca="false">IF(A250&gt;0,MIN('3. The decision'!$B$15,'3. The decision'!$B$29*(A250/'3. The decision'!$B$28)^$B$148),0)</f>
        <v>0.273302721594289</v>
      </c>
      <c r="C250" s="15" t="n">
        <f aca="false">(1-'3. The decision'!$B$27-B250)*(1-'3. The decision'!$B$27)^('3. The decision'!$B$12-1)</f>
        <v>0.467999448281043</v>
      </c>
      <c r="D250" s="15" t="n">
        <f aca="false">1+(1-'3. The decision'!$B$27-B250)*(1-(1-'3. The decision'!$B$27)^('3. The decision'!$B$12-1))/'3. The decision'!$B$27</f>
        <v>3.89019293420553</v>
      </c>
      <c r="E250" s="15" t="n">
        <f aca="false">(1-'3. The decision'!$B$14)*(1-'3. The decision'!$B$27)^('3. The decision'!$B$11-1)</f>
        <v>0.690273454655712</v>
      </c>
      <c r="F250" s="15" t="n">
        <f aca="false">1+(1-'3. The decision'!$B$14)*(1-(1-'3. The decision'!$B$27)^('3. The decision'!$B$11-1))/'3. The decision'!$B$27</f>
        <v>4.28912098262087</v>
      </c>
      <c r="G250" s="15" t="n">
        <f aca="false">(1-(1-'3. The decision'!$B$9*MIN(1,('3. The decision'!$B$10/(52/12)))))+(1-(1-'3. The decision'!$B$9*MAX(0,MIN(1,('3. The decision'!$B$10/(52/12))-1))))*(1-'3. The decision'!$B$14)+(1-(1-'3. The decision'!$B$9*MAX(0,MIN(1,('3. The decision'!$B$10/(52/12))-2))))*(1-'3. The decision'!$B$14)*(1-'3. The decision'!$B$27)</f>
        <v>0.884576923076923</v>
      </c>
      <c r="H250" s="15" t="n">
        <f aca="false">IF(A250&lt;=0,0,MAX(0,ROUNDUP(LN('3. The decision'!$B$13)/LN(1+A250)-0.000000000001,0)-1))</f>
        <v>2</v>
      </c>
      <c r="I250" s="15" t="n">
        <f aca="false">IF(A250&lt;=0,1/(1-C250),(1+A250)*(1-(C250*(1+A250))^H250)/(1-C250*(1+A250))+'3. The decision'!$B$13*C250^H250/(1-C250))</f>
        <v>2.64277758414475</v>
      </c>
      <c r="J250" s="17" t="n">
        <f aca="false">F250+E250*D250/(1-C250)</f>
        <v>9.33666634191567</v>
      </c>
      <c r="K250" s="15" t="n">
        <f aca="false">F250-G250+E250*D250*I250</f>
        <v>10.5011865558459</v>
      </c>
      <c r="L250" s="17" t="n">
        <f aca="false">'3. The decision'!$B$8*'3. The decision'!$B$5/J250</f>
        <v>50.3006086756701</v>
      </c>
      <c r="M250" s="31" t="n">
        <f aca="false">L250*'3. The decision'!$B$6*'3. The decision'!$B$7*K250</f>
        <v>1013130.96689519</v>
      </c>
      <c r="N250" s="31" t="n">
        <f aca="false">M250*(1+'3. The decision'!$B$19+'3. The decision'!$B$20+'3. The decision'!$B$22)</f>
        <v>1120522.84938608</v>
      </c>
      <c r="O250" s="31" t="n">
        <f aca="false">'3. The decision'!$B$17+'3. The decision'!$B$18*L250*12+M250*('3. The decision'!$B$20*(1-'3. The decision'!$B$21)+'3. The decision'!$B$23)+N250*('3. The decision'!$B$24+'3. The decision'!$B$25)</f>
        <v>613137.23939524</v>
      </c>
      <c r="P250" s="31" t="n">
        <f aca="false">N250-O250</f>
        <v>507385.609990835</v>
      </c>
    </row>
    <row r="251" customFormat="false" ht="15" hidden="false" customHeight="false" outlineLevel="0" collapsed="false">
      <c r="A251" s="27" t="n">
        <f aca="false">100*0.0025</f>
        <v>0.25</v>
      </c>
      <c r="B251" s="27" t="n">
        <f aca="false">IF(A251&gt;0,MIN('3. The decision'!$B$15,'3. The decision'!$B$29*(A251/'3. The decision'!$B$28)^$B$148),0)</f>
        <v>0.278851873884593</v>
      </c>
      <c r="C251" s="15" t="n">
        <f aca="false">(1-'3. The decision'!$B$27-B251)*(1-'3. The decision'!$B$27)^('3. The decision'!$B$12-1)</f>
        <v>0.464065775278693</v>
      </c>
      <c r="D251" s="15" t="n">
        <f aca="false">1+(1-'3. The decision'!$B$27-B251)*(1-(1-'3. The decision'!$B$27)^('3. The decision'!$B$12-1))/'3. The decision'!$B$27</f>
        <v>3.86590001258217</v>
      </c>
      <c r="E251" s="15" t="n">
        <f aca="false">(1-'3. The decision'!$B$14)*(1-'3. The decision'!$B$27)^('3. The decision'!$B$11-1)</f>
        <v>0.690273454655712</v>
      </c>
      <c r="F251" s="15" t="n">
        <f aca="false">1+(1-'3. The decision'!$B$14)*(1-(1-'3. The decision'!$B$27)^('3. The decision'!$B$11-1))/'3. The decision'!$B$27</f>
        <v>4.28912098262087</v>
      </c>
      <c r="G251" s="15" t="n">
        <f aca="false">(1-(1-'3. The decision'!$B$9*MIN(1,('3. The decision'!$B$10/(52/12)))))+(1-(1-'3. The decision'!$B$9*MAX(0,MIN(1,('3. The decision'!$B$10/(52/12))-1))))*(1-'3. The decision'!$B$14)+(1-(1-'3. The decision'!$B$9*MAX(0,MIN(1,('3. The decision'!$B$10/(52/12))-2))))*(1-'3. The decision'!$B$14)*(1-'3. The decision'!$B$27)</f>
        <v>0.884576923076923</v>
      </c>
      <c r="H251" s="15" t="n">
        <f aca="false">IF(A251&lt;=0,0,MAX(0,ROUNDUP(LN('3. The decision'!$B$13)/LN(1+A251)-0.000000000001,0)-1))</f>
        <v>2</v>
      </c>
      <c r="I251" s="15" t="n">
        <f aca="false">IF(A251&lt;=0,1/(1-C251),(1+A251)*(1-(C251*(1+A251))^H251)/(1-C251*(1+A251))+'3. The decision'!$B$13*C251^H251/(1-C251))</f>
        <v>2.62607521571159</v>
      </c>
      <c r="J251" s="17" t="n">
        <f aca="false">F251+E251*D251/(1-C251)</f>
        <v>9.2683293144387</v>
      </c>
      <c r="K251" s="15" t="n">
        <f aca="false">F251-G251+E251*D251*I251</f>
        <v>10.4122997151717</v>
      </c>
      <c r="L251" s="17" t="n">
        <f aca="false">'3. The decision'!$B$8*'3. The decision'!$B$5/J251</f>
        <v>50.6714839392219</v>
      </c>
      <c r="M251" s="31" t="n">
        <f aca="false">L251*'3. The decision'!$B$6*'3. The decision'!$B$7*K251</f>
        <v>1011962.12747727</v>
      </c>
      <c r="N251" s="31" t="n">
        <f aca="false">M251*(1+'3. The decision'!$B$19+'3. The decision'!$B$20+'3. The decision'!$B$22)</f>
        <v>1119230.11298987</v>
      </c>
      <c r="O251" s="31" t="n">
        <f aca="false">'3. The decision'!$B$17+'3. The decision'!$B$18*L251*12+M251*('3. The decision'!$B$20*(1-'3. The decision'!$B$21)+'3. The decision'!$B$23)+N251*('3. The decision'!$B$24+'3. The decision'!$B$25)</f>
        <v>613573.254588608</v>
      </c>
      <c r="P251" s="31" t="n">
        <f aca="false">N251-O251</f>
        <v>505656.858401258</v>
      </c>
    </row>
    <row r="252" customFormat="false" ht="15" hidden="false" customHeight="false" outlineLevel="0" collapsed="false">
      <c r="A252" s="27" t="n">
        <f aca="false">101*0.0025</f>
        <v>0.2525</v>
      </c>
      <c r="B252" s="27" t="n">
        <f aca="false">IF(A252&gt;0,MIN('3. The decision'!$B$15,'3. The decision'!$B$29*(A252/'3. The decision'!$B$28)^$B$148),0)</f>
        <v>0.284456796549673</v>
      </c>
      <c r="C252" s="15" t="n">
        <f aca="false">(1-'3. The decision'!$B$27-B252)*(1-'3. The decision'!$B$27)^('3. The decision'!$B$12-1)</f>
        <v>0.46009256787431</v>
      </c>
      <c r="D252" s="15" t="n">
        <f aca="false">1+(1-'3. The decision'!$B$27-B252)*(1-(1-'3. The decision'!$B$27)^('3. The decision'!$B$12-1))/'3. The decision'!$B$27</f>
        <v>3.84136294099275</v>
      </c>
      <c r="E252" s="15" t="n">
        <f aca="false">(1-'3. The decision'!$B$14)*(1-'3. The decision'!$B$27)^('3. The decision'!$B$11-1)</f>
        <v>0.690273454655712</v>
      </c>
      <c r="F252" s="15" t="n">
        <f aca="false">1+(1-'3. The decision'!$B$14)*(1-(1-'3. The decision'!$B$27)^('3. The decision'!$B$11-1))/'3. The decision'!$B$27</f>
        <v>4.28912098262087</v>
      </c>
      <c r="G252" s="15" t="n">
        <f aca="false">(1-(1-'3. The decision'!$B$9*MIN(1,('3. The decision'!$B$10/(52/12)))))+(1-(1-'3. The decision'!$B$9*MAX(0,MIN(1,('3. The decision'!$B$10/(52/12))-1))))*(1-'3. The decision'!$B$14)+(1-(1-'3. The decision'!$B$9*MAX(0,MIN(1,('3. The decision'!$B$10/(52/12))-2))))*(1-'3. The decision'!$B$14)*(1-'3. The decision'!$B$27)</f>
        <v>0.884576923076923</v>
      </c>
      <c r="H252" s="15" t="n">
        <f aca="false">IF(A252&lt;=0,0,MAX(0,ROUNDUP(LN('3. The decision'!$B$13)/LN(1+A252)-0.000000000001,0)-1))</f>
        <v>2</v>
      </c>
      <c r="I252" s="15" t="n">
        <f aca="false">IF(A252&lt;=0,1/(1-C252),(1+A252)*(1-(C252*(1+A252))^H252)/(1-C252*(1+A252))+'3. The decision'!$B$13*C252^H252/(1-C252))</f>
        <v>2.60943748561499</v>
      </c>
      <c r="J252" s="17" t="n">
        <f aca="false">F252+E252*D252/(1-C252)</f>
        <v>9.20031632850787</v>
      </c>
      <c r="K252" s="15" t="n">
        <f aca="false">F252-G252+E252*D252*I252</f>
        <v>10.3237046666665</v>
      </c>
      <c r="L252" s="17" t="n">
        <f aca="false">'3. The decision'!$B$8*'3. The decision'!$B$5/J252</f>
        <v>51.0460709426681</v>
      </c>
      <c r="M252" s="31" t="n">
        <f aca="false">L252*'3. The decision'!$B$6*'3. The decision'!$B$7*K252</f>
        <v>1010768.89234394</v>
      </c>
      <c r="N252" s="31" t="n">
        <f aca="false">M252*(1+'3. The decision'!$B$19+'3. The decision'!$B$20+'3. The decision'!$B$22)</f>
        <v>1117910.3949324</v>
      </c>
      <c r="O252" s="31" t="n">
        <f aca="false">'3. The decision'!$B$17+'3. The decision'!$B$18*L252*12+M252*('3. The decision'!$B$20*(1-'3. The decision'!$B$21)+'3. The decision'!$B$23)+N252*('3. The decision'!$B$24+'3. The decision'!$B$25)</f>
        <v>614012.266808243</v>
      </c>
      <c r="P252" s="31" t="n">
        <f aca="false">N252-O252</f>
        <v>503898.128124158</v>
      </c>
    </row>
    <row r="253" customFormat="false" ht="15" hidden="false" customHeight="false" outlineLevel="0" collapsed="false">
      <c r="A253" s="27" t="n">
        <f aca="false">102*0.0025</f>
        <v>0.255</v>
      </c>
      <c r="B253" s="27" t="n">
        <f aca="false">IF(A253&gt;0,MIN('3. The decision'!$B$15,'3. The decision'!$B$29*(A253/'3. The decision'!$B$28)^$B$148),0)</f>
        <v>0.29011748958953</v>
      </c>
      <c r="C253" s="15" t="n">
        <f aca="false">(1-'3. The decision'!$B$27-B253)*(1-'3. The decision'!$B$27)^('3. The decision'!$B$12-1)</f>
        <v>0.456079826067892</v>
      </c>
      <c r="D253" s="15" t="n">
        <f aca="false">1+(1-'3. The decision'!$B$27-B253)*(1-(1-'3. The decision'!$B$27)^('3. The decision'!$B$12-1))/'3. The decision'!$B$27</f>
        <v>3.81658171943726</v>
      </c>
      <c r="E253" s="15" t="n">
        <f aca="false">(1-'3. The decision'!$B$14)*(1-'3. The decision'!$B$27)^('3. The decision'!$B$11-1)</f>
        <v>0.690273454655712</v>
      </c>
      <c r="F253" s="15" t="n">
        <f aca="false">1+(1-'3. The decision'!$B$14)*(1-(1-'3. The decision'!$B$27)^('3. The decision'!$B$11-1))/'3. The decision'!$B$27</f>
        <v>4.28912098262087</v>
      </c>
      <c r="G253" s="15" t="n">
        <f aca="false">(1-(1-'3. The decision'!$B$9*MIN(1,('3. The decision'!$B$10/(52/12)))))+(1-(1-'3. The decision'!$B$9*MAX(0,MIN(1,('3. The decision'!$B$10/(52/12))-1))))*(1-'3. The decision'!$B$14)+(1-(1-'3. The decision'!$B$9*MAX(0,MIN(1,('3. The decision'!$B$10/(52/12))-2))))*(1-'3. The decision'!$B$14)*(1-'3. The decision'!$B$27)</f>
        <v>0.884576923076923</v>
      </c>
      <c r="H253" s="15" t="n">
        <f aca="false">IF(A253&lt;=0,0,MAX(0,ROUNDUP(LN('3. The decision'!$B$13)/LN(1+A253)-0.000000000001,0)-1))</f>
        <v>2</v>
      </c>
      <c r="I253" s="15" t="n">
        <f aca="false">IF(A253&lt;=0,1/(1-C253),(1+A253)*(1-(C253*(1+A253))^H253)/(1-C253*(1+A253))+'3. The decision'!$B$13*C253^H253/(1-C253))</f>
        <v>2.59286603081906</v>
      </c>
      <c r="J253" s="17" t="n">
        <f aca="false">F253+E253*D253/(1-C253)</f>
        <v>9.13263511339226</v>
      </c>
      <c r="K253" s="15" t="n">
        <f aca="false">F253-G253+E253*D253*I253</f>
        <v>10.2354108503753</v>
      </c>
      <c r="L253" s="17" t="n">
        <f aca="false">'3. The decision'!$B$8*'3. The decision'!$B$5/J253</f>
        <v>51.4243692175232</v>
      </c>
      <c r="M253" s="31" t="n">
        <f aca="false">L253*'3. The decision'!$B$6*'3. The decision'!$B$7*K253</f>
        <v>1009550.9201494</v>
      </c>
      <c r="N253" s="31" t="n">
        <f aca="false">M253*(1+'3. The decision'!$B$19+'3. The decision'!$B$20+'3. The decision'!$B$22)</f>
        <v>1116563.31768524</v>
      </c>
      <c r="O253" s="31" t="n">
        <f aca="false">'3. The decision'!$B$17+'3. The decision'!$B$18*L253*12+M253*('3. The decision'!$B$20*(1-'3. The decision'!$B$21)+'3. The decision'!$B$23)+N253*('3. The decision'!$B$24+'3. The decision'!$B$25)</f>
        <v>614454.238606444</v>
      </c>
      <c r="P253" s="31" t="n">
        <f aca="false">N253-O253</f>
        <v>502109.079078794</v>
      </c>
    </row>
    <row r="254" customFormat="false" ht="15" hidden="false" customHeight="false" outlineLevel="0" collapsed="false">
      <c r="A254" s="27" t="n">
        <f aca="false">103*0.0025</f>
        <v>0.2575</v>
      </c>
      <c r="B254" s="27" t="n">
        <f aca="false">IF(A254&gt;0,MIN('3. The decision'!$B$15,'3. The decision'!$B$29*(A254/'3. The decision'!$B$28)^$B$148),0)</f>
        <v>0.295833953004164</v>
      </c>
      <c r="C254" s="15" t="n">
        <f aca="false">(1-'3. The decision'!$B$27-B254)*(1-'3. The decision'!$B$27)^('3. The decision'!$B$12-1)</f>
        <v>0.452027549859441</v>
      </c>
      <c r="D254" s="15" t="n">
        <f aca="false">1+(1-'3. The decision'!$B$27-B254)*(1-(1-'3. The decision'!$B$27)^('3. The decision'!$B$12-1))/'3. The decision'!$B$27</f>
        <v>3.79155634791571</v>
      </c>
      <c r="E254" s="15" t="n">
        <f aca="false">(1-'3. The decision'!$B$14)*(1-'3. The decision'!$B$27)^('3. The decision'!$B$11-1)</f>
        <v>0.690273454655712</v>
      </c>
      <c r="F254" s="15" t="n">
        <f aca="false">1+(1-'3. The decision'!$B$14)*(1-(1-'3. The decision'!$B$27)^('3. The decision'!$B$11-1))/'3. The decision'!$B$27</f>
        <v>4.28912098262087</v>
      </c>
      <c r="G254" s="15" t="n">
        <f aca="false">(1-(1-'3. The decision'!$B$9*MIN(1,('3. The decision'!$B$10/(52/12)))))+(1-(1-'3. The decision'!$B$9*MAX(0,MIN(1,('3. The decision'!$B$10/(52/12))-1))))*(1-'3. The decision'!$B$14)+(1-(1-'3. The decision'!$B$9*MAX(0,MIN(1,('3. The decision'!$B$10/(52/12))-2))))*(1-'3. The decision'!$B$14)*(1-'3. The decision'!$B$27)</f>
        <v>0.884576923076923</v>
      </c>
      <c r="H254" s="15" t="n">
        <f aca="false">IF(A254&lt;=0,0,MAX(0,ROUNDUP(LN('3. The decision'!$B$13)/LN(1+A254)-0.000000000001,0)-1))</f>
        <v>2</v>
      </c>
      <c r="I254" s="15" t="n">
        <f aca="false">IF(A254&lt;=0,1/(1-C254),(1+A254)*(1-(C254*(1+A254))^H254)/(1-C254*(1+A254))+'3. The decision'!$B$13*C254^H254/(1-C254))</f>
        <v>2.57636236466738</v>
      </c>
      <c r="J254" s="17" t="n">
        <f aca="false">F254+E254*D254/(1-C254)</f>
        <v>9.06529302945688</v>
      </c>
      <c r="K254" s="15" t="n">
        <f aca="false">F254-G254+E254*D254*I254</f>
        <v>10.1474272043308</v>
      </c>
      <c r="L254" s="17" t="n">
        <f aca="false">'3. The decision'!$B$8*'3. The decision'!$B$5/J254</f>
        <v>51.8063782906902</v>
      </c>
      <c r="M254" s="31" t="n">
        <f aca="false">L254*'3. The decision'!$B$6*'3. The decision'!$B$7*K254</f>
        <v>1008307.86002253</v>
      </c>
      <c r="N254" s="31" t="n">
        <f aca="false">M254*(1+'3. The decision'!$B$19+'3. The decision'!$B$20+'3. The decision'!$B$22)</f>
        <v>1115188.49318491</v>
      </c>
      <c r="O254" s="31" t="n">
        <f aca="false">'3. The decision'!$B$17+'3. The decision'!$B$18*L254*12+M254*('3. The decision'!$B$20*(1-'3. The decision'!$B$21)+'3. The decision'!$B$23)+N254*('3. The decision'!$B$24+'3. The decision'!$B$25)</f>
        <v>614899.131503344</v>
      </c>
      <c r="P254" s="31" t="n">
        <f aca="false">N254-O254</f>
        <v>500289.361681571</v>
      </c>
    </row>
    <row r="255" customFormat="false" ht="15" hidden="false" customHeight="false" outlineLevel="0" collapsed="false">
      <c r="A255" s="27" t="n">
        <f aca="false">104*0.0025</f>
        <v>0.26</v>
      </c>
      <c r="B255" s="27" t="n">
        <f aca="false">IF(A255&gt;0,MIN('3. The decision'!$B$15,'3. The decision'!$B$29*(A255/'3. The decision'!$B$28)^$B$148),0)</f>
        <v>0.301606186793575</v>
      </c>
      <c r="C255" s="15" t="n">
        <f aca="false">(1-'3. The decision'!$B$27-B255)*(1-'3. The decision'!$B$27)^('3. The decision'!$B$12-1)</f>
        <v>0.447935739248956</v>
      </c>
      <c r="D255" s="15" t="n">
        <f aca="false">1+(1-'3. The decision'!$B$27-B255)*(1-(1-'3. The decision'!$B$27)^('3. The decision'!$B$12-1))/'3. The decision'!$B$27</f>
        <v>3.76628682642809</v>
      </c>
      <c r="E255" s="15" t="n">
        <f aca="false">(1-'3. The decision'!$B$14)*(1-'3. The decision'!$B$27)^('3. The decision'!$B$11-1)</f>
        <v>0.690273454655712</v>
      </c>
      <c r="F255" s="15" t="n">
        <f aca="false">1+(1-'3. The decision'!$B$14)*(1-(1-'3. The decision'!$B$27)^('3. The decision'!$B$11-1))/'3. The decision'!$B$27</f>
        <v>4.28912098262087</v>
      </c>
      <c r="G255" s="15" t="n">
        <f aca="false">(1-(1-'3. The decision'!$B$9*MIN(1,('3. The decision'!$B$10/(52/12)))))+(1-(1-'3. The decision'!$B$9*MAX(0,MIN(1,('3. The decision'!$B$10/(52/12))-1))))*(1-'3. The decision'!$B$14)+(1-(1-'3. The decision'!$B$9*MAX(0,MIN(1,('3. The decision'!$B$10/(52/12))-2))))*(1-'3. The decision'!$B$14)*(1-'3. The decision'!$B$27)</f>
        <v>0.884576923076923</v>
      </c>
      <c r="H255" s="15" t="n">
        <f aca="false">IF(A255&lt;=0,0,MAX(0,ROUNDUP(LN('3. The decision'!$B$13)/LN(1+A255)-0.000000000001,0)-1))</f>
        <v>2</v>
      </c>
      <c r="I255" s="15" t="n">
        <f aca="false">IF(A255&lt;=0,1/(1-C255),(1+A255)*(1-(C255*(1+A255))^H255)/(1-C255*(1+A255))+'3. The decision'!$B$13*C255^H255/(1-C255))</f>
        <v>2.559927879544</v>
      </c>
      <c r="J255" s="17" t="n">
        <f aca="false">F255+E255*D255/(1-C255)</f>
        <v>8.99829707629885</v>
      </c>
      <c r="K255" s="15" t="n">
        <f aca="false">F255-G255+E255*D255*I255</f>
        <v>10.0597621794946</v>
      </c>
      <c r="L255" s="17" t="n">
        <f aca="false">'3. The decision'!$B$8*'3. The decision'!$B$5/J255</f>
        <v>52.1920976844622</v>
      </c>
      <c r="M255" s="31" t="n">
        <f aca="false">L255*'3. The decision'!$B$6*'3. The decision'!$B$7*K255</f>
        <v>1007039.35187861</v>
      </c>
      <c r="N255" s="31" t="n">
        <f aca="false">M255*(1+'3. The decision'!$B$19+'3. The decision'!$B$20+'3. The decision'!$B$22)</f>
        <v>1113785.52317775</v>
      </c>
      <c r="O255" s="31" t="n">
        <f aca="false">'3. The decision'!$B$17+'3. The decision'!$B$18*L255*12+M255*('3. The decision'!$B$20*(1-'3. The decision'!$B$21)+'3. The decision'!$B$23)+N255*('3. The decision'!$B$24+'3. The decision'!$B$25)</f>
        <v>615346.906020458</v>
      </c>
      <c r="P255" s="31" t="n">
        <f aca="false">N255-O255</f>
        <v>498438.617157288</v>
      </c>
    </row>
    <row r="256" customFormat="false" ht="15" hidden="false" customHeight="false" outlineLevel="0" collapsed="false">
      <c r="A256" s="27" t="n">
        <f aca="false">105*0.0025</f>
        <v>0.2625</v>
      </c>
      <c r="B256" s="27" t="n">
        <f aca="false">IF(A256&gt;0,MIN('3. The decision'!$B$15,'3. The decision'!$B$29*(A256/'3. The decision'!$B$28)^$B$148),0)</f>
        <v>0.307434190957763</v>
      </c>
      <c r="C256" s="15" t="n">
        <f aca="false">(1-'3. The decision'!$B$27-B256)*(1-'3. The decision'!$B$27)^('3. The decision'!$B$12-1)</f>
        <v>0.443804394236438</v>
      </c>
      <c r="D256" s="15" t="n">
        <f aca="false">1+(1-'3. The decision'!$B$27-B256)*(1-(1-'3. The decision'!$B$27)^('3. The decision'!$B$12-1))/'3. The decision'!$B$27</f>
        <v>3.74077315497441</v>
      </c>
      <c r="E256" s="15" t="n">
        <f aca="false">(1-'3. The decision'!$B$14)*(1-'3. The decision'!$B$27)^('3. The decision'!$B$11-1)</f>
        <v>0.690273454655712</v>
      </c>
      <c r="F256" s="15" t="n">
        <f aca="false">1+(1-'3. The decision'!$B$14)*(1-(1-'3. The decision'!$B$27)^('3. The decision'!$B$11-1))/'3. The decision'!$B$27</f>
        <v>4.28912098262087</v>
      </c>
      <c r="G256" s="15" t="n">
        <f aca="false">(1-(1-'3. The decision'!$B$9*MIN(1,('3. The decision'!$B$10/(52/12)))))+(1-(1-'3. The decision'!$B$9*MAX(0,MIN(1,('3. The decision'!$B$10/(52/12))-1))))*(1-'3. The decision'!$B$14)+(1-(1-'3. The decision'!$B$9*MAX(0,MIN(1,('3. The decision'!$B$10/(52/12))-2))))*(1-'3. The decision'!$B$14)*(1-'3. The decision'!$B$27)</f>
        <v>0.884576923076923</v>
      </c>
      <c r="H256" s="15" t="n">
        <f aca="false">IF(A256&lt;=0,0,MAX(0,ROUNDUP(LN('3. The decision'!$B$13)/LN(1+A256)-0.000000000001,0)-1))</f>
        <v>2</v>
      </c>
      <c r="I256" s="15" t="n">
        <f aca="false">IF(A256&lt;=0,1/(1-C256),(1+A256)*(1-(C256*(1+A256))^H256)/(1-C256*(1+A256))+'3. The decision'!$B$13*C256^H256/(1-C256))</f>
        <v>2.54356384954461</v>
      </c>
      <c r="J256" s="17" t="n">
        <f aca="false">F256+E256*D256/(1-C256)</f>
        <v>8.93165390091439</v>
      </c>
      <c r="K256" s="15" t="n">
        <f aca="false">F256-G256+E256*D256*I256</f>
        <v>9.97242375475498</v>
      </c>
      <c r="L256" s="17" t="n">
        <f aca="false">'3. The decision'!$B$8*'3. The decision'!$B$5/J256</f>
        <v>52.5815269165233</v>
      </c>
      <c r="M256" s="31" t="n">
        <f aca="false">L256*'3. The decision'!$B$6*'3. The decision'!$B$7*K256</f>
        <v>1005745.02675008</v>
      </c>
      <c r="N256" s="31" t="n">
        <f aca="false">M256*(1+'3. The decision'!$B$19+'3. The decision'!$B$20+'3. The decision'!$B$22)</f>
        <v>1112353.99958559</v>
      </c>
      <c r="O256" s="31" t="n">
        <f aca="false">'3. The decision'!$B$17+'3. The decision'!$B$18*L256*12+M256*('3. The decision'!$B$20*(1-'3. The decision'!$B$21)+'3. The decision'!$B$23)+N256*('3. The decision'!$B$24+'3. The decision'!$B$25)</f>
        <v>615797.521716286</v>
      </c>
      <c r="P256" s="31" t="n">
        <f aca="false">N256-O256</f>
        <v>496556.477869299</v>
      </c>
    </row>
    <row r="257" customFormat="false" ht="15" hidden="false" customHeight="false" outlineLevel="0" collapsed="false">
      <c r="A257" s="27" t="n">
        <f aca="false">106*0.0025</f>
        <v>0.265</v>
      </c>
      <c r="B257" s="27" t="n">
        <f aca="false">IF(A257&gt;0,MIN('3. The decision'!$B$15,'3. The decision'!$B$29*(A257/'3. The decision'!$B$28)^$B$148),0)</f>
        <v>0.313317965496728</v>
      </c>
      <c r="C257" s="15" t="n">
        <f aca="false">(1-'3. The decision'!$B$27-B257)*(1-'3. The decision'!$B$27)^('3. The decision'!$B$12-1)</f>
        <v>0.439633514821886</v>
      </c>
      <c r="D257" s="15" t="n">
        <f aca="false">1+(1-'3. The decision'!$B$27-B257)*(1-(1-'3. The decision'!$B$27)^('3. The decision'!$B$12-1))/'3. The decision'!$B$27</f>
        <v>3.71501533355467</v>
      </c>
      <c r="E257" s="15" t="n">
        <f aca="false">(1-'3. The decision'!$B$14)*(1-'3. The decision'!$B$27)^('3. The decision'!$B$11-1)</f>
        <v>0.690273454655712</v>
      </c>
      <c r="F257" s="15" t="n">
        <f aca="false">1+(1-'3. The decision'!$B$14)*(1-(1-'3. The decision'!$B$27)^('3. The decision'!$B$11-1))/'3. The decision'!$B$27</f>
        <v>4.28912098262087</v>
      </c>
      <c r="G257" s="15" t="n">
        <f aca="false">(1-(1-'3. The decision'!$B$9*MIN(1,('3. The decision'!$B$10/(52/12)))))+(1-(1-'3. The decision'!$B$9*MAX(0,MIN(1,('3. The decision'!$B$10/(52/12))-1))))*(1-'3. The decision'!$B$14)+(1-(1-'3. The decision'!$B$9*MAX(0,MIN(1,('3. The decision'!$B$10/(52/12))-2))))*(1-'3. The decision'!$B$14)*(1-'3. The decision'!$B$27)</f>
        <v>0.884576923076923</v>
      </c>
      <c r="H257" s="15" t="n">
        <f aca="false">IF(A257&lt;=0,0,MAX(0,ROUNDUP(LN('3. The decision'!$B$13)/LN(1+A257)-0.000000000001,0)-1))</f>
        <v>2</v>
      </c>
      <c r="I257" s="15" t="n">
        <f aca="false">IF(A257&lt;=0,1/(1-C257),(1+A257)*(1-(C257*(1+A257))^H257)/(1-C257*(1+A257))+'3. The decision'!$B$13*C257^H257/(1-C257))</f>
        <v>2.52727143315319</v>
      </c>
      <c r="J257" s="17" t="n">
        <f aca="false">F257+E257*D257/(1-C257)</f>
        <v>8.86536980588273</v>
      </c>
      <c r="K257" s="15" t="n">
        <f aca="false">F257-G257+E257*D257*I257</f>
        <v>9.88541945196061</v>
      </c>
      <c r="L257" s="17" t="n">
        <f aca="false">'3. The decision'!$B$8*'3. The decision'!$B$5/J257</f>
        <v>52.9746654999507</v>
      </c>
      <c r="M257" s="31" t="n">
        <f aca="false">L257*'3. The decision'!$B$6*'3. The decision'!$B$7*K257</f>
        <v>1004424.50713639</v>
      </c>
      <c r="N257" s="31" t="n">
        <f aca="false">M257*(1+'3. The decision'!$B$19+'3. The decision'!$B$20+'3. The decision'!$B$22)</f>
        <v>1110893.50489285</v>
      </c>
      <c r="O257" s="31" t="n">
        <f aca="false">'3. The decision'!$B$17+'3. The decision'!$B$18*L257*12+M257*('3. The decision'!$B$20*(1-'3. The decision'!$B$21)+'3. The decision'!$B$23)+N257*('3. The decision'!$B$24+'3. The decision'!$B$25)</f>
        <v>616250.937223971</v>
      </c>
      <c r="P257" s="31" t="n">
        <f aca="false">N257-O257</f>
        <v>494642.567668877</v>
      </c>
    </row>
    <row r="258" customFormat="false" ht="15" hidden="false" customHeight="false" outlineLevel="0" collapsed="false">
      <c r="A258" s="27" t="n">
        <f aca="false">107*0.0025</f>
        <v>0.2675</v>
      </c>
      <c r="B258" s="27" t="n">
        <f aca="false">IF(A258&gt;0,MIN('3. The decision'!$B$15,'3. The decision'!$B$29*(A258/'3. The decision'!$B$28)^$B$148),0)</f>
        <v>0.31925751041047</v>
      </c>
      <c r="C258" s="15" t="n">
        <f aca="false">(1-'3. The decision'!$B$27-B258)*(1-'3. The decision'!$B$27)^('3. The decision'!$B$12-1)</f>
        <v>0.435423101005301</v>
      </c>
      <c r="D258" s="15" t="n">
        <f aca="false">1+(1-'3. The decision'!$B$27-B258)*(1-(1-'3. The decision'!$B$27)^('3. The decision'!$B$12-1))/'3. The decision'!$B$27</f>
        <v>3.68901336216886</v>
      </c>
      <c r="E258" s="15" t="n">
        <f aca="false">(1-'3. The decision'!$B$14)*(1-'3. The decision'!$B$27)^('3. The decision'!$B$11-1)</f>
        <v>0.690273454655712</v>
      </c>
      <c r="F258" s="15" t="n">
        <f aca="false">1+(1-'3. The decision'!$B$14)*(1-(1-'3. The decision'!$B$27)^('3. The decision'!$B$11-1))/'3. The decision'!$B$27</f>
        <v>4.28912098262087</v>
      </c>
      <c r="G258" s="15" t="n">
        <f aca="false">(1-(1-'3. The decision'!$B$9*MIN(1,('3. The decision'!$B$10/(52/12)))))+(1-(1-'3. The decision'!$B$9*MAX(0,MIN(1,('3. The decision'!$B$10/(52/12))-1))))*(1-'3. The decision'!$B$14)+(1-(1-'3. The decision'!$B$9*MAX(0,MIN(1,('3. The decision'!$B$10/(52/12))-2))))*(1-'3. The decision'!$B$14)*(1-'3. The decision'!$B$27)</f>
        <v>0.884576923076923</v>
      </c>
      <c r="H258" s="15" t="n">
        <f aca="false">IF(A258&lt;=0,0,MAX(0,ROUNDUP(LN('3. The decision'!$B$13)/LN(1+A258)-0.000000000001,0)-1))</f>
        <v>2</v>
      </c>
      <c r="I258" s="15" t="n">
        <f aca="false">IF(A258&lt;=0,1/(1-C258),(1+A258)*(1-(C258*(1+A258))^H258)/(1-C258*(1+A258))+'3. The decision'!$B$13*C258^H258/(1-C258))</f>
        <v>2.51105167592009</v>
      </c>
      <c r="J258" s="17" t="n">
        <f aca="false">F258+E258*D258/(1-C258)</f>
        <v>8.79945075755432</v>
      </c>
      <c r="K258" s="15" t="n">
        <f aca="false">F258-G258+E258*D258*I258</f>
        <v>9.79875635096766</v>
      </c>
      <c r="L258" s="17" t="n">
        <f aca="false">'3. The decision'!$B$8*'3. The decision'!$B$5/J258</f>
        <v>53.3715129432158</v>
      </c>
      <c r="M258" s="31" t="n">
        <f aca="false">L258*'3. The decision'!$B$6*'3. The decision'!$B$7*K258</f>
        <v>1003077.40737356</v>
      </c>
      <c r="N258" s="31" t="n">
        <f aca="false">M258*(1+'3. The decision'!$B$19+'3. The decision'!$B$20+'3. The decision'!$B$22)</f>
        <v>1109403.61255515</v>
      </c>
      <c r="O258" s="31" t="n">
        <f aca="false">'3. The decision'!$B$17+'3. The decision'!$B$18*L258*12+M258*('3. The decision'!$B$20*(1-'3. The decision'!$B$21)+'3. The decision'!$B$23)+N258*('3. The decision'!$B$24+'3. The decision'!$B$25)</f>
        <v>616707.110291071</v>
      </c>
      <c r="P258" s="31" t="n">
        <f aca="false">N258-O258</f>
        <v>492696.502264083</v>
      </c>
    </row>
    <row r="259" customFormat="false" ht="15" hidden="false" customHeight="false" outlineLevel="0" collapsed="false">
      <c r="A259" s="27" t="n">
        <f aca="false">108*0.0025</f>
        <v>0.27</v>
      </c>
      <c r="B259" s="27" t="n">
        <f aca="false">IF(A259&gt;0,MIN('3. The decision'!$B$15,'3. The decision'!$B$29*(A259/'3. The decision'!$B$28)^$B$148),0)</f>
        <v>0.325252825698989</v>
      </c>
      <c r="C259" s="15" t="n">
        <f aca="false">(1-'3. The decision'!$B$27-B259)*(1-'3. The decision'!$B$27)^('3. The decision'!$B$12-1)</f>
        <v>0.431173152786681</v>
      </c>
      <c r="D259" s="15" t="n">
        <f aca="false">1+(1-'3. The decision'!$B$27-B259)*(1-(1-'3. The decision'!$B$27)^('3. The decision'!$B$12-1))/'3. The decision'!$B$27</f>
        <v>3.66276724081699</v>
      </c>
      <c r="E259" s="15" t="n">
        <f aca="false">(1-'3. The decision'!$B$14)*(1-'3. The decision'!$B$27)^('3. The decision'!$B$11-1)</f>
        <v>0.690273454655712</v>
      </c>
      <c r="F259" s="15" t="n">
        <f aca="false">1+(1-'3. The decision'!$B$14)*(1-(1-'3. The decision'!$B$27)^('3. The decision'!$B$11-1))/'3. The decision'!$B$27</f>
        <v>4.28912098262087</v>
      </c>
      <c r="G259" s="15" t="n">
        <f aca="false">(1-(1-'3. The decision'!$B$9*MIN(1,('3. The decision'!$B$10/(52/12)))))+(1-(1-'3. The decision'!$B$9*MAX(0,MIN(1,('3. The decision'!$B$10/(52/12))-1))))*(1-'3. The decision'!$B$14)+(1-(1-'3. The decision'!$B$9*MAX(0,MIN(1,('3. The decision'!$B$10/(52/12))-2))))*(1-'3. The decision'!$B$14)*(1-'3. The decision'!$B$27)</f>
        <v>0.884576923076923</v>
      </c>
      <c r="H259" s="15" t="n">
        <f aca="false">IF(A259&lt;=0,0,MAX(0,ROUNDUP(LN('3. The decision'!$B$13)/LN(1+A259)-0.000000000001,0)-1))</f>
        <v>2</v>
      </c>
      <c r="I259" s="15" t="n">
        <f aca="false">IF(A259&lt;=0,1/(1-C259),(1+A259)*(1-(C259*(1+A259))^H259)/(1-C259*(1+A259))+'3. The decision'!$B$13*C259^H259/(1-C259))</f>
        <v>2.49490551313746</v>
      </c>
      <c r="J259" s="17" t="n">
        <f aca="false">F259+E259*D259/(1-C259)</f>
        <v>8.73390239423094</v>
      </c>
      <c r="K259" s="15" t="n">
        <f aca="false">F259-G259+E259*D259*I259</f>
        <v>9.71244110468202</v>
      </c>
      <c r="L259" s="17" t="n">
        <f aca="false">'3. The decision'!$B$8*'3. The decision'!$B$5/J259</f>
        <v>53.772068750186</v>
      </c>
      <c r="M259" s="31" t="n">
        <f aca="false">L259*'3. The decision'!$B$6*'3. The decision'!$B$7*K259</f>
        <v>1001703.33402343</v>
      </c>
      <c r="N259" s="31" t="n">
        <f aca="false">M259*(1+'3. The decision'!$B$19+'3. The decision'!$B$20+'3. The decision'!$B$22)</f>
        <v>1107883.88742992</v>
      </c>
      <c r="O259" s="31" t="n">
        <f aca="false">'3. The decision'!$B$17+'3. The decision'!$B$18*L259*12+M259*('3. The decision'!$B$20*(1-'3. The decision'!$B$21)+'3. The decision'!$B$23)+N259*('3. The decision'!$B$24+'3. The decision'!$B$25)</f>
        <v>617165.997821462</v>
      </c>
      <c r="P259" s="31" t="n">
        <f aca="false">N259-O259</f>
        <v>490717.889608455</v>
      </c>
    </row>
    <row r="260" customFormat="false" ht="15" hidden="false" customHeight="false" outlineLevel="0" collapsed="false">
      <c r="A260" s="27" t="n">
        <f aca="false">109*0.0025</f>
        <v>0.2725</v>
      </c>
      <c r="B260" s="27" t="n">
        <f aca="false">IF(A260&gt;0,MIN('3. The decision'!$B$15,'3. The decision'!$B$29*(A260/'3. The decision'!$B$28)^$B$148),0)</f>
        <v>0.331303911362284</v>
      </c>
      <c r="C260" s="15" t="n">
        <f aca="false">(1-'3. The decision'!$B$27-B260)*(1-'3. The decision'!$B$27)^('3. The decision'!$B$12-1)</f>
        <v>0.426883670166028</v>
      </c>
      <c r="D260" s="15" t="n">
        <f aca="false">1+(1-'3. The decision'!$B$27-B260)*(1-(1-'3. The decision'!$B$27)^('3. The decision'!$B$12-1))/'3. The decision'!$B$27</f>
        <v>3.63627696949906</v>
      </c>
      <c r="E260" s="15" t="n">
        <f aca="false">(1-'3. The decision'!$B$14)*(1-'3. The decision'!$B$27)^('3. The decision'!$B$11-1)</f>
        <v>0.690273454655712</v>
      </c>
      <c r="F260" s="15" t="n">
        <f aca="false">1+(1-'3. The decision'!$B$14)*(1-(1-'3. The decision'!$B$27)^('3. The decision'!$B$11-1))/'3. The decision'!$B$27</f>
        <v>4.28912098262087</v>
      </c>
      <c r="G260" s="15" t="n">
        <f aca="false">(1-(1-'3. The decision'!$B$9*MIN(1,('3. The decision'!$B$10/(52/12)))))+(1-(1-'3. The decision'!$B$9*MAX(0,MIN(1,('3. The decision'!$B$10/(52/12))-1))))*(1-'3. The decision'!$B$14)+(1-(1-'3. The decision'!$B$9*MAX(0,MIN(1,('3. The decision'!$B$10/(52/12))-2))))*(1-'3. The decision'!$B$14)*(1-'3. The decision'!$B$27)</f>
        <v>0.884576923076923</v>
      </c>
      <c r="H260" s="15" t="n">
        <f aca="false">IF(A260&lt;=0,0,MAX(0,ROUNDUP(LN('3. The decision'!$B$13)/LN(1+A260)-0.000000000001,0)-1))</f>
        <v>2</v>
      </c>
      <c r="I260" s="15" t="n">
        <f aca="false">IF(A260&lt;=0,1/(1-C260),(1+A260)*(1-(C260*(1+A260))^H260)/(1-C260*(1+A260))+'3. The decision'!$B$13*C260^H260/(1-C260))</f>
        <v>2.47883377250834</v>
      </c>
      <c r="J260" s="17" t="n">
        <f aca="false">F260+E260*D260/(1-C260)</f>
        <v>8.66873003432641</v>
      </c>
      <c r="K260" s="15" t="n">
        <f aca="false">F260-G260+E260*D260*I260</f>
        <v>9.6264799540773</v>
      </c>
      <c r="L260" s="17" t="n">
        <f aca="false">'3. The decision'!$B$8*'3. The decision'!$B$5/J260</f>
        <v>54.1763324201263</v>
      </c>
      <c r="M260" s="31" t="n">
        <f aca="false">L260*'3. The decision'!$B$6*'3. The decision'!$B$7*K260</f>
        <v>1000301.88628319</v>
      </c>
      <c r="N260" s="31" t="n">
        <f aca="false">M260*(1+'3. The decision'!$B$19+'3. The decision'!$B$20+'3. The decision'!$B$22)</f>
        <v>1106333.88622921</v>
      </c>
      <c r="O260" s="31" t="n">
        <f aca="false">'3. The decision'!$B$17+'3. The decision'!$B$18*L260*12+M260*('3. The decision'!$B$20*(1-'3. The decision'!$B$21)+'3. The decision'!$B$23)+N260*('3. The decision'!$B$24+'3. The decision'!$B$25)</f>
        <v>617627.555919407</v>
      </c>
      <c r="P260" s="31" t="n">
        <f aca="false">N260-O260</f>
        <v>488706.330309801</v>
      </c>
    </row>
    <row r="261" customFormat="false" ht="15" hidden="false" customHeight="false" outlineLevel="0" collapsed="false">
      <c r="A261" s="27" t="n">
        <f aca="false">110*0.0025</f>
        <v>0.275</v>
      </c>
      <c r="B261" s="27" t="n">
        <f aca="false">IF(A261&gt;0,MIN('3. The decision'!$B$15,'3. The decision'!$B$29*(A261/'3. The decision'!$B$28)^$B$148),0)</f>
        <v>0.337410767400357</v>
      </c>
      <c r="C261" s="15" t="n">
        <f aca="false">(1-'3. The decision'!$B$27-B261)*(1-'3. The decision'!$B$27)^('3. The decision'!$B$12-1)</f>
        <v>0.422554653143342</v>
      </c>
      <c r="D261" s="15" t="n">
        <f aca="false">1+(1-'3. The decision'!$B$27-B261)*(1-(1-'3. The decision'!$B$27)^('3. The decision'!$B$12-1))/'3. The decision'!$B$27</f>
        <v>3.60954254821506</v>
      </c>
      <c r="E261" s="15" t="n">
        <f aca="false">(1-'3. The decision'!$B$14)*(1-'3. The decision'!$B$27)^('3. The decision'!$B$11-1)</f>
        <v>0.690273454655712</v>
      </c>
      <c r="F261" s="15" t="n">
        <f aca="false">1+(1-'3. The decision'!$B$14)*(1-(1-'3. The decision'!$B$27)^('3. The decision'!$B$11-1))/'3. The decision'!$B$27</f>
        <v>4.28912098262087</v>
      </c>
      <c r="G261" s="15" t="n">
        <f aca="false">(1-(1-'3. The decision'!$B$9*MIN(1,('3. The decision'!$B$10/(52/12)))))+(1-(1-'3. The decision'!$B$9*MAX(0,MIN(1,('3. The decision'!$B$10/(52/12))-1))))*(1-'3. The decision'!$B$14)+(1-(1-'3. The decision'!$B$9*MAX(0,MIN(1,('3. The decision'!$B$10/(52/12))-2))))*(1-'3. The decision'!$B$14)*(1-'3. The decision'!$B$27)</f>
        <v>0.884576923076923</v>
      </c>
      <c r="H261" s="15" t="n">
        <f aca="false">IF(A261&lt;=0,0,MAX(0,ROUNDUP(LN('3. The decision'!$B$13)/LN(1+A261)-0.000000000001,0)-1))</f>
        <v>1</v>
      </c>
      <c r="I261" s="15" t="n">
        <f aca="false">IF(A261&lt;=0,1/(1-C261),(1+A261)*(1-(C261*(1+A261))^H261)/(1-C261*(1+A261))+'3. The decision'!$B$13*C261^H261/(1-C261))</f>
        <v>2.46046030688189</v>
      </c>
      <c r="J261" s="17" t="n">
        <f aca="false">F261+E261*D261/(1-C261)</f>
        <v>8.60393868449714</v>
      </c>
      <c r="K261" s="15" t="n">
        <f aca="false">F261-G261+E261*D261*I261</f>
        <v>9.5349566020368</v>
      </c>
      <c r="L261" s="17" t="n">
        <f aca="false">'3. The decision'!$B$8*'3. The decision'!$B$5/J261</f>
        <v>54.5843034477004</v>
      </c>
      <c r="M261" s="31" t="n">
        <f aca="false">L261*'3. The decision'!$B$6*'3. The decision'!$B$7*K261</f>
        <v>998252.643835046</v>
      </c>
      <c r="N261" s="31" t="n">
        <f aca="false">M261*(1+'3. The decision'!$B$19+'3. The decision'!$B$20+'3. The decision'!$B$22)</f>
        <v>1104067.42408156</v>
      </c>
      <c r="O261" s="31" t="n">
        <f aca="false">'3. The decision'!$B$17+'3. The decision'!$B$18*L261*12+M261*('3. The decision'!$B$20*(1-'3. The decision'!$B$21)+'3. The decision'!$B$23)+N261*('3. The decision'!$B$24+'3. The decision'!$B$25)</f>
        <v>618025.009841865</v>
      </c>
      <c r="P261" s="31" t="n">
        <f aca="false">N261-O261</f>
        <v>486042.414239696</v>
      </c>
    </row>
    <row r="262" customFormat="false" ht="15" hidden="false" customHeight="false" outlineLevel="0" collapsed="false">
      <c r="A262" s="27" t="n">
        <f aca="false">111*0.0025</f>
        <v>0.2775</v>
      </c>
      <c r="B262" s="27" t="n">
        <f aca="false">IF(A262&gt;0,MIN('3. The decision'!$B$15,'3. The decision'!$B$29*(A262/'3. The decision'!$B$28)^$B$148),0)</f>
        <v>0.343573393813206</v>
      </c>
      <c r="C262" s="15" t="n">
        <f aca="false">(1-'3. The decision'!$B$27-B262)*(1-'3. The decision'!$B$27)^('3. The decision'!$B$12-1)</f>
        <v>0.418186101718621</v>
      </c>
      <c r="D262" s="15" t="n">
        <f aca="false">1+(1-'3. The decision'!$B$27-B262)*(1-(1-'3. The decision'!$B$27)^('3. The decision'!$B$12-1))/'3. The decision'!$B$27</f>
        <v>3.582563976965</v>
      </c>
      <c r="E262" s="15" t="n">
        <f aca="false">(1-'3. The decision'!$B$14)*(1-'3. The decision'!$B$27)^('3. The decision'!$B$11-1)</f>
        <v>0.690273454655712</v>
      </c>
      <c r="F262" s="15" t="n">
        <f aca="false">1+(1-'3. The decision'!$B$14)*(1-(1-'3. The decision'!$B$27)^('3. The decision'!$B$11-1))/'3. The decision'!$B$27</f>
        <v>4.28912098262087</v>
      </c>
      <c r="G262" s="15" t="n">
        <f aca="false">(1-(1-'3. The decision'!$B$9*MIN(1,('3. The decision'!$B$10/(52/12)))))+(1-(1-'3. The decision'!$B$9*MAX(0,MIN(1,('3. The decision'!$B$10/(52/12))-1))))*(1-'3. The decision'!$B$14)+(1-(1-'3. The decision'!$B$9*MAX(0,MIN(1,('3. The decision'!$B$10/(52/12))-2))))*(1-'3. The decision'!$B$14)*(1-'3. The decision'!$B$27)</f>
        <v>0.884576923076923</v>
      </c>
      <c r="H262" s="15" t="n">
        <f aca="false">IF(A262&lt;=0,0,MAX(0,ROUNDUP(LN('3. The decision'!$B$13)/LN(1+A262)-0.000000000001,0)-1))</f>
        <v>1</v>
      </c>
      <c r="I262" s="15" t="n">
        <f aca="false">IF(A262&lt;=0,1/(1-C262),(1+A262)*(1-(C262*(1+A262))^H262)/(1-C262*(1+A262))+'3. The decision'!$B$13*C262^H262/(1-C262))</f>
        <v>2.4418954996354</v>
      </c>
      <c r="J262" s="17" t="n">
        <f aca="false">F262+E262*D262/(1-C262)</f>
        <v>8.53953304773239</v>
      </c>
      <c r="K262" s="15" t="n">
        <f aca="false">F262-G262+E262*D262*I262</f>
        <v>9.44322663660473</v>
      </c>
      <c r="L262" s="17" t="n">
        <f aca="false">'3. The decision'!$B$8*'3. The decision'!$B$5/J262</f>
        <v>54.9959813229729</v>
      </c>
      <c r="M262" s="31" t="n">
        <f aca="false">L262*'3. The decision'!$B$6*'3. The decision'!$B$7*K262</f>
        <v>996105.514490875</v>
      </c>
      <c r="N262" s="31" t="n">
        <f aca="false">M262*(1+'3. The decision'!$B$19+'3. The decision'!$B$20+'3. The decision'!$B$22)</f>
        <v>1101692.69902691</v>
      </c>
      <c r="O262" s="31" t="n">
        <f aca="false">'3. The decision'!$B$17+'3. The decision'!$B$18*L262*12+M262*('3. The decision'!$B$20*(1-'3. The decision'!$B$21)+'3. The decision'!$B$23)+N262*('3. The decision'!$B$24+'3. The decision'!$B$25)</f>
        <v>618417.543744438</v>
      </c>
      <c r="P262" s="31" t="n">
        <f aca="false">N262-O262</f>
        <v>483275.15528247</v>
      </c>
    </row>
    <row r="263" customFormat="false" ht="15" hidden="false" customHeight="false" outlineLevel="0" collapsed="false">
      <c r="A263" s="27" t="n">
        <f aca="false">112*0.0025</f>
        <v>0.28</v>
      </c>
      <c r="B263" s="27" t="n">
        <f aca="false">IF(A263&gt;0,MIN('3. The decision'!$B$15,'3. The decision'!$B$29*(A263/'3. The decision'!$B$28)^$B$148),0)</f>
        <v>0.349791790600833</v>
      </c>
      <c r="C263" s="15" t="n">
        <f aca="false">(1-'3. The decision'!$B$27-B263)*(1-'3. The decision'!$B$27)^('3. The decision'!$B$12-1)</f>
        <v>0.413778015891867</v>
      </c>
      <c r="D263" s="15" t="n">
        <f aca="false">1+(1-'3. The decision'!$B$27-B263)*(1-(1-'3. The decision'!$B$27)^('3. The decision'!$B$12-1))/'3. The decision'!$B$27</f>
        <v>3.55534125574887</v>
      </c>
      <c r="E263" s="15" t="n">
        <f aca="false">(1-'3. The decision'!$B$14)*(1-'3. The decision'!$B$27)^('3. The decision'!$B$11-1)</f>
        <v>0.690273454655712</v>
      </c>
      <c r="F263" s="15" t="n">
        <f aca="false">1+(1-'3. The decision'!$B$14)*(1-(1-'3. The decision'!$B$27)^('3. The decision'!$B$11-1))/'3. The decision'!$B$27</f>
        <v>4.28912098262087</v>
      </c>
      <c r="G263" s="15" t="n">
        <f aca="false">(1-(1-'3. The decision'!$B$9*MIN(1,('3. The decision'!$B$10/(52/12)))))+(1-(1-'3. The decision'!$B$9*MAX(0,MIN(1,('3. The decision'!$B$10/(52/12))-1))))*(1-'3. The decision'!$B$14)+(1-(1-'3. The decision'!$B$9*MAX(0,MIN(1,('3. The decision'!$B$10/(52/12))-2))))*(1-'3. The decision'!$B$14)*(1-'3. The decision'!$B$27)</f>
        <v>0.884576923076923</v>
      </c>
      <c r="H263" s="15" t="n">
        <f aca="false">IF(A263&lt;=0,0,MAX(0,ROUNDUP(LN('3. The decision'!$B$13)/LN(1+A263)-0.000000000001,0)-1))</f>
        <v>1</v>
      </c>
      <c r="I263" s="15" t="n">
        <f aca="false">IF(A263&lt;=0,1/(1-C263),(1+A263)*(1-(C263*(1+A263))^H263)/(1-C263*(1+A263))+'3. The decision'!$B$13*C263^H263/(1-C263))</f>
        <v>2.42345828699113</v>
      </c>
      <c r="J263" s="17" t="n">
        <f aca="false">F263+E263*D263/(1-C263)</f>
        <v>8.4755175313949</v>
      </c>
      <c r="K263" s="15" t="n">
        <f aca="false">F263-G263+E263*D263*I263</f>
        <v>9.35209285358872</v>
      </c>
      <c r="L263" s="17" t="n">
        <f aca="false">'3. The decision'!$B$8*'3. The decision'!$B$5/J263</f>
        <v>55.4113655314104</v>
      </c>
      <c r="M263" s="31" t="n">
        <f aca="false">L263*'3. The decision'!$B$6*'3. The decision'!$B$7*K263</f>
        <v>993943.364430614</v>
      </c>
      <c r="N263" s="31" t="n">
        <f aca="false">M263*(1+'3. The decision'!$B$19+'3. The decision'!$B$20+'3. The decision'!$B$22)</f>
        <v>1099301.36106026</v>
      </c>
      <c r="O263" s="31" t="n">
        <f aca="false">'3. The decision'!$B$17+'3. The decision'!$B$18*L263*12+M263*('3. The decision'!$B$20*(1-'3. The decision'!$B$21)+'3. The decision'!$B$23)+N263*('3. The decision'!$B$24+'3. The decision'!$B$25)</f>
        <v>618814.075486042</v>
      </c>
      <c r="P263" s="31" t="n">
        <f aca="false">N263-O263</f>
        <v>480487.285574218</v>
      </c>
    </row>
    <row r="264" customFormat="false" ht="15" hidden="false" customHeight="false" outlineLevel="0" collapsed="false">
      <c r="A264" s="27" t="n">
        <f aca="false">113*0.0025</f>
        <v>0.2825</v>
      </c>
      <c r="B264" s="27" t="n">
        <f aca="false">IF(A264&gt;0,MIN('3. The decision'!$B$15,'3. The decision'!$B$29*(A264/'3. The decision'!$B$28)^$B$148),0)</f>
        <v>0.356065957763236</v>
      </c>
      <c r="C264" s="15" t="n">
        <f aca="false">(1-'3. The decision'!$B$27-B264)*(1-'3. The decision'!$B$27)^('3. The decision'!$B$12-1)</f>
        <v>0.40933039566308</v>
      </c>
      <c r="D264" s="15" t="n">
        <f aca="false">1+(1-'3. The decision'!$B$27-B264)*(1-(1-'3. The decision'!$B$27)^('3. The decision'!$B$12-1))/'3. The decision'!$B$27</f>
        <v>3.52787438456668</v>
      </c>
      <c r="E264" s="15" t="n">
        <f aca="false">(1-'3. The decision'!$B$14)*(1-'3. The decision'!$B$27)^('3. The decision'!$B$11-1)</f>
        <v>0.690273454655712</v>
      </c>
      <c r="F264" s="15" t="n">
        <f aca="false">1+(1-'3. The decision'!$B$14)*(1-(1-'3. The decision'!$B$27)^('3. The decision'!$B$11-1))/'3. The decision'!$B$27</f>
        <v>4.28912098262087</v>
      </c>
      <c r="G264" s="15" t="n">
        <f aca="false">(1-(1-'3. The decision'!$B$9*MIN(1,('3. The decision'!$B$10/(52/12)))))+(1-(1-'3. The decision'!$B$9*MAX(0,MIN(1,('3. The decision'!$B$10/(52/12))-1))))*(1-'3. The decision'!$B$14)+(1-(1-'3. The decision'!$B$9*MAX(0,MIN(1,('3. The decision'!$B$10/(52/12))-2))))*(1-'3. The decision'!$B$14)*(1-'3. The decision'!$B$27)</f>
        <v>0.884576923076923</v>
      </c>
      <c r="H264" s="15" t="n">
        <f aca="false">IF(A264&lt;=0,0,MAX(0,ROUNDUP(LN('3. The decision'!$B$13)/LN(1+A264)-0.000000000001,0)-1))</f>
        <v>1</v>
      </c>
      <c r="I264" s="15" t="n">
        <f aca="false">IF(A264&lt;=0,1/(1-C264),(1+A264)*(1-(C264*(1+A264))^H264)/(1-C264*(1+A264))+'3. The decision'!$B$13*C264^H264/(1-C264))</f>
        <v>2.40515001636337</v>
      </c>
      <c r="J264" s="17" t="n">
        <f aca="false">F264+E264*D264/(1-C264)</f>
        <v>8.41189625520319</v>
      </c>
      <c r="K264" s="15" t="n">
        <f aca="false">F264-G264+E264*D264*I264</f>
        <v>9.26156066295595</v>
      </c>
      <c r="L264" s="17" t="n">
        <f aca="false">'3. The decision'!$B$8*'3. The decision'!$B$5/J264</f>
        <v>55.8304555538834</v>
      </c>
      <c r="M264" s="31" t="n">
        <f aca="false">L264*'3. The decision'!$B$6*'3. The decision'!$B$7*K264</f>
        <v>991766.245154699</v>
      </c>
      <c r="N264" s="31" t="n">
        <f aca="false">M264*(1+'3. The decision'!$B$19+'3. The decision'!$B$20+'3. The decision'!$B$22)</f>
        <v>1096893.4671411</v>
      </c>
      <c r="O264" s="31" t="n">
        <f aca="false">'3. The decision'!$B$17+'3. The decision'!$B$18*L264*12+M264*('3. The decision'!$B$20*(1-'3. The decision'!$B$21)+'3. The decision'!$B$23)+N264*('3. The decision'!$B$24+'3. The decision'!$B$25)</f>
        <v>619214.60982312</v>
      </c>
      <c r="P264" s="31" t="n">
        <f aca="false">N264-O264</f>
        <v>477678.857317977</v>
      </c>
    </row>
    <row r="265" customFormat="false" ht="15" hidden="false" customHeight="false" outlineLevel="0" collapsed="false">
      <c r="A265" s="27" t="n">
        <f aca="false">114*0.0025</f>
        <v>0.285</v>
      </c>
      <c r="B265" s="27" t="n">
        <f aca="false">IF(A265&gt;0,MIN('3. The decision'!$B$15,'3. The decision'!$B$29*(A265/'3. The decision'!$B$28)^$B$148),0)</f>
        <v>0.362395895300417</v>
      </c>
      <c r="C265" s="15" t="n">
        <f aca="false">(1-'3. The decision'!$B$27-B265)*(1-'3. The decision'!$B$27)^('3. The decision'!$B$12-1)</f>
        <v>0.404843241032258</v>
      </c>
      <c r="D265" s="15" t="n">
        <f aca="false">1+(1-'3. The decision'!$B$27-B265)*(1-(1-'3. The decision'!$B$27)^('3. The decision'!$B$12-1))/'3. The decision'!$B$27</f>
        <v>3.50016336341842</v>
      </c>
      <c r="E265" s="15" t="n">
        <f aca="false">(1-'3. The decision'!$B$14)*(1-'3. The decision'!$B$27)^('3. The decision'!$B$11-1)</f>
        <v>0.690273454655712</v>
      </c>
      <c r="F265" s="15" t="n">
        <f aca="false">1+(1-'3. The decision'!$B$14)*(1-(1-'3. The decision'!$B$27)^('3. The decision'!$B$11-1))/'3. The decision'!$B$27</f>
        <v>4.28912098262087</v>
      </c>
      <c r="G265" s="15" t="n">
        <f aca="false">(1-(1-'3. The decision'!$B$9*MIN(1,('3. The decision'!$B$10/(52/12)))))+(1-(1-'3. The decision'!$B$9*MAX(0,MIN(1,('3. The decision'!$B$10/(52/12))-1))))*(1-'3. The decision'!$B$14)+(1-(1-'3. The decision'!$B$9*MAX(0,MIN(1,('3. The decision'!$B$10/(52/12))-2))))*(1-'3. The decision'!$B$14)*(1-'3. The decision'!$B$27)</f>
        <v>0.884576923076923</v>
      </c>
      <c r="H265" s="15" t="n">
        <f aca="false">IF(A265&lt;=0,0,MAX(0,ROUNDUP(LN('3. The decision'!$B$13)/LN(1+A265)-0.000000000001,0)-1))</f>
        <v>1</v>
      </c>
      <c r="I265" s="15" t="n">
        <f aca="false">IF(A265&lt;=0,1/(1-C265),(1+A265)*(1-(C265*(1+A265))^H265)/(1-C265*(1+A265))+'3. The decision'!$B$13*C265^H265/(1-C265))</f>
        <v>2.38697194367712</v>
      </c>
      <c r="J265" s="17" t="n">
        <f aca="false">F265+E265*D265/(1-C265)</f>
        <v>8.34867305914723</v>
      </c>
      <c r="K265" s="15" t="n">
        <f aca="false">F265-G265+E265*D265*I265</f>
        <v>9.17163502151337</v>
      </c>
      <c r="L265" s="17" t="n">
        <f aca="false">'3. The decision'!$B$8*'3. The decision'!$B$5/J265</f>
        <v>56.2532508666678</v>
      </c>
      <c r="M265" s="31" t="n">
        <f aca="false">L265*'3. The decision'!$B$6*'3. The decision'!$B$7*K265</f>
        <v>989574.202524629</v>
      </c>
      <c r="N265" s="31" t="n">
        <f aca="false">M265*(1+'3. The decision'!$B$19+'3. The decision'!$B$20+'3. The decision'!$B$22)</f>
        <v>1094469.06799224</v>
      </c>
      <c r="O265" s="31" t="n">
        <f aca="false">'3. The decision'!$B$17+'3. The decision'!$B$18*L265*12+M265*('3. The decision'!$B$20*(1-'3. The decision'!$B$21)+'3. The decision'!$B$23)+N265*('3. The decision'!$B$24+'3. The decision'!$B$25)</f>
        <v>619619.150898253</v>
      </c>
      <c r="P265" s="31" t="n">
        <f aca="false">N265-O265</f>
        <v>474849.917093986</v>
      </c>
    </row>
    <row r="266" customFormat="false" ht="15" hidden="false" customHeight="false" outlineLevel="0" collapsed="false">
      <c r="A266" s="27" t="n">
        <f aca="false">115*0.0025</f>
        <v>0.2875</v>
      </c>
      <c r="B266" s="27" t="n">
        <f aca="false">IF(A266&gt;0,MIN('3. The decision'!$B$15,'3. The decision'!$B$29*(A266/'3. The decision'!$B$28)^$B$148),0)</f>
        <v>0.368781603212374</v>
      </c>
      <c r="C266" s="15" t="n">
        <f aca="false">(1-'3. The decision'!$B$27-B266)*(1-'3. The decision'!$B$27)^('3. The decision'!$B$12-1)</f>
        <v>0.400316551999403</v>
      </c>
      <c r="D266" s="15" t="n">
        <f aca="false">1+(1-'3. The decision'!$B$27-B266)*(1-(1-'3. The decision'!$B$27)^('3. The decision'!$B$12-1))/'3. The decision'!$B$27</f>
        <v>3.47220819230411</v>
      </c>
      <c r="E266" s="15" t="n">
        <f aca="false">(1-'3. The decision'!$B$14)*(1-'3. The decision'!$B$27)^('3. The decision'!$B$11-1)</f>
        <v>0.690273454655712</v>
      </c>
      <c r="F266" s="15" t="n">
        <f aca="false">1+(1-'3. The decision'!$B$14)*(1-(1-'3. The decision'!$B$27)^('3. The decision'!$B$11-1))/'3. The decision'!$B$27</f>
        <v>4.28912098262087</v>
      </c>
      <c r="G266" s="15" t="n">
        <f aca="false">(1-(1-'3. The decision'!$B$9*MIN(1,('3. The decision'!$B$10/(52/12)))))+(1-(1-'3. The decision'!$B$9*MAX(0,MIN(1,('3. The decision'!$B$10/(52/12))-1))))*(1-'3. The decision'!$B$14)+(1-(1-'3. The decision'!$B$9*MAX(0,MIN(1,('3. The decision'!$B$10/(52/12))-2))))*(1-'3. The decision'!$B$14)*(1-'3. The decision'!$B$27)</f>
        <v>0.884576923076923</v>
      </c>
      <c r="H266" s="15" t="n">
        <f aca="false">IF(A266&lt;=0,0,MAX(0,ROUNDUP(LN('3. The decision'!$B$13)/LN(1+A266)-0.000000000001,0)-1))</f>
        <v>1</v>
      </c>
      <c r="I266" s="15" t="n">
        <f aca="false">IF(A266&lt;=0,1/(1-C266),(1+A266)*(1-(C266*(1+A266))^H266)/(1-C266*(1+A266))+'3. The decision'!$B$13*C266^H266/(1-C266))</f>
        <v>2.36892523593279</v>
      </c>
      <c r="J266" s="17" t="n">
        <f aca="false">F266+E266*D266/(1-C266)</f>
        <v>8.28585151133014</v>
      </c>
      <c r="K266" s="15" t="n">
        <f aca="false">F266-G266+E266*D266*I266</f>
        <v>9.08232044561124</v>
      </c>
      <c r="L266" s="17" t="n">
        <f aca="false">'3. The decision'!$B$8*'3. The decision'!$B$5/J266</f>
        <v>56.6797509414465</v>
      </c>
      <c r="M266" s="31" t="n">
        <f aca="false">L266*'3. The decision'!$B$6*'3. The decision'!$B$7*K266</f>
        <v>987367.276672948</v>
      </c>
      <c r="N266" s="31" t="n">
        <f aca="false">M266*(1+'3. The decision'!$B$19+'3. The decision'!$B$20+'3. The decision'!$B$22)</f>
        <v>1092028.20800028</v>
      </c>
      <c r="O266" s="31" t="n">
        <f aca="false">'3. The decision'!$B$17+'3. The decision'!$B$18*L266*12+M266*('3. The decision'!$B$20*(1-'3. The decision'!$B$21)+'3. The decision'!$B$23)+N266*('3. The decision'!$B$24+'3. The decision'!$B$25)</f>
        <v>620027.702230476</v>
      </c>
      <c r="P266" s="31" t="n">
        <f aca="false">N266-O266</f>
        <v>472000.505769805</v>
      </c>
    </row>
    <row r="267" customFormat="false" ht="15" hidden="false" customHeight="false" outlineLevel="0" collapsed="false">
      <c r="A267" s="27" t="n">
        <f aca="false">116*0.0025</f>
        <v>0.29</v>
      </c>
      <c r="B267" s="27" t="n">
        <f aca="false">IF(A267&gt;0,MIN('3. The decision'!$B$15,'3. The decision'!$B$29*(A267/'3. The decision'!$B$28)^$B$148),0)</f>
        <v>0.375223081499108</v>
      </c>
      <c r="C267" s="15" t="n">
        <f aca="false">(1-'3. The decision'!$B$27-B267)*(1-'3. The decision'!$B$27)^('3. The decision'!$B$12-1)</f>
        <v>0.395750328564515</v>
      </c>
      <c r="D267" s="15" t="n">
        <f aca="false">1+(1-'3. The decision'!$B$27-B267)*(1-(1-'3. The decision'!$B$27)^('3. The decision'!$B$12-1))/'3. The decision'!$B$27</f>
        <v>3.44400887122372</v>
      </c>
      <c r="E267" s="15" t="n">
        <f aca="false">(1-'3. The decision'!$B$14)*(1-'3. The decision'!$B$27)^('3. The decision'!$B$11-1)</f>
        <v>0.690273454655712</v>
      </c>
      <c r="F267" s="15" t="n">
        <f aca="false">1+(1-'3. The decision'!$B$14)*(1-(1-'3. The decision'!$B$27)^('3. The decision'!$B$11-1))/'3. The decision'!$B$27</f>
        <v>4.28912098262087</v>
      </c>
      <c r="G267" s="15" t="n">
        <f aca="false">(1-(1-'3. The decision'!$B$9*MIN(1,('3. The decision'!$B$10/(52/12)))))+(1-(1-'3. The decision'!$B$9*MAX(0,MIN(1,('3. The decision'!$B$10/(52/12))-1))))*(1-'3. The decision'!$B$14)+(1-(1-'3. The decision'!$B$9*MAX(0,MIN(1,('3. The decision'!$B$10/(52/12))-2))))*(1-'3. The decision'!$B$14)*(1-'3. The decision'!$B$27)</f>
        <v>0.884576923076923</v>
      </c>
      <c r="H267" s="15" t="n">
        <f aca="false">IF(A267&lt;=0,0,MAX(0,ROUNDUP(LN('3. The decision'!$B$13)/LN(1+A267)-0.000000000001,0)-1))</f>
        <v>1</v>
      </c>
      <c r="I267" s="15" t="n">
        <f aca="false">IF(A267&lt;=0,1/(1-C267),(1+A267)*(1-(C267*(1+A267))^H267)/(1-C267*(1+A267))+'3. The decision'!$B$13*C267^H267/(1-C267))</f>
        <v>2.35101097374443</v>
      </c>
      <c r="J267" s="17" t="n">
        <f aca="false">F267+E267*D267/(1-C267)</f>
        <v>8.22343491572881</v>
      </c>
      <c r="K267" s="15" t="n">
        <f aca="false">F267-G267+E267*D267*I267</f>
        <v>8.99362102371531</v>
      </c>
      <c r="L267" s="17" t="n">
        <f aca="false">'3. The decision'!$B$8*'3. The decision'!$B$5/J267</f>
        <v>57.109955245311</v>
      </c>
      <c r="M267" s="31" t="n">
        <f aca="false">L267*'3. The decision'!$B$6*'3. The decision'!$B$7*K267</f>
        <v>985145.501913255</v>
      </c>
      <c r="N267" s="31" t="n">
        <f aca="false">M267*(1+'3. The decision'!$B$19+'3. The decision'!$B$20+'3. The decision'!$B$22)</f>
        <v>1089570.92511606</v>
      </c>
      <c r="O267" s="31" t="n">
        <f aca="false">'3. The decision'!$B$17+'3. The decision'!$B$18*L267*12+M267*('3. The decision'!$B$20*(1-'3. The decision'!$B$21)+'3. The decision'!$B$23)+N267*('3. The decision'!$B$24+'3. The decision'!$B$25)</f>
        <v>620440.26670559</v>
      </c>
      <c r="P267" s="31" t="n">
        <f aca="false">N267-O267</f>
        <v>469130.65841047</v>
      </c>
    </row>
    <row r="268" customFormat="false" ht="15" hidden="false" customHeight="false" outlineLevel="0" collapsed="false">
      <c r="A268" s="27" t="n">
        <f aca="false">117*0.0025</f>
        <v>0.2925</v>
      </c>
      <c r="B268" s="27" t="n">
        <f aca="false">IF(A268&gt;0,MIN('3. The decision'!$B$15,'3. The decision'!$B$29*(A268/'3. The decision'!$B$28)^$B$148),0)</f>
        <v>0.381720330160619</v>
      </c>
      <c r="C268" s="15" t="n">
        <f aca="false">(1-'3. The decision'!$B$27-B268)*(1-'3. The decision'!$B$27)^('3. The decision'!$B$12-1)</f>
        <v>0.391144570727592</v>
      </c>
      <c r="D268" s="15" t="n">
        <f aca="false">1+(1-'3. The decision'!$B$27-B268)*(1-(1-'3. The decision'!$B$27)^('3. The decision'!$B$12-1))/'3. The decision'!$B$27</f>
        <v>3.41556540017728</v>
      </c>
      <c r="E268" s="15" t="n">
        <f aca="false">(1-'3. The decision'!$B$14)*(1-'3. The decision'!$B$27)^('3. The decision'!$B$11-1)</f>
        <v>0.690273454655712</v>
      </c>
      <c r="F268" s="15" t="n">
        <f aca="false">1+(1-'3. The decision'!$B$14)*(1-(1-'3. The decision'!$B$27)^('3. The decision'!$B$11-1))/'3. The decision'!$B$27</f>
        <v>4.28912098262087</v>
      </c>
      <c r="G268" s="15" t="n">
        <f aca="false">(1-(1-'3. The decision'!$B$9*MIN(1,('3. The decision'!$B$10/(52/12)))))+(1-(1-'3. The decision'!$B$9*MAX(0,MIN(1,('3. The decision'!$B$10/(52/12))-1))))*(1-'3. The decision'!$B$14)+(1-(1-'3. The decision'!$B$9*MAX(0,MIN(1,('3. The decision'!$B$10/(52/12))-2))))*(1-'3. The decision'!$B$14)*(1-'3. The decision'!$B$27)</f>
        <v>0.884576923076923</v>
      </c>
      <c r="H268" s="15" t="n">
        <f aca="false">IF(A268&lt;=0,0,MAX(0,ROUNDUP(LN('3. The decision'!$B$13)/LN(1+A268)-0.000000000001,0)-1))</f>
        <v>1</v>
      </c>
      <c r="I268" s="15" t="n">
        <f aca="false">IF(A268&lt;=0,1/(1-C268),(1+A268)*(1-(C268*(1+A268))^H268)/(1-C268*(1+A268))+'3. The decision'!$B$13*C268^H268/(1-C268))</f>
        <v>2.33323015384937</v>
      </c>
      <c r="J268" s="17" t="n">
        <f aca="false">F268+E268*D268/(1-C268)</f>
        <v>8.1614263198671</v>
      </c>
      <c r="K268" s="15" t="n">
        <f aca="false">F268-G268+E268*D268*I268</f>
        <v>8.90554042883745</v>
      </c>
      <c r="L268" s="17" t="n">
        <f aca="false">'3. The decision'!$B$8*'3. The decision'!$B$5/J268</f>
        <v>57.5438632407635</v>
      </c>
      <c r="M268" s="31" t="n">
        <f aca="false">L268*'3. The decision'!$B$6*'3. The decision'!$B$7*K268</f>
        <v>982908.906650237</v>
      </c>
      <c r="N268" s="31" t="n">
        <f aca="false">M268*(1+'3. The decision'!$B$19+'3. The decision'!$B$20+'3. The decision'!$B$22)</f>
        <v>1087097.25075516</v>
      </c>
      <c r="O268" s="31" t="n">
        <f aca="false">'3. The decision'!$B$17+'3. The decision'!$B$18*L268*12+M268*('3. The decision'!$B$20*(1-'3. The decision'!$B$21)+'3. The decision'!$B$23)+N268*('3. The decision'!$B$24+'3. The decision'!$B$25)</f>
        <v>620856.846566488</v>
      </c>
      <c r="P268" s="31" t="n">
        <f aca="false">N268-O268</f>
        <v>466240.404188674</v>
      </c>
    </row>
    <row r="269" customFormat="false" ht="15" hidden="false" customHeight="false" outlineLevel="0" collapsed="false">
      <c r="A269" s="27" t="n">
        <f aca="false">118*0.0025</f>
        <v>0.295</v>
      </c>
      <c r="B269" s="27" t="n">
        <f aca="false">IF(A269&gt;0,MIN('3. The decision'!$B$15,'3. The decision'!$B$29*(A269/'3. The decision'!$B$28)^$B$148),0)</f>
        <v>0.388273349196907</v>
      </c>
      <c r="C269" s="15" t="n">
        <f aca="false">(1-'3. The decision'!$B$27-B269)*(1-'3. The decision'!$B$27)^('3. The decision'!$B$12-1)</f>
        <v>0.386499278488636</v>
      </c>
      <c r="D269" s="15" t="n">
        <f aca="false">1+(1-'3. The decision'!$B$27-B269)*(1-(1-'3. The decision'!$B$27)^('3. The decision'!$B$12-1))/'3. The decision'!$B$27</f>
        <v>3.38687777916477</v>
      </c>
      <c r="E269" s="15" t="n">
        <f aca="false">(1-'3. The decision'!$B$14)*(1-'3. The decision'!$B$27)^('3. The decision'!$B$11-1)</f>
        <v>0.690273454655712</v>
      </c>
      <c r="F269" s="15" t="n">
        <f aca="false">1+(1-'3. The decision'!$B$14)*(1-(1-'3. The decision'!$B$27)^('3. The decision'!$B$11-1))/'3. The decision'!$B$27</f>
        <v>4.28912098262087</v>
      </c>
      <c r="G269" s="15" t="n">
        <f aca="false">(1-(1-'3. The decision'!$B$9*MIN(1,('3. The decision'!$B$10/(52/12)))))+(1-(1-'3. The decision'!$B$9*MAX(0,MIN(1,('3. The decision'!$B$10/(52/12))-1))))*(1-'3. The decision'!$B$14)+(1-(1-'3. The decision'!$B$9*MAX(0,MIN(1,('3. The decision'!$B$10/(52/12))-2))))*(1-'3. The decision'!$B$14)*(1-'3. The decision'!$B$27)</f>
        <v>0.884576923076923</v>
      </c>
      <c r="H269" s="15" t="n">
        <f aca="false">IF(A269&lt;=0,0,MAX(0,ROUNDUP(LN('3. The decision'!$B$13)/LN(1+A269)-0.000000000001,0)-1))</f>
        <v>1</v>
      </c>
      <c r="I269" s="15" t="n">
        <f aca="false">IF(A269&lt;=0,1/(1-C269),(1+A269)*(1-(C269*(1+A269))^H269)/(1-C269*(1+A269))+'3. The decision'!$B$13*C269^H269/(1-C269))</f>
        <v>2.31558369158738</v>
      </c>
      <c r="J269" s="17" t="n">
        <f aca="false">F269+E269*D269/(1-C269)</f>
        <v>8.09982852239583</v>
      </c>
      <c r="K269" s="15" t="n">
        <f aca="false">F269-G269+E269*D269*I269</f>
        <v>8.81808193081514</v>
      </c>
      <c r="L269" s="17" t="n">
        <f aca="false">'3. The decision'!$B$8*'3. The decision'!$B$5/J269</f>
        <v>57.9814743857178</v>
      </c>
      <c r="M269" s="31" t="n">
        <f aca="false">L269*'3. The decision'!$B$6*'3. The decision'!$B$7*K269</f>
        <v>980657.513289748</v>
      </c>
      <c r="N269" s="31" t="n">
        <f aca="false">M269*(1+'3. The decision'!$B$19+'3. The decision'!$B$20+'3. The decision'!$B$22)</f>
        <v>1084607.20969846</v>
      </c>
      <c r="O269" s="31" t="n">
        <f aca="false">'3. The decision'!$B$17+'3. The decision'!$B$18*L269*12+M269*('3. The decision'!$B$20*(1-'3. The decision'!$B$21)+'3. The decision'!$B$23)+N269*('3. The decision'!$B$24+'3. The decision'!$B$25)</f>
        <v>621277.443403475</v>
      </c>
      <c r="P269" s="31" t="n">
        <f aca="false">N269-O269</f>
        <v>463329.766294986</v>
      </c>
    </row>
    <row r="270" customFormat="false" ht="15" hidden="false" customHeight="false" outlineLevel="0" collapsed="false">
      <c r="A270" s="27" t="n">
        <f aca="false">119*0.0025</f>
        <v>0.2975</v>
      </c>
      <c r="B270" s="27" t="n">
        <f aca="false">IF(A270&gt;0,MIN('3. The decision'!$B$15,'3. The decision'!$B$29*(A270/'3. The decision'!$B$28)^$B$148),0)</f>
        <v>0.394882138607971</v>
      </c>
      <c r="C270" s="15" t="n">
        <f aca="false">(1-'3. The decision'!$B$27-B270)*(1-'3. The decision'!$B$27)^('3. The decision'!$B$12-1)</f>
        <v>0.381814451847647</v>
      </c>
      <c r="D270" s="15" t="n">
        <f aca="false">1+(1-'3. The decision'!$B$27-B270)*(1-(1-'3. The decision'!$B$27)^('3. The decision'!$B$12-1))/'3. The decision'!$B$27</f>
        <v>3.35794600818619</v>
      </c>
      <c r="E270" s="15" t="n">
        <f aca="false">(1-'3. The decision'!$B$14)*(1-'3. The decision'!$B$27)^('3. The decision'!$B$11-1)</f>
        <v>0.690273454655712</v>
      </c>
      <c r="F270" s="15" t="n">
        <f aca="false">1+(1-'3. The decision'!$B$14)*(1-(1-'3. The decision'!$B$27)^('3. The decision'!$B$11-1))/'3. The decision'!$B$27</f>
        <v>4.28912098262087</v>
      </c>
      <c r="G270" s="15" t="n">
        <f aca="false">(1-(1-'3. The decision'!$B$9*MIN(1,('3. The decision'!$B$10/(52/12)))))+(1-(1-'3. The decision'!$B$9*MAX(0,MIN(1,('3. The decision'!$B$10/(52/12))-1))))*(1-'3. The decision'!$B$14)+(1-(1-'3. The decision'!$B$9*MAX(0,MIN(1,('3. The decision'!$B$10/(52/12))-2))))*(1-'3. The decision'!$B$14)*(1-'3. The decision'!$B$27)</f>
        <v>0.884576923076923</v>
      </c>
      <c r="H270" s="15" t="n">
        <f aca="false">IF(A270&lt;=0,0,MAX(0,ROUNDUP(LN('3. The decision'!$B$13)/LN(1+A270)-0.000000000001,0)-1))</f>
        <v>1</v>
      </c>
      <c r="I270" s="15" t="n">
        <f aca="false">IF(A270&lt;=0,1/(1-C270),(1+A270)*(1-(C270*(1+A270))^H270)/(1-C270*(1+A270))+'3. The decision'!$B$13*C270^H270/(1-C270))</f>
        <v>2.29807242334748</v>
      </c>
      <c r="J270" s="17" t="n">
        <f aca="false">F270+E270*D270/(1-C270)</f>
        <v>8.03864408057397</v>
      </c>
      <c r="K270" s="15" t="n">
        <f aca="false">F270-G270+E270*D270*I270</f>
        <v>8.73124840843114</v>
      </c>
      <c r="L270" s="17" t="n">
        <f aca="false">'3. The decision'!$B$8*'3. The decision'!$B$5/J270</f>
        <v>58.4227881335017</v>
      </c>
      <c r="M270" s="31" t="n">
        <f aca="false">L270*'3. The decision'!$B$6*'3. The decision'!$B$7*K270</f>
        <v>978391.338148907</v>
      </c>
      <c r="N270" s="31" t="n">
        <f aca="false">M270*(1+'3. The decision'!$B$19+'3. The decision'!$B$20+'3. The decision'!$B$22)</f>
        <v>1082100.81999269</v>
      </c>
      <c r="O270" s="31" t="n">
        <f aca="false">'3. The decision'!$B$17+'3. The decision'!$B$18*L270*12+M270*('3. The decision'!$B$20*(1-'3. The decision'!$B$21)+'3. The decision'!$B$23)+N270*('3. The decision'!$B$24+'3. The decision'!$B$25)</f>
        <v>621702.058144596</v>
      </c>
      <c r="P270" s="31" t="n">
        <f aca="false">N270-O270</f>
        <v>460398.761848094</v>
      </c>
    </row>
    <row r="271" customFormat="false" ht="15" hidden="false" customHeight="false" outlineLevel="0" collapsed="false">
      <c r="A271" s="27" t="n">
        <f aca="false">120*0.0025</f>
        <v>0.3</v>
      </c>
      <c r="B271" s="27" t="n">
        <f aca="false">IF(A271&gt;0,MIN('3. The decision'!$B$15,'3. The decision'!$B$29*(A271/'3. The decision'!$B$28)^$B$148),0)</f>
        <v>0.401546698393813</v>
      </c>
      <c r="C271" s="15" t="n">
        <f aca="false">(1-'3. The decision'!$B$27-B271)*(1-'3. The decision'!$B$27)^('3. The decision'!$B$12-1)</f>
        <v>0.377090090804623</v>
      </c>
      <c r="D271" s="15" t="n">
        <f aca="false">1+(1-'3. The decision'!$B$27-B271)*(1-(1-'3. The decision'!$B$27)^('3. The decision'!$B$12-1))/'3. The decision'!$B$27</f>
        <v>3.32877008724156</v>
      </c>
      <c r="E271" s="15" t="n">
        <f aca="false">(1-'3. The decision'!$B$14)*(1-'3. The decision'!$B$27)^('3. The decision'!$B$11-1)</f>
        <v>0.690273454655712</v>
      </c>
      <c r="F271" s="15" t="n">
        <f aca="false">1+(1-'3. The decision'!$B$14)*(1-(1-'3. The decision'!$B$27)^('3. The decision'!$B$11-1))/'3. The decision'!$B$27</f>
        <v>4.28912098262087</v>
      </c>
      <c r="G271" s="15" t="n">
        <f aca="false">(1-(1-'3. The decision'!$B$9*MIN(1,('3. The decision'!$B$10/(52/12)))))+(1-(1-'3. The decision'!$B$9*MAX(0,MIN(1,('3. The decision'!$B$10/(52/12))-1))))*(1-'3. The decision'!$B$14)+(1-(1-'3. The decision'!$B$9*MAX(0,MIN(1,('3. The decision'!$B$10/(52/12))-2))))*(1-'3. The decision'!$B$14)*(1-'3. The decision'!$B$27)</f>
        <v>0.884576923076923</v>
      </c>
      <c r="H271" s="15" t="n">
        <f aca="false">IF(A271&lt;=0,0,MAX(0,ROUNDUP(LN('3. The decision'!$B$13)/LN(1+A271)-0.000000000001,0)-1))</f>
        <v>1</v>
      </c>
      <c r="I271" s="15" t="n">
        <f aca="false">IF(A271&lt;=0,1/(1-C271),(1+A271)*(1-(C271*(1+A271))^H271)/(1-C271*(1+A271))+'3. The decision'!$B$13*C271^H271/(1-C271))</f>
        <v>2.28069710898095</v>
      </c>
      <c r="J271" s="17" t="n">
        <f aca="false">F271+E271*D271/(1-C271)</f>
        <v>7.97787531764643</v>
      </c>
      <c r="K271" s="15" t="n">
        <f aca="false">F271-G271+E271*D271*I271</f>
        <v>8.64504236136542</v>
      </c>
      <c r="L271" s="17" t="n">
        <f aca="false">'3. The decision'!$B$8*'3. The decision'!$B$5/J271</f>
        <v>58.8678039328583</v>
      </c>
      <c r="M271" s="31" t="n">
        <f aca="false">L271*'3. The decision'!$B$6*'3. The decision'!$B$7*K271</f>
        <v>976110.391366233</v>
      </c>
      <c r="N271" s="31" t="n">
        <f aca="false">M271*(1+'3. The decision'!$B$19+'3. The decision'!$B$20+'3. The decision'!$B$22)</f>
        <v>1079578.09285105</v>
      </c>
      <c r="O271" s="31" t="n">
        <f aca="false">'3. The decision'!$B$17+'3. The decision'!$B$18*L271*12+M271*('3. The decision'!$B$20*(1-'3. The decision'!$B$21)+'3. The decision'!$B$23)+N271*('3. The decision'!$B$24+'3. The decision'!$B$25)</f>
        <v>622130.691045969</v>
      </c>
      <c r="P271" s="31" t="n">
        <f aca="false">N271-O271</f>
        <v>457447.401805084</v>
      </c>
    </row>
    <row r="272" customFormat="false" ht="15" hidden="false" customHeight="false" outlineLevel="0" collapsed="false">
      <c r="A272" s="27" t="n">
        <f aca="false">'3. The decision'!$B$13^(1/1)-1</f>
        <v>0.62</v>
      </c>
      <c r="B272" s="27" t="n">
        <f aca="false">IF(A272&gt;0,MIN('3. The decision'!$B$15,'3. The decision'!$B$29*(A272/'3. The decision'!$B$28)^$B$148),0)</f>
        <v>0.75</v>
      </c>
      <c r="C272" s="15" t="n">
        <f aca="false">(1-'3. The decision'!$B$27-B272)*(1-'3. The decision'!$B$27)^('3. The decision'!$B$12-1)</f>
        <v>0.130079146898265</v>
      </c>
      <c r="D272" s="15" t="n">
        <f aca="false">1+(1-'3. The decision'!$B$27-B272)*(1-(1-'3. The decision'!$B$27)^('3. The decision'!$B$12-1))/'3. The decision'!$B$27</f>
        <v>1.80332109927421</v>
      </c>
      <c r="E272" s="15" t="n">
        <f aca="false">(1-'3. The decision'!$B$14)*(1-'3. The decision'!$B$27)^('3. The decision'!$B$11-1)</f>
        <v>0.690273454655712</v>
      </c>
      <c r="F272" s="15" t="n">
        <f aca="false">1+(1-'3. The decision'!$B$14)*(1-(1-'3. The decision'!$B$27)^('3. The decision'!$B$11-1))/'3. The decision'!$B$27</f>
        <v>4.28912098262087</v>
      </c>
      <c r="G272" s="15" t="n">
        <f aca="false">(1-(1-'3. The decision'!$B$9*MIN(1,('3. The decision'!$B$10/(52/12)))))+(1-(1-'3. The decision'!$B$9*MAX(0,MIN(1,('3. The decision'!$B$10/(52/12))-1))))*(1-'3. The decision'!$B$14)+(1-(1-'3. The decision'!$B$9*MAX(0,MIN(1,('3. The decision'!$B$10/(52/12))-2))))*(1-'3. The decision'!$B$14)*(1-'3. The decision'!$B$27)</f>
        <v>0.884576923076923</v>
      </c>
      <c r="H272" s="15" t="n">
        <f aca="false">IF(A272&lt;=0,0,MAX(0,ROUNDUP(LN('3. The decision'!$B$13)/LN(1+A272)-0.000000000001,0)-1))</f>
        <v>0</v>
      </c>
      <c r="I272" s="15" t="n">
        <f aca="false">IF(A272&lt;=0,1/(1-C272),(1+A272)*(1-(C272*(1+A272))^H272)/(1-C272*(1+A272))+'3. The decision'!$B$13*C272^H272/(1-C272))</f>
        <v>1.86223837976045</v>
      </c>
      <c r="J272" s="17" t="n">
        <f aca="false">F272+E272*D272/(1-C272)</f>
        <v>5.72003815239697</v>
      </c>
      <c r="K272" s="15" t="n">
        <f aca="false">F272-G272+E272*D272*I272</f>
        <v>5.72262987458123</v>
      </c>
      <c r="L272" s="17" t="n">
        <f aca="false">'3. The decision'!$B$8*'3. The decision'!$B$5/J272</f>
        <v>82.104347468941</v>
      </c>
      <c r="M272" s="31" t="n">
        <f aca="false">L272*'3. The decision'!$B$6*'3. The decision'!$B$7*K272</f>
        <v>901188.803450794</v>
      </c>
      <c r="N272" s="31" t="n">
        <f aca="false">M272*(1+'3. The decision'!$B$19+'3. The decision'!$B$20+'3. The decision'!$B$22)</f>
        <v>996714.816616578</v>
      </c>
      <c r="O272" s="31" t="n">
        <f aca="false">'3. The decision'!$B$17+'3. The decision'!$B$18*L272*12+M272*('3. The decision'!$B$20*(1-'3. The decision'!$B$21)+'3. The decision'!$B$23)+N272*('3. The decision'!$B$24+'3. The decision'!$B$25)</f>
        <v>649266.574805342</v>
      </c>
      <c r="P272" s="31" t="n">
        <f aca="false">N272-O272</f>
        <v>347448.241811236</v>
      </c>
    </row>
    <row r="273" customFormat="false" ht="15" hidden="false" customHeight="false" outlineLevel="0" collapsed="false">
      <c r="A273" s="27" t="n">
        <f aca="false">'3. The decision'!$B$13^(1/2)-1</f>
        <v>0.272792206135786</v>
      </c>
      <c r="B273" s="27" t="n">
        <f aca="false">IF(A273&gt;0,MIN('3. The decision'!$B$15,'3. The decision'!$B$29*(A273/'3. The decision'!$B$28)^$B$148),0)</f>
        <v>0.332014817348731</v>
      </c>
      <c r="C273" s="15" t="n">
        <f aca="false">(1-'3. The decision'!$B$27-B273)*(1-'3. The decision'!$B$27)^('3. The decision'!$B$12-1)</f>
        <v>0.426379724420841</v>
      </c>
      <c r="D273" s="15" t="n">
        <f aca="false">1+(1-'3. The decision'!$B$27-B273)*(1-(1-'3. The decision'!$B$27)^('3. The decision'!$B$12-1))/'3. The decision'!$B$27</f>
        <v>3.63316478541997</v>
      </c>
      <c r="E273" s="15" t="n">
        <f aca="false">(1-'3. The decision'!$B$14)*(1-'3. The decision'!$B$27)^('3. The decision'!$B$11-1)</f>
        <v>0.690273454655712</v>
      </c>
      <c r="F273" s="15" t="n">
        <f aca="false">1+(1-'3. The decision'!$B$14)*(1-(1-'3. The decision'!$B$27)^('3. The decision'!$B$11-1))/'3. The decision'!$B$27</f>
        <v>4.28912098262087</v>
      </c>
      <c r="G273" s="15" t="n">
        <f aca="false">(1-(1-'3. The decision'!$B$9*MIN(1,('3. The decision'!$B$10/(52/12)))))+(1-(1-'3. The decision'!$B$9*MAX(0,MIN(1,('3. The decision'!$B$10/(52/12))-1))))*(1-'3. The decision'!$B$14)+(1-(1-'3. The decision'!$B$9*MAX(0,MIN(1,('3. The decision'!$B$10/(52/12))-2))))*(1-'3. The decision'!$B$14)*(1-'3. The decision'!$B$27)</f>
        <v>0.884576923076923</v>
      </c>
      <c r="H273" s="15" t="n">
        <f aca="false">IF(A273&lt;=0,0,MAX(0,ROUNDUP(LN('3. The decision'!$B$13)/LN(1+A273)-0.000000000001,0)-1))</f>
        <v>1</v>
      </c>
      <c r="I273" s="15" t="n">
        <f aca="false">IF(A273&lt;=0,1/(1-C273),(1+A273)*(1-(C273*(1+A273))^H273)/(1-C273*(1+A273))+'3. The decision'!$B$13*C273^H273/(1-C273))</f>
        <v>2.47696016003937</v>
      </c>
      <c r="J273" s="17" t="n">
        <f aca="false">F273+E273*D273/(1-C273)</f>
        <v>8.66113730514928</v>
      </c>
      <c r="K273" s="15" t="n">
        <f aca="false">F273-G273+E273*D273*I273</f>
        <v>9.61645598944942</v>
      </c>
      <c r="L273" s="17" t="n">
        <f aca="false">'3. The decision'!$B$8*'3. The decision'!$B$5/J273</f>
        <v>54.2238257463932</v>
      </c>
      <c r="M273" s="31" t="n">
        <f aca="false">L273*'3. The decision'!$B$6*'3. The decision'!$B$7*K273</f>
        <v>1000136.27613928</v>
      </c>
      <c r="N273" s="31" t="n">
        <f aca="false">M273*(1+'3. The decision'!$B$19+'3. The decision'!$B$20+'3. The decision'!$B$22)</f>
        <v>1106150.72141005</v>
      </c>
      <c r="O273" s="31" t="n">
        <f aca="false">'3. The decision'!$B$17+'3. The decision'!$B$18*L273*12+M273*('3. The decision'!$B$20*(1-'3. The decision'!$B$21)+'3. The decision'!$B$23)+N273*('3. The decision'!$B$24+'3. The decision'!$B$25)</f>
        <v>617681.676226862</v>
      </c>
      <c r="P273" s="31" t="n">
        <f aca="false">N273-O273</f>
        <v>488469.045183186</v>
      </c>
    </row>
    <row r="274" customFormat="false" ht="15" hidden="false" customHeight="false" outlineLevel="0" collapsed="false">
      <c r="A274" s="27" t="n">
        <f aca="false">'3. The decision'!$B$13^(1/3)-1</f>
        <v>0.174460292350659</v>
      </c>
      <c r="B274" s="27" t="n">
        <f aca="false">IF(A274&gt;0,MIN('3. The decision'!$B$15,'3. The decision'!$B$29*(A274/'3. The decision'!$B$28)^$B$148),0)</f>
        <v>0.135795926265961</v>
      </c>
      <c r="C274" s="15" t="n">
        <f aca="false">(1-'3. The decision'!$B$27-B274)*(1-'3. The decision'!$B$27)^('3. The decision'!$B$12-1)</f>
        <v>0.56547501574166</v>
      </c>
      <c r="D274" s="15" t="n">
        <f aca="false">1+(1-'3. The decision'!$B$27-B274)*(1-(1-'3. The decision'!$B$27)^('3. The decision'!$B$12-1))/'3. The decision'!$B$27</f>
        <v>4.49216628559968</v>
      </c>
      <c r="E274" s="15" t="n">
        <f aca="false">(1-'3. The decision'!$B$14)*(1-'3. The decision'!$B$27)^('3. The decision'!$B$11-1)</f>
        <v>0.690273454655712</v>
      </c>
      <c r="F274" s="15" t="n">
        <f aca="false">1+(1-'3. The decision'!$B$14)*(1-(1-'3. The decision'!$B$27)^('3. The decision'!$B$11-1))/'3. The decision'!$B$27</f>
        <v>4.28912098262087</v>
      </c>
      <c r="G274" s="15" t="n">
        <f aca="false">(1-(1-'3. The decision'!$B$9*MIN(1,('3. The decision'!$B$10/(52/12)))))+(1-(1-'3. The decision'!$B$9*MAX(0,MIN(1,('3. The decision'!$B$10/(52/12))-1))))*(1-'3. The decision'!$B$14)+(1-(1-'3. The decision'!$B$9*MAX(0,MIN(1,('3. The decision'!$B$10/(52/12))-2))))*(1-'3. The decision'!$B$14)*(1-'3. The decision'!$B$27)</f>
        <v>0.884576923076923</v>
      </c>
      <c r="H274" s="15" t="n">
        <f aca="false">IF(A274&lt;=0,0,MAX(0,ROUNDUP(LN('3. The decision'!$B$13)/LN(1+A274)-0.000000000001,0)-1))</f>
        <v>2</v>
      </c>
      <c r="I274" s="15" t="n">
        <f aca="false">IF(A274&lt;=0,1/(1-C274),(1+A274)*(1-(C274*(1+A274))^H274)/(1-C274*(1+A274))+'3. The decision'!$B$13*C274^H274/(1-C274))</f>
        <v>3.14659177474542</v>
      </c>
      <c r="J274" s="17" t="n">
        <f aca="false">F274+E274*D274/(1-C274)</f>
        <v>11.4252426170106</v>
      </c>
      <c r="K274" s="15" t="n">
        <f aca="false">F274-G274+E274*D274*I274</f>
        <v>13.1615686494791</v>
      </c>
      <c r="L274" s="17" t="n">
        <f aca="false">'3. The decision'!$B$8*'3. The decision'!$B$5/J274</f>
        <v>41.105472832653</v>
      </c>
      <c r="M274" s="31" t="n">
        <f aca="false">L274*'3. The decision'!$B$6*'3. The decision'!$B$7*K274</f>
        <v>1037674.81748771</v>
      </c>
      <c r="N274" s="31" t="n">
        <f aca="false">M274*(1+'3. The decision'!$B$19+'3. The decision'!$B$20+'3. The decision'!$B$22)</f>
        <v>1147668.34814141</v>
      </c>
      <c r="O274" s="31" t="n">
        <f aca="false">'3. The decision'!$B$17+'3. The decision'!$B$18*L274*12+M274*('3. The decision'!$B$20*(1-'3. The decision'!$B$21)+'3. The decision'!$B$23)+N274*('3. The decision'!$B$24+'3. The decision'!$B$25)</f>
        <v>601849.730511862</v>
      </c>
      <c r="P274" s="31" t="n">
        <f aca="false">N274-O274</f>
        <v>545818.617629549</v>
      </c>
    </row>
    <row r="275" customFormat="false" ht="15" hidden="false" customHeight="false" outlineLevel="0" collapsed="false">
      <c r="A275" s="27" t="n">
        <f aca="false">'3. The decision'!$B$13^(1/4)-1</f>
        <v>0.128180927925918</v>
      </c>
      <c r="B275" s="27" t="n">
        <f aca="false">IF(A275&gt;0,MIN('3. The decision'!$B$15,'3. The decision'!$B$29*(A275/'3. The decision'!$B$28)^$B$148),0)</f>
        <v>0.0733061434441526</v>
      </c>
      <c r="C275" s="15" t="n">
        <f aca="false">(1-'3. The decision'!$B$27-B275)*(1-'3. The decision'!$B$27)^('3. The decision'!$B$12-1)</f>
        <v>0.609772659552662</v>
      </c>
      <c r="D275" s="15" t="n">
        <f aca="false">1+(1-'3. The decision'!$B$27-B275)*(1-(1-'3. The decision'!$B$27)^('3. The decision'!$B$12-1))/'3. The decision'!$B$27</f>
        <v>4.76573228576219</v>
      </c>
      <c r="E275" s="15" t="n">
        <f aca="false">(1-'3. The decision'!$B$14)*(1-'3. The decision'!$B$27)^('3. The decision'!$B$11-1)</f>
        <v>0.690273454655712</v>
      </c>
      <c r="F275" s="15" t="n">
        <f aca="false">1+(1-'3. The decision'!$B$14)*(1-(1-'3. The decision'!$B$27)^('3. The decision'!$B$11-1))/'3. The decision'!$B$27</f>
        <v>4.28912098262087</v>
      </c>
      <c r="G275" s="15" t="n">
        <f aca="false">(1-(1-'3. The decision'!$B$9*MIN(1,('3. The decision'!$B$10/(52/12)))))+(1-(1-'3. The decision'!$B$9*MAX(0,MIN(1,('3. The decision'!$B$10/(52/12))-1))))*(1-'3. The decision'!$B$14)+(1-(1-'3. The decision'!$B$9*MAX(0,MIN(1,('3. The decision'!$B$10/(52/12))-2))))*(1-'3. The decision'!$B$14)*(1-'3. The decision'!$B$27)</f>
        <v>0.884576923076923</v>
      </c>
      <c r="H275" s="15" t="n">
        <f aca="false">IF(A275&lt;=0,0,MAX(0,ROUNDUP(LN('3. The decision'!$B$13)/LN(1+A275)-0.000000000001,0)-1))</f>
        <v>3</v>
      </c>
      <c r="I275" s="15" t="n">
        <f aca="false">IF(A275&lt;=0,1/(1-C275),(1+A275)*(1-(C275*(1+A275))^H275)/(1-C275*(1+A275))+'3. The decision'!$B$13*C275^H275/(1-C275))</f>
        <v>3.3794515694221</v>
      </c>
      <c r="J275" s="17" t="n">
        <f aca="false">F275+E275*D275/(1-C275)</f>
        <v>12.7192286349607</v>
      </c>
      <c r="K275" s="15" t="n">
        <f aca="false">F275-G275+E275*D275*I275</f>
        <v>14.5217856025756</v>
      </c>
      <c r="L275" s="17" t="n">
        <f aca="false">'3. The decision'!$B$8*'3. The decision'!$B$5/J275</f>
        <v>36.9236227666451</v>
      </c>
      <c r="M275" s="31" t="n">
        <f aca="false">L275*'3. The decision'!$B$6*'3. The decision'!$B$7*K275</f>
        <v>1028438.44174628</v>
      </c>
      <c r="N275" s="31" t="n">
        <f aca="false">M275*(1+'3. The decision'!$B$19+'3. The decision'!$B$20+'3. The decision'!$B$22)</f>
        <v>1137452.91657139</v>
      </c>
      <c r="O275" s="31" t="n">
        <f aca="false">'3. The decision'!$B$17+'3. The decision'!$B$18*L275*12+M275*('3. The decision'!$B$20*(1-'3. The decision'!$B$21)+'3. The decision'!$B$23)+N275*('3. The decision'!$B$24+'3. The decision'!$B$25)</f>
        <v>594520.845039917</v>
      </c>
      <c r="P275" s="31" t="n">
        <f aca="false">N275-O275</f>
        <v>542932.07153147</v>
      </c>
    </row>
    <row r="276" customFormat="false" ht="15" hidden="false" customHeight="false" outlineLevel="0" collapsed="false">
      <c r="A276" s="27" t="n">
        <f aca="false">'3. The decision'!$B$13^(1/5)-1</f>
        <v>0.101293314754956</v>
      </c>
      <c r="B276" s="27" t="n">
        <f aca="false">IF(A276&gt;0,MIN('3. The decision'!$B$15,'3. The decision'!$B$29*(A276/'3. The decision'!$B$28)^$B$148),0)</f>
        <v>0.0457778210025874</v>
      </c>
      <c r="C276" s="15" t="n">
        <f aca="false">(1-'3. The decision'!$B$27-B276)*(1-'3. The decision'!$B$27)^('3. The decision'!$B$12-1)</f>
        <v>0.629286886793747</v>
      </c>
      <c r="D276" s="15" t="n">
        <f aca="false">1+(1-'3. The decision'!$B$27-B276)*(1-(1-'3. The decision'!$B$27)^('3. The decision'!$B$12-1))/'3. The decision'!$B$27</f>
        <v>4.88624499554384</v>
      </c>
      <c r="E276" s="15" t="n">
        <f aca="false">(1-'3. The decision'!$B$14)*(1-'3. The decision'!$B$27)^('3. The decision'!$B$11-1)</f>
        <v>0.690273454655712</v>
      </c>
      <c r="F276" s="15" t="n">
        <f aca="false">1+(1-'3. The decision'!$B$14)*(1-(1-'3. The decision'!$B$27)^('3. The decision'!$B$11-1))/'3. The decision'!$B$27</f>
        <v>4.28912098262087</v>
      </c>
      <c r="G276" s="15" t="n">
        <f aca="false">(1-(1-'3. The decision'!$B$9*MIN(1,('3. The decision'!$B$10/(52/12)))))+(1-(1-'3. The decision'!$B$9*MAX(0,MIN(1,('3. The decision'!$B$10/(52/12))-1))))*(1-'3. The decision'!$B$14)+(1-(1-'3. The decision'!$B$9*MAX(0,MIN(1,('3. The decision'!$B$10/(52/12))-2))))*(1-'3. The decision'!$B$14)*(1-'3. The decision'!$B$27)</f>
        <v>0.884576923076923</v>
      </c>
      <c r="H276" s="15" t="n">
        <f aca="false">IF(A276&lt;=0,0,MAX(0,ROUNDUP(LN('3. The decision'!$B$13)/LN(1+A276)-0.000000000001,0)-1))</f>
        <v>4</v>
      </c>
      <c r="I276" s="15" t="n">
        <f aca="false">IF(A276&lt;=0,1/(1-C276),(1+A276)*(1-(C276*(1+A276))^H276)/(1-C276*(1+A276))+'3. The decision'!$B$13*C276^H276/(1-C276))</f>
        <v>3.44531881549192</v>
      </c>
      <c r="J276" s="17" t="n">
        <f aca="false">F276+E276*D276/(1-C276)</f>
        <v>13.3873834751367</v>
      </c>
      <c r="K276" s="15" t="n">
        <f aca="false">F276-G276+E276*D276*I276</f>
        <v>15.0250711349034</v>
      </c>
      <c r="L276" s="17" t="n">
        <f aca="false">'3. The decision'!$B$8*'3. The decision'!$B$5/J276</f>
        <v>35.0807908709139</v>
      </c>
      <c r="M276" s="31" t="n">
        <f aca="false">L276*'3. The decision'!$B$6*'3. The decision'!$B$7*K276</f>
        <v>1010973.77084041</v>
      </c>
      <c r="N276" s="31" t="n">
        <f aca="false">M276*(1+'3. The decision'!$B$19+'3. The decision'!$B$20+'3. The decision'!$B$22)</f>
        <v>1118136.99054949</v>
      </c>
      <c r="O276" s="31" t="n">
        <f aca="false">'3. The decision'!$B$17+'3. The decision'!$B$18*L276*12+M276*('3. The decision'!$B$20*(1-'3. The decision'!$B$21)+'3. The decision'!$B$23)+N276*('3. The decision'!$B$24+'3. The decision'!$B$25)</f>
        <v>589849.593402104</v>
      </c>
      <c r="P276" s="31" t="n">
        <f aca="false">N276-O276</f>
        <v>528287.397147385</v>
      </c>
    </row>
    <row r="277" customFormat="false" ht="15" hidden="false" customHeight="false" outlineLevel="0" collapsed="false">
      <c r="A277" s="27" t="n">
        <f aca="false">'3. The decision'!$B$13^(1/6)-1</f>
        <v>0.0837251922653912</v>
      </c>
      <c r="B277" s="27" t="n">
        <f aca="false">IF(A277&gt;0,MIN('3. The decision'!$B$15,'3. The decision'!$B$29*(A277/'3. The decision'!$B$28)^$B$148),0)</f>
        <v>0.0312756149012941</v>
      </c>
      <c r="C277" s="15" t="n">
        <f aca="false">(1-'3. The decision'!$B$27-B277)*(1-'3. The decision'!$B$27)^('3. The decision'!$B$12-1)</f>
        <v>0.639567184329437</v>
      </c>
      <c r="D277" s="15" t="n">
        <f aca="false">1+(1-'3. The decision'!$B$27-B277)*(1-(1-'3. The decision'!$B$27)^('3. The decision'!$B$12-1))/'3. The decision'!$B$27</f>
        <v>4.94973234239503</v>
      </c>
      <c r="E277" s="15" t="n">
        <f aca="false">(1-'3. The decision'!$B$14)*(1-'3. The decision'!$B$27)^('3. The decision'!$B$11-1)</f>
        <v>0.690273454655712</v>
      </c>
      <c r="F277" s="15" t="n">
        <f aca="false">1+(1-'3. The decision'!$B$14)*(1-(1-'3. The decision'!$B$27)^('3. The decision'!$B$11-1))/'3. The decision'!$B$27</f>
        <v>4.28912098262087</v>
      </c>
      <c r="G277" s="15" t="n">
        <f aca="false">(1-(1-'3. The decision'!$B$9*MIN(1,('3. The decision'!$B$10/(52/12)))))+(1-(1-'3. The decision'!$B$9*MAX(0,MIN(1,('3. The decision'!$B$10/(52/12))-1))))*(1-'3. The decision'!$B$14)+(1-(1-'3. The decision'!$B$9*MAX(0,MIN(1,('3. The decision'!$B$10/(52/12))-2))))*(1-'3. The decision'!$B$14)*(1-'3. The decision'!$B$27)</f>
        <v>0.884576923076923</v>
      </c>
      <c r="H277" s="15" t="n">
        <f aca="false">IF(A277&lt;=0,0,MAX(0,ROUNDUP(LN('3. The decision'!$B$13)/LN(1+A277)-0.000000000001,0)-1))</f>
        <v>5</v>
      </c>
      <c r="I277" s="15" t="n">
        <f aca="false">IF(A277&lt;=0,1/(1-C277),(1+A277)*(1-(C277*(1+A277))^H277)/(1-C277*(1+A277))+'3. The decision'!$B$13*C277^H277/(1-C277))</f>
        <v>3.44744870268942</v>
      </c>
      <c r="J277" s="17" t="n">
        <f aca="false">F277+E277*D277/(1-C277)</f>
        <v>13.7684710724556</v>
      </c>
      <c r="K277" s="15" t="n">
        <f aca="false">F277-G277+E277*D277*I277</f>
        <v>15.1833346319532</v>
      </c>
      <c r="L277" s="17" t="n">
        <f aca="false">'3. The decision'!$B$8*'3. The decision'!$B$5/J277</f>
        <v>34.1098149190679</v>
      </c>
      <c r="M277" s="31" t="n">
        <f aca="false">L277*'3. The decision'!$B$6*'3. The decision'!$B$7*K277</f>
        <v>993345.897270046</v>
      </c>
      <c r="N277" s="31" t="n">
        <f aca="false">M277*(1+'3. The decision'!$B$19+'3. The decision'!$B$20+'3. The decision'!$B$22)</f>
        <v>1098640.56238067</v>
      </c>
      <c r="O277" s="31" t="n">
        <f aca="false">'3. The decision'!$B$17+'3. The decision'!$B$18*L277*12+M277*('3. The decision'!$B$20*(1-'3. The decision'!$B$21)+'3. The decision'!$B$23)+N277*('3. The decision'!$B$24+'3. The decision'!$B$25)</f>
        <v>586481.492401416</v>
      </c>
      <c r="P277" s="31" t="n">
        <f aca="false">N277-O277</f>
        <v>512159.069979255</v>
      </c>
    </row>
    <row r="278" customFormat="false" ht="15" hidden="false" customHeight="false" outlineLevel="0" collapsed="false">
      <c r="A278" s="27" t="n">
        <f aca="false">'3. The decision'!$B$13^(1/7)-1</f>
        <v>0.0713483778230704</v>
      </c>
      <c r="B278" s="27" t="n">
        <f aca="false">IF(A278&gt;0,MIN('3. The decision'!$B$15,'3. The decision'!$B$29*(A278/'3. The decision'!$B$28)^$B$148),0)</f>
        <v>0.0227123335127168</v>
      </c>
      <c r="C278" s="15" t="n">
        <f aca="false">(1-'3. The decision'!$B$27-B278)*(1-'3. The decision'!$B$27)^('3. The decision'!$B$12-1)</f>
        <v>0.645637507695518</v>
      </c>
      <c r="D278" s="15" t="n">
        <f aca="false">1+(1-'3. The decision'!$B$27-B278)*(1-(1-'3. The decision'!$B$27)^('3. The decision'!$B$12-1))/'3. The decision'!$B$27</f>
        <v>4.98722043295888</v>
      </c>
      <c r="E278" s="15" t="n">
        <f aca="false">(1-'3. The decision'!$B$14)*(1-'3. The decision'!$B$27)^('3. The decision'!$B$11-1)</f>
        <v>0.690273454655712</v>
      </c>
      <c r="F278" s="15" t="n">
        <f aca="false">1+(1-'3. The decision'!$B$14)*(1-(1-'3. The decision'!$B$27)^('3. The decision'!$B$11-1))/'3. The decision'!$B$27</f>
        <v>4.28912098262087</v>
      </c>
      <c r="G278" s="15" t="n">
        <f aca="false">(1-(1-'3. The decision'!$B$9*MIN(1,('3. The decision'!$B$10/(52/12)))))+(1-(1-'3. The decision'!$B$9*MAX(0,MIN(1,('3. The decision'!$B$10/(52/12))-1))))*(1-'3. The decision'!$B$14)+(1-(1-'3. The decision'!$B$9*MAX(0,MIN(1,('3. The decision'!$B$10/(52/12))-2))))*(1-'3. The decision'!$B$14)*(1-'3. The decision'!$B$27)</f>
        <v>0.884576923076923</v>
      </c>
      <c r="H278" s="15" t="n">
        <f aca="false">IF(A278&lt;=0,0,MAX(0,ROUNDUP(LN('3. The decision'!$B$13)/LN(1+A278)-0.000000000001,0)-1))</f>
        <v>6</v>
      </c>
      <c r="I278" s="15" t="n">
        <f aca="false">IF(A278&lt;=0,1/(1-C278),(1+A278)*(1-(C278*(1+A278))^H278)/(1-C278*(1+A278))+'3. The decision'!$B$13*C278^H278/(1-C278))</f>
        <v>3.42557251063522</v>
      </c>
      <c r="J278" s="17" t="n">
        <f aca="false">F278+E278*D278/(1-C278)</f>
        <v>14.0038790401133</v>
      </c>
      <c r="K278" s="15" t="n">
        <f aca="false">F278-G278+E278*D278*I278</f>
        <v>15.1972345837252</v>
      </c>
      <c r="L278" s="17" t="n">
        <f aca="false">'3. The decision'!$B$8*'3. The decision'!$B$5/J278</f>
        <v>33.5364222052149</v>
      </c>
      <c r="M278" s="31" t="n">
        <f aca="false">L278*'3. The decision'!$B$6*'3. The decision'!$B$7*K278</f>
        <v>977541.652572067</v>
      </c>
      <c r="N278" s="31" t="n">
        <f aca="false">M278*(1+'3. The decision'!$B$19+'3. The decision'!$B$20+'3. The decision'!$B$22)</f>
        <v>1081161.06774471</v>
      </c>
      <c r="O278" s="31" t="n">
        <f aca="false">'3. The decision'!$B$17+'3. The decision'!$B$18*L278*12+M278*('3. The decision'!$B$20*(1-'3. The decision'!$B$21)+'3. The decision'!$B$23)+N278*('3. The decision'!$B$24+'3. The decision'!$B$25)</f>
        <v>583911.93508436</v>
      </c>
      <c r="P278" s="31" t="n">
        <f aca="false">N278-O278</f>
        <v>497249.132660346</v>
      </c>
    </row>
    <row r="279" customFormat="false" ht="15" hidden="false" customHeight="false" outlineLevel="0" collapsed="false">
      <c r="A279" s="27" t="n">
        <f aca="false">'3. The decision'!$B$13^(1/8)-1</f>
        <v>0.062158617121717</v>
      </c>
      <c r="B279" s="27" t="n">
        <f aca="false">IF(A279&gt;0,MIN('3. The decision'!$B$15,'3. The decision'!$B$29*(A279/'3. The decision'!$B$28)^$B$148),0)</f>
        <v>0.0172383715756285</v>
      </c>
      <c r="C279" s="15" t="n">
        <f aca="false">(1-'3. The decision'!$B$27-B279)*(1-'3. The decision'!$B$27)^('3. The decision'!$B$12-1)</f>
        <v>0.649517879896772</v>
      </c>
      <c r="D279" s="15" t="n">
        <f aca="false">1+(1-'3. The decision'!$B$27-B279)*(1-(1-'3. The decision'!$B$27)^('3. The decision'!$B$12-1))/'3. The decision'!$B$27</f>
        <v>5.01118418838496</v>
      </c>
      <c r="E279" s="15" t="n">
        <f aca="false">(1-'3. The decision'!$B$14)*(1-'3. The decision'!$B$27)^('3. The decision'!$B$11-1)</f>
        <v>0.690273454655712</v>
      </c>
      <c r="F279" s="15" t="n">
        <f aca="false">1+(1-'3. The decision'!$B$14)*(1-(1-'3. The decision'!$B$27)^('3. The decision'!$B$11-1))/'3. The decision'!$B$27</f>
        <v>4.28912098262087</v>
      </c>
      <c r="G279" s="15" t="n">
        <f aca="false">(1-(1-'3. The decision'!$B$9*MIN(1,('3. The decision'!$B$10/(52/12)))))+(1-(1-'3. The decision'!$B$9*MAX(0,MIN(1,('3. The decision'!$B$10/(52/12))-1))))*(1-'3. The decision'!$B$14)+(1-(1-'3. The decision'!$B$9*MAX(0,MIN(1,('3. The decision'!$B$10/(52/12))-2))))*(1-'3. The decision'!$B$14)*(1-'3. The decision'!$B$27)</f>
        <v>0.884576923076923</v>
      </c>
      <c r="H279" s="15" t="n">
        <f aca="false">IF(A279&lt;=0,0,MAX(0,ROUNDUP(LN('3. The decision'!$B$13)/LN(1+A279)-0.000000000001,0)-1))</f>
        <v>7</v>
      </c>
      <c r="I279" s="15" t="n">
        <f aca="false">IF(A279&lt;=0,1/(1-C279),(1+A279)*(1-(C279*(1+A279))^H279)/(1-C279*(1+A279))+'3. The decision'!$B$13*C279^H279/(1-C279))</f>
        <v>3.39576686154992</v>
      </c>
      <c r="J279" s="17" t="n">
        <f aca="false">F279+E279*D279/(1-C279)</f>
        <v>14.1586327871425</v>
      </c>
      <c r="K279" s="15" t="n">
        <f aca="false">F279-G279+E279*D279*I279</f>
        <v>15.150798497128</v>
      </c>
      <c r="L279" s="17" t="n">
        <f aca="false">'3. The decision'!$B$8*'3. The decision'!$B$5/J279</f>
        <v>33.1698693694834</v>
      </c>
      <c r="M279" s="31" t="n">
        <f aca="false">L279*'3. The decision'!$B$6*'3. The decision'!$B$7*K279</f>
        <v>963902.838328187</v>
      </c>
      <c r="N279" s="31" t="n">
        <f aca="false">M279*(1+'3. The decision'!$B$19+'3. The decision'!$B$20+'3. The decision'!$B$22)</f>
        <v>1066076.53919098</v>
      </c>
      <c r="O279" s="31" t="n">
        <f aca="false">'3. The decision'!$B$17+'3. The decision'!$B$18*L279*12+M279*('3. The decision'!$B$20*(1-'3. The decision'!$B$21)+'3. The decision'!$B$23)+N279*('3. The decision'!$B$24+'3. The decision'!$B$25)</f>
        <v>581888.764304134</v>
      </c>
      <c r="P279" s="31" t="n">
        <f aca="false">N279-O279</f>
        <v>484187.774886841</v>
      </c>
    </row>
    <row r="280" customFormat="false" ht="15" hidden="false" customHeight="false" outlineLevel="0" collapsed="false">
      <c r="A280" s="27" t="n">
        <f aca="false">'3. The decision'!$B$13^(1/9)-1</f>
        <v>0.0550655582002784</v>
      </c>
      <c r="B280" s="27" t="n">
        <f aca="false">IF(A280&gt;0,MIN('3. The decision'!$B$15,'3. The decision'!$B$29*(A280/'3. The decision'!$B$28)^$B$148),0)</f>
        <v>0.0135286244790671</v>
      </c>
      <c r="C280" s="15" t="n">
        <f aca="false">(1-'3. The decision'!$B$27-B280)*(1-'3. The decision'!$B$27)^('3. The decision'!$B$12-1)</f>
        <v>0.652147638684396</v>
      </c>
      <c r="D280" s="15" t="n">
        <f aca="false">1+(1-'3. The decision'!$B$27-B280)*(1-(1-'3. The decision'!$B$27)^('3. The decision'!$B$12-1))/'3. The decision'!$B$27</f>
        <v>5.02742461408327</v>
      </c>
      <c r="E280" s="15" t="n">
        <f aca="false">(1-'3. The decision'!$B$14)*(1-'3. The decision'!$B$27)^('3. The decision'!$B$11-1)</f>
        <v>0.690273454655712</v>
      </c>
      <c r="F280" s="15" t="n">
        <f aca="false">1+(1-'3. The decision'!$B$14)*(1-(1-'3. The decision'!$B$27)^('3. The decision'!$B$11-1))/'3. The decision'!$B$27</f>
        <v>4.28912098262087</v>
      </c>
      <c r="G280" s="15" t="n">
        <f aca="false">(1-(1-'3. The decision'!$B$9*MIN(1,('3. The decision'!$B$10/(52/12)))))+(1-(1-'3. The decision'!$B$9*MAX(0,MIN(1,('3. The decision'!$B$10/(52/12))-1))))*(1-'3. The decision'!$B$14)+(1-(1-'3. The decision'!$B$9*MAX(0,MIN(1,('3. The decision'!$B$10/(52/12))-2))))*(1-'3. The decision'!$B$14)*(1-'3. The decision'!$B$27)</f>
        <v>0.884576923076923</v>
      </c>
      <c r="H280" s="15" t="n">
        <f aca="false">IF(A280&lt;=0,0,MAX(0,ROUNDUP(LN('3. The decision'!$B$13)/LN(1+A280)-0.000000000001,0)-1))</f>
        <v>8</v>
      </c>
      <c r="I280" s="15" t="n">
        <f aca="false">IF(A280&lt;=0,1/(1-C280),(1+A280)*(1-(C280*(1+A280))^H280)/(1-C280*(1+A280))+'3. The decision'!$B$13*C280^H280/(1-C280))</f>
        <v>3.36471425380085</v>
      </c>
      <c r="J280" s="17" t="n">
        <f aca="false">F280+E280*D280/(1-C280)</f>
        <v>14.2654734307097</v>
      </c>
      <c r="K280" s="15" t="n">
        <f aca="false">F280-G280+E280*D280*I280</f>
        <v>15.0811043853837</v>
      </c>
      <c r="L280" s="17" t="n">
        <f aca="false">'3. The decision'!$B$8*'3. The decision'!$B$5/J280</f>
        <v>32.9214450737395</v>
      </c>
      <c r="M280" s="31" t="n">
        <f aca="false">L280*'3. The decision'!$B$6*'3. The decision'!$B$7*K280</f>
        <v>952282.957036316</v>
      </c>
      <c r="N280" s="31" t="n">
        <f aca="false">M280*(1+'3. The decision'!$B$19+'3. The decision'!$B$20+'3. The decision'!$B$22)</f>
        <v>1053224.95048217</v>
      </c>
      <c r="O280" s="31" t="n">
        <f aca="false">'3. The decision'!$B$17+'3. The decision'!$B$18*L280*12+M280*('3. The decision'!$B$20*(1-'3. The decision'!$B$21)+'3. The decision'!$B$23)+N280*('3. The decision'!$B$24+'3. The decision'!$B$25)</f>
        <v>580261.830162961</v>
      </c>
      <c r="P280" s="31" t="n">
        <f aca="false">N280-O280</f>
        <v>472963.120319205</v>
      </c>
    </row>
    <row r="281" customFormat="false" ht="15" hidden="false" customHeight="false" outlineLevel="0" collapsed="false">
      <c r="A281" s="27" t="n">
        <f aca="false">'3. The decision'!$B$13^(1/10)-1</f>
        <v>0.0494252306643652</v>
      </c>
      <c r="B281" s="27" t="n">
        <f aca="false">IF(A281&gt;0,MIN('3. The decision'!$B$15,'3. The decision'!$B$29*(A281/'3. The decision'!$B$28)^$B$148),0)</f>
        <v>0.010899108088455</v>
      </c>
      <c r="C281" s="15" t="n">
        <f aca="false">(1-'3. The decision'!$B$27-B281)*(1-'3. The decision'!$B$27)^('3. The decision'!$B$12-1)</f>
        <v>0.654011645490095</v>
      </c>
      <c r="D281" s="15" t="n">
        <f aca="false">1+(1-'3. The decision'!$B$27-B281)*(1-(1-'3. The decision'!$B$27)^('3. The decision'!$B$12-1))/'3. The decision'!$B$27</f>
        <v>5.03893603641278</v>
      </c>
      <c r="E281" s="15" t="n">
        <f aca="false">(1-'3. The decision'!$B$14)*(1-'3. The decision'!$B$27)^('3. The decision'!$B$11-1)</f>
        <v>0.690273454655712</v>
      </c>
      <c r="F281" s="15" t="n">
        <f aca="false">1+(1-'3. The decision'!$B$14)*(1-(1-'3. The decision'!$B$27)^('3. The decision'!$B$11-1))/'3. The decision'!$B$27</f>
        <v>4.28912098262087</v>
      </c>
      <c r="G281" s="15" t="n">
        <f aca="false">(1-(1-'3. The decision'!$B$9*MIN(1,('3. The decision'!$B$10/(52/12)))))+(1-(1-'3. The decision'!$B$9*MAX(0,MIN(1,('3. The decision'!$B$10/(52/12))-1))))*(1-'3. The decision'!$B$14)+(1-(1-'3. The decision'!$B$9*MAX(0,MIN(1,('3. The decision'!$B$10/(52/12))-2))))*(1-'3. The decision'!$B$14)*(1-'3. The decision'!$B$27)</f>
        <v>0.884576923076923</v>
      </c>
      <c r="H281" s="15" t="n">
        <f aca="false">IF(A281&lt;=0,0,MAX(0,ROUNDUP(LN('3. The decision'!$B$13)/LN(1+A281)-0.000000000001,0)-1))</f>
        <v>9</v>
      </c>
      <c r="I281" s="15" t="n">
        <f aca="false">IF(A281&lt;=0,1/(1-C281),(1+A281)*(1-(C281*(1+A281))^H281)/(1-C281*(1+A281))+'3. The decision'!$B$13*C281^H281/(1-C281))</f>
        <v>3.3351389786904</v>
      </c>
      <c r="J281" s="17" t="n">
        <f aca="false">F281+E281*D281/(1-C281)</f>
        <v>14.3421870477223</v>
      </c>
      <c r="K281" s="15" t="n">
        <f aca="false">F281-G281+E281*D281*I281</f>
        <v>15.0049704864323</v>
      </c>
      <c r="L281" s="17" t="n">
        <f aca="false">'3. The decision'!$B$8*'3. The decision'!$B$5/J281</f>
        <v>32.7453545569665</v>
      </c>
      <c r="M281" s="31" t="n">
        <f aca="false">L281*'3. The decision'!$B$6*'3. The decision'!$B$7*K281</f>
        <v>942407.683925402</v>
      </c>
      <c r="N281" s="31" t="n">
        <f aca="false">M281*(1+'3. The decision'!$B$19+'3. The decision'!$B$20+'3. The decision'!$B$22)</f>
        <v>1042302.89842149</v>
      </c>
      <c r="O281" s="31" t="n">
        <f aca="false">'3. The decision'!$B$17+'3. The decision'!$B$18*L281*12+M281*('3. The decision'!$B$20*(1-'3. The decision'!$B$21)+'3. The decision'!$B$23)+N281*('3. The decision'!$B$24+'3. The decision'!$B$25)</f>
        <v>578932.236520003</v>
      </c>
      <c r="P281" s="31" t="n">
        <f aca="false">N281-O281</f>
        <v>463370.661901492</v>
      </c>
    </row>
    <row r="282" customFormat="false" ht="15" hidden="false" customHeight="false" outlineLevel="0" collapsed="false">
      <c r="A282" s="27" t="n">
        <f aca="false">'3. The decision'!$B$13^(1/11)-1</f>
        <v>0.0448328522867396</v>
      </c>
      <c r="B282" s="27" t="n">
        <f aca="false">IF(A282&gt;0,MIN('3. The decision'!$B$15,'3. The decision'!$B$29*(A282/'3. The decision'!$B$28)^$B$148),0)</f>
        <v>0.00896780775207293</v>
      </c>
      <c r="C282" s="15" t="n">
        <f aca="false">(1-'3. The decision'!$B$27-B282)*(1-'3. The decision'!$B$27)^('3. The decision'!$B$12-1)</f>
        <v>0.655380702166721</v>
      </c>
      <c r="D282" s="15" t="n">
        <f aca="false">1+(1-'3. The decision'!$B$27-B282)*(1-(1-'3. The decision'!$B$27)^('3. The decision'!$B$12-1))/'3. The decision'!$B$27</f>
        <v>5.04739082828881</v>
      </c>
      <c r="E282" s="15" t="n">
        <f aca="false">(1-'3. The decision'!$B$14)*(1-'3. The decision'!$B$27)^('3. The decision'!$B$11-1)</f>
        <v>0.690273454655712</v>
      </c>
      <c r="F282" s="15" t="n">
        <f aca="false">1+(1-'3. The decision'!$B$14)*(1-(1-'3. The decision'!$B$27)^('3. The decision'!$B$11-1))/'3. The decision'!$B$27</f>
        <v>4.28912098262087</v>
      </c>
      <c r="G282" s="15" t="n">
        <f aca="false">(1-(1-'3. The decision'!$B$9*MIN(1,('3. The decision'!$B$10/(52/12)))))+(1-(1-'3. The decision'!$B$9*MAX(0,MIN(1,('3. The decision'!$B$10/(52/12))-1))))*(1-'3. The decision'!$B$14)+(1-(1-'3. The decision'!$B$9*MAX(0,MIN(1,('3. The decision'!$B$10/(52/12))-2))))*(1-'3. The decision'!$B$14)*(1-'3. The decision'!$B$27)</f>
        <v>0.884576923076923</v>
      </c>
      <c r="H282" s="15" t="n">
        <f aca="false">IF(A282&lt;=0,0,MAX(0,ROUNDUP(LN('3. The decision'!$B$13)/LN(1+A282)-0.000000000001,0)-1))</f>
        <v>10</v>
      </c>
      <c r="I282" s="15" t="n">
        <f aca="false">IF(A282&lt;=0,1/(1-C282),(1+A282)*(1-(C282*(1+A282))^H282)/(1-C282*(1+A282))+'3. The decision'!$B$13*C282^H282/(1-C282))</f>
        <v>3.30803332474129</v>
      </c>
      <c r="J282" s="17" t="n">
        <f aca="false">F282+E282*D282/(1-C282)</f>
        <v>14.3990594740109</v>
      </c>
      <c r="K282" s="15" t="n">
        <f aca="false">F282-G282+E282*D282*I282</f>
        <v>14.9299964881713</v>
      </c>
      <c r="L282" s="17" t="n">
        <f aca="false">'3. The decision'!$B$8*'3. The decision'!$B$5/J282</f>
        <v>32.616019181507</v>
      </c>
      <c r="M282" s="31" t="n">
        <f aca="false">L282*'3. The decision'!$B$6*'3. The decision'!$B$7*K282</f>
        <v>933995.18033843</v>
      </c>
      <c r="N282" s="31" t="n">
        <f aca="false">M282*(1+'3. The decision'!$B$19+'3. The decision'!$B$20+'3. The decision'!$B$22)</f>
        <v>1032998.6694543</v>
      </c>
      <c r="O282" s="31" t="n">
        <f aca="false">'3. The decision'!$B$17+'3. The decision'!$B$18*L282*12+M282*('3. The decision'!$B$20*(1-'3. The decision'!$B$21)+'3. The decision'!$B$23)+N282*('3. The decision'!$B$24+'3. The decision'!$B$25)</f>
        <v>577830.902576511</v>
      </c>
      <c r="P282" s="31" t="n">
        <f aca="false">N282-O282</f>
        <v>455167.766877792</v>
      </c>
    </row>
    <row r="283" customFormat="false" ht="15" hidden="false" customHeight="false" outlineLevel="0" collapsed="false">
      <c r="A283" s="27" t="n">
        <f aca="false">'3. The decision'!$B$13^(1/12)-1</f>
        <v>0.0410212256555538</v>
      </c>
      <c r="B283" s="27" t="n">
        <f aca="false">IF(A283&gt;0,MIN('3. The decision'!$B$15,'3. The decision'!$B$29*(A283/'3. The decision'!$B$28)^$B$148),0)</f>
        <v>0.00750776749383044</v>
      </c>
      <c r="C283" s="15" t="n">
        <f aca="false">(1-'3. The decision'!$B$27-B283)*(1-'3. The decision'!$B$27)^('3. The decision'!$B$12-1)</f>
        <v>0.656415692854619</v>
      </c>
      <c r="D283" s="15" t="n">
        <f aca="false">1+(1-'3. The decision'!$B$27-B283)*(1-(1-'3. The decision'!$B$27)^('3. The decision'!$B$12-1))/'3. The decision'!$B$27</f>
        <v>5.05378255115113</v>
      </c>
      <c r="E283" s="15" t="n">
        <f aca="false">(1-'3. The decision'!$B$14)*(1-'3. The decision'!$B$27)^('3. The decision'!$B$11-1)</f>
        <v>0.690273454655712</v>
      </c>
      <c r="F283" s="15" t="n">
        <f aca="false">1+(1-'3. The decision'!$B$14)*(1-(1-'3. The decision'!$B$27)^('3. The decision'!$B$11-1))/'3. The decision'!$B$27</f>
        <v>4.28912098262087</v>
      </c>
      <c r="G283" s="15" t="n">
        <f aca="false">(1-(1-'3. The decision'!$B$9*MIN(1,('3. The decision'!$B$10/(52/12)))))+(1-(1-'3. The decision'!$B$9*MAX(0,MIN(1,('3. The decision'!$B$10/(52/12))-1))))*(1-'3. The decision'!$B$14)+(1-(1-'3. The decision'!$B$9*MAX(0,MIN(1,('3. The decision'!$B$10/(52/12))-2))))*(1-'3. The decision'!$B$14)*(1-'3. The decision'!$B$27)</f>
        <v>0.884576923076923</v>
      </c>
      <c r="H283" s="15" t="n">
        <f aca="false">IF(A283&lt;=0,0,MAX(0,ROUNDUP(LN('3. The decision'!$B$13)/LN(1+A283)-0.000000000001,0)-1))</f>
        <v>11</v>
      </c>
      <c r="I283" s="15" t="n">
        <f aca="false">IF(A283&lt;=0,1/(1-C283),(1+A283)*(1-(C283*(1+A283))^H283)/(1-C283*(1+A283))+'3. The decision'!$B$13*C283^H283/(1-C283))</f>
        <v>3.28362352741432</v>
      </c>
      <c r="J283" s="17" t="n">
        <f aca="false">F283+E283*D283/(1-C283)</f>
        <v>14.4423551906831</v>
      </c>
      <c r="K283" s="15" t="n">
        <f aca="false">F283-G283+E283*D283*I283</f>
        <v>14.8594382710964</v>
      </c>
      <c r="L283" s="17" t="n">
        <f aca="false">'3. The decision'!$B$8*'3. The decision'!$B$5/J283</f>
        <v>32.5182419210247</v>
      </c>
      <c r="M283" s="31" t="n">
        <f aca="false">L283*'3. The decision'!$B$6*'3. The decision'!$B$7*K283</f>
        <v>926794.452551624</v>
      </c>
      <c r="N283" s="31" t="n">
        <f aca="false">M283*(1+'3. The decision'!$B$19+'3. The decision'!$B$20+'3. The decision'!$B$22)</f>
        <v>1025034.6645221</v>
      </c>
      <c r="O283" s="31" t="n">
        <f aca="false">'3. The decision'!$B$17+'3. The decision'!$B$18*L283*12+M283*('3. The decision'!$B$20*(1-'3. The decision'!$B$21)+'3. The decision'!$B$23)+N283*('3. The decision'!$B$24+'3. The decision'!$B$25)</f>
        <v>576907.793682779</v>
      </c>
      <c r="P283" s="31" t="n">
        <f aca="false">N283-O283</f>
        <v>448126.870839317</v>
      </c>
    </row>
    <row r="284" customFormat="false" ht="15" hidden="false" customHeight="false" outlineLevel="0" collapsed="false">
      <c r="A284" s="27" t="n">
        <f aca="false">IF(OR(MATCH(MAX(P151:P271),P151:P271,0)=1,MATCH(MAX(P151:P271),P151:P271,0)=121),INDEX(A151:A271,MATCH(MAX(P151:P271),P151:P271,0)),INDEX(A151:A271,MATCH(MAX(P151:P271),P151:P271,0))-0.0025/2*(INDEX(P151:P271,MATCH(MAX(P151:P271),P151:P271,0)+1)-INDEX(P151:P271,MATCH(MAX(P151:P271),P151:P271,0)-1))/(INDEX(P151:P271,MATCH(MAX(P151:P271),P151:P271,0)+1)-2*INDEX(P151:P271,MATCH(MAX(P151:P271),P151:P271,0))+INDEX(P151:P271,MATCH(MAX(P151:P271),P151:P271,0)-1)))</f>
        <v>0.164273630260154</v>
      </c>
      <c r="B284" s="27" t="n">
        <f aca="false">IF(A284&gt;0,MIN('3. The decision'!$B$15,'3. The decision'!$B$29*(A284/'3. The decision'!$B$28)^$B$148),0)</f>
        <v>0.120400768584993</v>
      </c>
      <c r="C284" s="15" t="n">
        <f aca="false">(1-'3. The decision'!$B$27-B284)*(1-'3. The decision'!$B$27)^('3. The decision'!$B$12-1)</f>
        <v>0.576388307172204</v>
      </c>
      <c r="D284" s="15" t="n">
        <f aca="false">1+(1-'3. The decision'!$B$27-B284)*(1-(1-'3. The decision'!$B$27)^('3. The decision'!$B$12-1))/'3. The decision'!$B$27</f>
        <v>4.55956277056848</v>
      </c>
      <c r="E284" s="15" t="n">
        <f aca="false">(1-'3. The decision'!$B$14)*(1-'3. The decision'!$B$27)^('3. The decision'!$B$11-1)</f>
        <v>0.690273454655712</v>
      </c>
      <c r="F284" s="15" t="n">
        <f aca="false">1+(1-'3. The decision'!$B$14)*(1-(1-'3. The decision'!$B$27)^('3. The decision'!$B$11-1))/'3. The decision'!$B$27</f>
        <v>4.28912098262087</v>
      </c>
      <c r="G284" s="15" t="n">
        <f aca="false">(1-(1-'3. The decision'!$B$9*MIN(1,('3. The decision'!$B$10/(52/12)))))+(1-(1-'3. The decision'!$B$9*MAX(0,MIN(1,('3. The decision'!$B$10/(52/12))-1))))*(1-'3. The decision'!$B$14)+(1-(1-'3. The decision'!$B$9*MAX(0,MIN(1,('3. The decision'!$B$10/(52/12))-2))))*(1-'3. The decision'!$B$14)*(1-'3. The decision'!$B$27)</f>
        <v>0.884576923076923</v>
      </c>
      <c r="H284" s="15" t="n">
        <f aca="false">IF(A284&lt;=0,0,MAX(0,ROUNDUP(LN('3. The decision'!$B$13)/LN(1+A284)-0.000000000001,0)-1))</f>
        <v>3</v>
      </c>
      <c r="I284" s="15" t="n">
        <f aca="false">IF(A284&lt;=0,1/(1-C284),(1+A284)*(1-(C284*(1+A284))^H284)/(1-C284*(1+A284))+'3. The decision'!$B$13*C284^H284/(1-C284))</f>
        <v>3.20221189181649</v>
      </c>
      <c r="J284" s="17" t="n">
        <f aca="false">F284+E284*D284/(1-C284)</f>
        <v>11.7189091557233</v>
      </c>
      <c r="K284" s="15" t="n">
        <f aca="false">F284-G284+E284*D284*I284</f>
        <v>13.4830101116662</v>
      </c>
      <c r="L284" s="17" t="n">
        <f aca="false">'3. The decision'!$B$8*'3. The decision'!$B$5/J284</f>
        <v>40.0754023910694</v>
      </c>
      <c r="M284" s="31" t="n">
        <f aca="false">L284*'3. The decision'!$B$6*'3. The decision'!$B$7*K284</f>
        <v>1036379.29432825</v>
      </c>
      <c r="N284" s="31" t="n">
        <f aca="false">M284*(1+'3. The decision'!$B$19+'3. The decision'!$B$20+'3. The decision'!$B$22)</f>
        <v>1146235.49952705</v>
      </c>
      <c r="O284" s="31" t="n">
        <f aca="false">'3. The decision'!$B$17+'3. The decision'!$B$18*L284*12+M284*('3. The decision'!$B$20*(1-'3. The decision'!$B$21)+'3. The decision'!$B$23)+N284*('3. The decision'!$B$24+'3. The decision'!$B$25)</f>
        <v>600149.913139887</v>
      </c>
      <c r="P284" s="31" t="n">
        <f aca="false">N284-O284</f>
        <v>546085.586387159</v>
      </c>
    </row>
    <row r="286" customFormat="false" ht="15" hidden="false" customHeight="false" outlineLevel="0" collapsed="false">
      <c r="A286" s="13" t="s">
        <v>99</v>
      </c>
      <c r="B286" s="34" t="n">
        <f aca="false">INDEX(A151:A284,MATCH(MAX(P151:P284),P151:P284,0))</f>
        <v>0.164273630260154</v>
      </c>
    </row>
    <row r="287" customFormat="false" ht="15" hidden="false" customHeight="false" outlineLevel="0" collapsed="false">
      <c r="A287" s="13" t="s">
        <v>89</v>
      </c>
      <c r="B287" s="35" t="n">
        <f aca="false">MAX(P151:P284)</f>
        <v>546085.586387159</v>
      </c>
    </row>
    <row r="288" customFormat="false" ht="15" hidden="false" customHeight="false" outlineLevel="0" collapsed="false">
      <c r="A288" s="13" t="s">
        <v>125</v>
      </c>
      <c r="B288" s="36" t="n">
        <f aca="false">INDEX(J151:J284,MATCH(MAX(P151:P284),P151:P284,0))</f>
        <v>11.7189091557233</v>
      </c>
    </row>
    <row r="289" customFormat="false" ht="15" hidden="false" customHeight="false" outlineLevel="0" collapsed="false">
      <c r="A289" s="13" t="s">
        <v>126</v>
      </c>
      <c r="B289" s="0" t="str">
        <f aca="false">IF(AND(MATCH(MAX(P151:P271),P151:P271,0)&gt;1,MATCH(MAX(P151:P271),P151:P271,0)&lt;121),"yes","no — widen the range")</f>
        <v>yes</v>
      </c>
    </row>
    <row r="292" customFormat="false" ht="15" hidden="false" customHeight="false" outlineLevel="0" collapsed="false">
      <c r="A292" s="13" t="s">
        <v>128</v>
      </c>
      <c r="B292" s="19" t="n">
        <f aca="false">'3. The decision'!$B$30*1</f>
        <v>2.4</v>
      </c>
    </row>
    <row r="293" customFormat="false" ht="15" hidden="false" customHeight="false" outlineLevel="0" collapsed="false">
      <c r="A293" s="13"/>
    </row>
    <row r="294" customFormat="false" ht="15" hidden="false" customHeight="false" outlineLevel="0" collapsed="false">
      <c r="A294" s="28" t="s">
        <v>109</v>
      </c>
      <c r="B294" s="28" t="s">
        <v>110</v>
      </c>
      <c r="C294" s="28" t="s">
        <v>111</v>
      </c>
      <c r="D294" s="28" t="s">
        <v>112</v>
      </c>
      <c r="E294" s="28" t="s">
        <v>113</v>
      </c>
      <c r="F294" s="28" t="s">
        <v>114</v>
      </c>
      <c r="G294" s="28" t="s">
        <v>115</v>
      </c>
      <c r="H294" s="28" t="s">
        <v>116</v>
      </c>
      <c r="I294" s="28" t="s">
        <v>117</v>
      </c>
      <c r="J294" s="28" t="s">
        <v>118</v>
      </c>
      <c r="K294" s="28" t="s">
        <v>119</v>
      </c>
      <c r="L294" s="28" t="s">
        <v>120</v>
      </c>
      <c r="M294" s="28" t="s">
        <v>121</v>
      </c>
      <c r="N294" s="28" t="s">
        <v>122</v>
      </c>
      <c r="O294" s="28" t="s">
        <v>123</v>
      </c>
      <c r="P294" s="28" t="s">
        <v>124</v>
      </c>
    </row>
    <row r="295" customFormat="false" ht="15" hidden="false" customHeight="false" outlineLevel="0" collapsed="false">
      <c r="A295" s="27" t="n">
        <f aca="false">0*0.0025</f>
        <v>0</v>
      </c>
      <c r="B295" s="27" t="n">
        <f aca="false">IF(A295&gt;0,MIN('3. The decision'!$B$15,'3. The decision'!$B$29*(A295/'3. The decision'!$B$28)^$B$292),0)</f>
        <v>0</v>
      </c>
      <c r="C295" s="15" t="n">
        <f aca="false">(1-'3. The decision'!$B$27-B295)*(1-'3. The decision'!$B$27)^('3. The decision'!$B$12-1)</f>
        <v>0.661737785447033</v>
      </c>
      <c r="D295" s="15" t="n">
        <f aca="false">1+(1-'3. The decision'!$B$27-B295)*(1-(1-'3. The decision'!$B$27)^('3. The decision'!$B$12-1))/'3. The decision'!$B$27</f>
        <v>5.08664984290175</v>
      </c>
      <c r="E295" s="15" t="n">
        <f aca="false">(1-'3. The decision'!$B$14)*(1-'3. The decision'!$B$27)^('3. The decision'!$B$11-1)</f>
        <v>0.690273454655712</v>
      </c>
      <c r="F295" s="15" t="n">
        <f aca="false">1+(1-'3. The decision'!$B$14)*(1-(1-'3. The decision'!$B$27)^('3. The decision'!$B$11-1))/'3. The decision'!$B$27</f>
        <v>4.28912098262087</v>
      </c>
      <c r="G295" s="15" t="n">
        <f aca="false">(1-(1-'3. The decision'!$B$9*MIN(1,('3. The decision'!$B$10/(52/12)))))+(1-(1-'3. The decision'!$B$9*MAX(0,MIN(1,('3. The decision'!$B$10/(52/12))-1))))*(1-'3. The decision'!$B$14)+(1-(1-'3. The decision'!$B$9*MAX(0,MIN(1,('3. The decision'!$B$10/(52/12))-2))))*(1-'3. The decision'!$B$14)*(1-'3. The decision'!$B$27)</f>
        <v>0.884576923076923</v>
      </c>
      <c r="H295" s="15" t="n">
        <f aca="false">IF(A295&lt;=0,0,MAX(0,ROUNDUP(LN('3. The decision'!$B$13)/LN(1+A295)-0.000000000001,0)-1))</f>
        <v>0</v>
      </c>
      <c r="I295" s="15" t="n">
        <f aca="false">IF(A295&lt;=0,1/(1-C295),(1+A295)*(1-(C295*(1+A295))^H295)/(1-C295*(1+A295))+'3. The decision'!$B$13*C295^H295/(1-C295))</f>
        <v>2.95628644577272</v>
      </c>
      <c r="J295" s="17" t="n">
        <f aca="false">F295+E295*D295/(1-C295)</f>
        <v>14.6691729323308</v>
      </c>
      <c r="K295" s="15" t="n">
        <f aca="false">F295-G295+E295*D295*I295</f>
        <v>13.7845960092539</v>
      </c>
      <c r="L295" s="17" t="n">
        <f aca="false">'3. The decision'!$B$8*'3. The decision'!$B$5/J295</f>
        <v>32.0154382368016</v>
      </c>
      <c r="M295" s="31" t="n">
        <f aca="false">L295*'3. The decision'!$B$6*'3. The decision'!$B$7*K295</f>
        <v>846462.005967676</v>
      </c>
      <c r="N295" s="31" t="n">
        <f aca="false">M295*(1+'3. The decision'!$B$19+'3. The decision'!$B$20+'3. The decision'!$B$22)</f>
        <v>936186.97860025</v>
      </c>
      <c r="O295" s="31" t="n">
        <f aca="false">'3. The decision'!$B$17+'3. The decision'!$B$18*L295*12+M295*('3. The decision'!$B$20*(1-'3. The decision'!$B$21)+'3. The decision'!$B$23)+N295*('3. The decision'!$B$24+'3. The decision'!$B$25)</f>
        <v>567500.190131996</v>
      </c>
      <c r="P295" s="31" t="n">
        <f aca="false">N295-O295</f>
        <v>368686.788468253</v>
      </c>
    </row>
    <row r="296" customFormat="false" ht="15" hidden="false" customHeight="false" outlineLevel="0" collapsed="false">
      <c r="A296" s="27" t="n">
        <f aca="false">1*0.0025</f>
        <v>0.0025</v>
      </c>
      <c r="B296" s="27" t="n">
        <f aca="false">IF(A296&gt;0,MIN('3. The decision'!$B$15,'3. The decision'!$B$29*(A296/'3. The decision'!$B$28)^$B$292),0)</f>
        <v>6.90277996338728E-006</v>
      </c>
      <c r="C296" s="15" t="n">
        <f aca="false">(1-'3. The decision'!$B$27-B296)*(1-'3. The decision'!$B$27)^('3. The decision'!$B$12-1)</f>
        <v>0.661732892216903</v>
      </c>
      <c r="D296" s="15" t="n">
        <f aca="false">1+(1-'3. The decision'!$B$27-B296)*(1-(1-'3. The decision'!$B$27)^('3. The decision'!$B$12-1))/'3. The decision'!$B$27</f>
        <v>5.08661962410727</v>
      </c>
      <c r="E296" s="15" t="n">
        <f aca="false">(1-'3. The decision'!$B$14)*(1-'3. The decision'!$B$27)^('3. The decision'!$B$11-1)</f>
        <v>0.690273454655712</v>
      </c>
      <c r="F296" s="15" t="n">
        <f aca="false">1+(1-'3. The decision'!$B$14)*(1-(1-'3. The decision'!$B$27)^('3. The decision'!$B$11-1))/'3. The decision'!$B$27</f>
        <v>4.28912098262087</v>
      </c>
      <c r="G296" s="15" t="n">
        <f aca="false">(1-(1-'3. The decision'!$B$9*MIN(1,('3. The decision'!$B$10/(52/12)))))+(1-(1-'3. The decision'!$B$9*MAX(0,MIN(1,('3. The decision'!$B$10/(52/12))-1))))*(1-'3. The decision'!$B$14)+(1-(1-'3. The decision'!$B$9*MAX(0,MIN(1,('3. The decision'!$B$10/(52/12))-2))))*(1-'3. The decision'!$B$14)*(1-'3. The decision'!$B$27)</f>
        <v>0.884576923076923</v>
      </c>
      <c r="H296" s="15" t="n">
        <f aca="false">IF(A296&lt;=0,0,MAX(0,ROUNDUP(LN('3. The decision'!$B$13)/LN(1+A296)-0.000000000001,0)-1))</f>
        <v>193</v>
      </c>
      <c r="I296" s="15" t="n">
        <f aca="false">IF(A296&lt;=0,1/(1-C296),(1+A296)*(1-(C296*(1+A296))^H296)/(1-C296*(1+A296))+'3. The decision'!$B$13*C296^H296/(1-C296))</f>
        <v>2.97819950046276</v>
      </c>
      <c r="J296" s="17" t="n">
        <f aca="false">F296+E296*D296/(1-C296)</f>
        <v>14.6689611138804</v>
      </c>
      <c r="K296" s="15" t="n">
        <f aca="false">F296-G296+E296*D296*I296</f>
        <v>13.8614745516358</v>
      </c>
      <c r="L296" s="17" t="n">
        <f aca="false">'3. The decision'!$B$8*'3. The decision'!$B$5/J296</f>
        <v>32.0159005367877</v>
      </c>
      <c r="M296" s="31" t="n">
        <f aca="false">L296*'3. The decision'!$B$6*'3. The decision'!$B$7*K296</f>
        <v>851195.129205623</v>
      </c>
      <c r="N296" s="31" t="n">
        <f aca="false">M296*(1+'3. The decision'!$B$19+'3. The decision'!$B$20+'3. The decision'!$B$22)</f>
        <v>941421.812901419</v>
      </c>
      <c r="O296" s="31" t="n">
        <f aca="false">'3. The decision'!$B$17+'3. The decision'!$B$18*L296*12+M296*('3. The decision'!$B$20*(1-'3. The decision'!$B$21)+'3. The decision'!$B$23)+N296*('3. The decision'!$B$24+'3. The decision'!$B$25)</f>
        <v>568010.302293734</v>
      </c>
      <c r="P296" s="31" t="n">
        <f aca="false">N296-O296</f>
        <v>373411.510607685</v>
      </c>
    </row>
    <row r="297" customFormat="false" ht="15" hidden="false" customHeight="false" outlineLevel="0" collapsed="false">
      <c r="A297" s="27" t="n">
        <f aca="false">2*0.0025</f>
        <v>0.005</v>
      </c>
      <c r="B297" s="27" t="n">
        <f aca="false">IF(A297&gt;0,MIN('3. The decision'!$B$15,'3. The decision'!$B$29*(A297/'3. The decision'!$B$28)^$B$292),0)</f>
        <v>3.64330910720566E-005</v>
      </c>
      <c r="C297" s="15" t="n">
        <f aca="false">(1-'3. The decision'!$B$27-B297)*(1-'3. The decision'!$B$27)^('3. The decision'!$B$12-1)</f>
        <v>0.66171195882357</v>
      </c>
      <c r="D297" s="15" t="n">
        <f aca="false">1+(1-'3. The decision'!$B$27-B297)*(1-(1-'3. The decision'!$B$27)^('3. The decision'!$B$12-1))/'3. The decision'!$B$27</f>
        <v>5.08649034714824</v>
      </c>
      <c r="E297" s="15" t="n">
        <f aca="false">(1-'3. The decision'!$B$14)*(1-'3. The decision'!$B$27)^('3. The decision'!$B$11-1)</f>
        <v>0.690273454655712</v>
      </c>
      <c r="F297" s="15" t="n">
        <f aca="false">1+(1-'3. The decision'!$B$14)*(1-(1-'3. The decision'!$B$27)^('3. The decision'!$B$11-1))/'3. The decision'!$B$27</f>
        <v>4.28912098262087</v>
      </c>
      <c r="G297" s="15" t="n">
        <f aca="false">(1-(1-'3. The decision'!$B$9*MIN(1,('3. The decision'!$B$10/(52/12)))))+(1-(1-'3. The decision'!$B$9*MAX(0,MIN(1,('3. The decision'!$B$10/(52/12))-1))))*(1-'3. The decision'!$B$14)+(1-(1-'3. The decision'!$B$9*MAX(0,MIN(1,('3. The decision'!$B$10/(52/12))-2))))*(1-'3. The decision'!$B$14)*(1-'3. The decision'!$B$27)</f>
        <v>0.884576923076923</v>
      </c>
      <c r="H297" s="15" t="n">
        <f aca="false">IF(A297&lt;=0,0,MAX(0,ROUNDUP(LN('3. The decision'!$B$13)/LN(1+A297)-0.000000000001,0)-1))</f>
        <v>96</v>
      </c>
      <c r="I297" s="15" t="n">
        <f aca="false">IF(A297&lt;=0,1/(1-C297),(1+A297)*(1-(C297*(1+A297))^H297)/(1-C297*(1+A297))+'3. The decision'!$B$13*C297^H297/(1-C297))</f>
        <v>3.00018376007035</v>
      </c>
      <c r="J297" s="17" t="n">
        <f aca="false">F297+E297*D297/(1-C297)</f>
        <v>14.6680550170279</v>
      </c>
      <c r="K297" s="15" t="n">
        <f aca="false">F297-G297+E297*D297*I297</f>
        <v>13.9383970458757</v>
      </c>
      <c r="L297" s="17" t="n">
        <f aca="false">'3. The decision'!$B$8*'3. The decision'!$B$5/J297</f>
        <v>32.0178782704866</v>
      </c>
      <c r="M297" s="31" t="n">
        <f aca="false">L297*'3. The decision'!$B$6*'3. The decision'!$B$7*K297</f>
        <v>855971.601654354</v>
      </c>
      <c r="N297" s="31" t="n">
        <f aca="false">M297*(1+'3. The decision'!$B$19+'3. The decision'!$B$20+'3. The decision'!$B$22)</f>
        <v>946704.591429716</v>
      </c>
      <c r="O297" s="31" t="n">
        <f aca="false">'3. The decision'!$B$17+'3. The decision'!$B$18*L297*12+M297*('3. The decision'!$B$20*(1-'3. The decision'!$B$21)+'3. The decision'!$B$23)+N297*('3. The decision'!$B$24+'3. The decision'!$B$25)</f>
        <v>568527.375629101</v>
      </c>
      <c r="P297" s="31" t="n">
        <f aca="false">N297-O297</f>
        <v>378177.215800615</v>
      </c>
    </row>
    <row r="298" customFormat="false" ht="15" hidden="false" customHeight="false" outlineLevel="0" collapsed="false">
      <c r="A298" s="27" t="n">
        <f aca="false">3*0.0025</f>
        <v>0.0075</v>
      </c>
      <c r="B298" s="27" t="n">
        <f aca="false">IF(A298&gt;0,MIN('3. The decision'!$B$15,'3. The decision'!$B$29*(A298/'3. The decision'!$B$28)^$B$292),0)</f>
        <v>9.64084368050477E-005</v>
      </c>
      <c r="C298" s="15" t="n">
        <f aca="false">(1-'3. The decision'!$B$27-B298)*(1-'3. The decision'!$B$27)^('3. The decision'!$B$12-1)</f>
        <v>0.661669443609358</v>
      </c>
      <c r="D298" s="15" t="n">
        <f aca="false">1+(1-'3. The decision'!$B$27-B298)*(1-(1-'3. The decision'!$B$27)^('3. The decision'!$B$12-1))/'3. The decision'!$B$27</f>
        <v>5.0862277887795</v>
      </c>
      <c r="E298" s="15" t="n">
        <f aca="false">(1-'3. The decision'!$B$14)*(1-'3. The decision'!$B$27)^('3. The decision'!$B$11-1)</f>
        <v>0.690273454655712</v>
      </c>
      <c r="F298" s="15" t="n">
        <f aca="false">1+(1-'3. The decision'!$B$14)*(1-(1-'3. The decision'!$B$27)^('3. The decision'!$B$11-1))/'3. The decision'!$B$27</f>
        <v>4.28912098262087</v>
      </c>
      <c r="G298" s="15" t="n">
        <f aca="false">(1-(1-'3. The decision'!$B$9*MIN(1,('3. The decision'!$B$10/(52/12)))))+(1-(1-'3. The decision'!$B$9*MAX(0,MIN(1,('3. The decision'!$B$10/(52/12))-1))))*(1-'3. The decision'!$B$14)+(1-(1-'3. The decision'!$B$9*MAX(0,MIN(1,('3. The decision'!$B$10/(52/12))-2))))*(1-'3. The decision'!$B$14)*(1-'3. The decision'!$B$27)</f>
        <v>0.884576923076923</v>
      </c>
      <c r="H298" s="15" t="n">
        <f aca="false">IF(A298&lt;=0,0,MAX(0,ROUNDUP(LN('3. The decision'!$B$13)/LN(1+A298)-0.000000000001,0)-1))</f>
        <v>64</v>
      </c>
      <c r="I298" s="15" t="n">
        <f aca="false">IF(A298&lt;=0,1/(1-C298),(1+A298)*(1-(C298*(1+A298))^H298)/(1-C298*(1+A298))+'3. The decision'!$B$13*C298^H298/(1-C298))</f>
        <v>3.02218537028209</v>
      </c>
      <c r="J298" s="17" t="n">
        <f aca="false">F298+E298*D298/(1-C298)</f>
        <v>14.6662151014062</v>
      </c>
      <c r="K298" s="15" t="n">
        <f aca="false">F298-G298+E298*D298*I298</f>
        <v>14.0150984912204</v>
      </c>
      <c r="L298" s="17" t="n">
        <f aca="false">'3. The decision'!$B$8*'3. The decision'!$B$5/J298</f>
        <v>32.0218949983196</v>
      </c>
      <c r="M298" s="31" t="n">
        <f aca="false">L298*'3. The decision'!$B$6*'3. The decision'!$B$7*K298</f>
        <v>860789.892801751</v>
      </c>
      <c r="N298" s="31" t="n">
        <f aca="false">M298*(1+'3. The decision'!$B$19+'3. The decision'!$B$20+'3. The decision'!$B$22)</f>
        <v>952033.621438737</v>
      </c>
      <c r="O298" s="31" t="n">
        <f aca="false">'3. The decision'!$B$17+'3. The decision'!$B$18*L298*12+M298*('3. The decision'!$B$20*(1-'3. The decision'!$B$21)+'3. The decision'!$B$23)+N298*('3. The decision'!$B$24+'3. The decision'!$B$25)</f>
        <v>569052.03851997</v>
      </c>
      <c r="P298" s="31" t="n">
        <f aca="false">N298-O298</f>
        <v>382981.582918767</v>
      </c>
    </row>
    <row r="299" customFormat="false" ht="15" hidden="false" customHeight="false" outlineLevel="0" collapsed="false">
      <c r="A299" s="27" t="n">
        <f aca="false">4*0.0025</f>
        <v>0.01</v>
      </c>
      <c r="B299" s="27" t="n">
        <f aca="false">IF(A299&gt;0,MIN('3. The decision'!$B$15,'3. The decision'!$B$29*(A299/'3. The decision'!$B$28)^$B$292),0)</f>
        <v>0.000192295007533952</v>
      </c>
      <c r="C299" s="15" t="n">
        <f aca="false">(1-'3. The decision'!$B$27-B299)*(1-'3. The decision'!$B$27)^('3. The decision'!$B$12-1)</f>
        <v>0.66160147171116</v>
      </c>
      <c r="D299" s="15" t="n">
        <f aca="false">1+(1-'3. The decision'!$B$27-B299)*(1-(1-'3. The decision'!$B$27)^('3. The decision'!$B$12-1))/'3. The decision'!$B$27</f>
        <v>5.08580801926776</v>
      </c>
      <c r="E299" s="15" t="n">
        <f aca="false">(1-'3. The decision'!$B$14)*(1-'3. The decision'!$B$27)^('3. The decision'!$B$11-1)</f>
        <v>0.690273454655712</v>
      </c>
      <c r="F299" s="15" t="n">
        <f aca="false">1+(1-'3. The decision'!$B$14)*(1-(1-'3. The decision'!$B$27)^('3. The decision'!$B$11-1))/'3. The decision'!$B$27</f>
        <v>4.28912098262087</v>
      </c>
      <c r="G299" s="15" t="n">
        <f aca="false">(1-(1-'3. The decision'!$B$9*MIN(1,('3. The decision'!$B$10/(52/12)))))+(1-(1-'3. The decision'!$B$9*MAX(0,MIN(1,('3. The decision'!$B$10/(52/12))-1))))*(1-'3. The decision'!$B$14)+(1-(1-'3. The decision'!$B$9*MAX(0,MIN(1,('3. The decision'!$B$10/(52/12))-2))))*(1-'3. The decision'!$B$14)*(1-'3. The decision'!$B$27)</f>
        <v>0.884576923076923</v>
      </c>
      <c r="H299" s="15" t="n">
        <f aca="false">IF(A299&lt;=0,0,MAX(0,ROUNDUP(LN('3. The decision'!$B$13)/LN(1+A299)-0.000000000001,0)-1))</f>
        <v>48</v>
      </c>
      <c r="I299" s="15" t="n">
        <f aca="false">IF(A299&lt;=0,1/(1-C299),(1+A299)*(1-(C299*(1+A299))^H299)/(1-C299*(1+A299))+'3. The decision'!$B$13*C299^H299/(1-C299))</f>
        <v>3.04416284339143</v>
      </c>
      <c r="J299" s="17" t="n">
        <f aca="false">F299+E299*D299/(1-C299)</f>
        <v>14.6632744664658</v>
      </c>
      <c r="K299" s="15" t="n">
        <f aca="false">F299-G299+E299*D299*I299</f>
        <v>14.0913768747312</v>
      </c>
      <c r="L299" s="17" t="n">
        <f aca="false">'3. The decision'!$B$8*'3. The decision'!$B$5/J299</f>
        <v>32.0283168042747</v>
      </c>
      <c r="M299" s="31" t="n">
        <f aca="false">L299*'3. The decision'!$B$6*'3. The decision'!$B$7*K299</f>
        <v>865648.382080235</v>
      </c>
      <c r="N299" s="31" t="n">
        <f aca="false">M299*(1+'3. The decision'!$B$19+'3. The decision'!$B$20+'3. The decision'!$B$22)</f>
        <v>957407.11058074</v>
      </c>
      <c r="O299" s="31" t="n">
        <f aca="false">'3. The decision'!$B$17+'3. The decision'!$B$18*L299*12+M299*('3. The decision'!$B$20*(1-'3. The decision'!$B$21)+'3. The decision'!$B$23)+N299*('3. The decision'!$B$24+'3. The decision'!$B$25)</f>
        <v>569584.671105408</v>
      </c>
      <c r="P299" s="31" t="n">
        <f aca="false">N299-O299</f>
        <v>387822.439475332</v>
      </c>
    </row>
    <row r="300" customFormat="false" ht="15" hidden="false" customHeight="false" outlineLevel="0" collapsed="false">
      <c r="A300" s="27" t="n">
        <f aca="false">5*0.0025</f>
        <v>0.0125</v>
      </c>
      <c r="B300" s="27" t="n">
        <f aca="false">IF(A300&gt;0,MIN('3. The decision'!$B$15,'3. The decision'!$B$29*(A300/'3. The decision'!$B$28)^$B$292),0)</f>
        <v>0.000328512606634781</v>
      </c>
      <c r="C300" s="15" t="n">
        <f aca="false">(1-'3. The decision'!$B$27-B300)*(1-'3. The decision'!$B$27)^('3. The decision'!$B$12-1)</f>
        <v>0.661504910026781</v>
      </c>
      <c r="D300" s="15" t="n">
        <f aca="false">1+(1-'3. The decision'!$B$27-B300)*(1-(1-'3. The decision'!$B$27)^('3. The decision'!$B$12-1))/'3. The decision'!$B$27</f>
        <v>5.08521168972308</v>
      </c>
      <c r="E300" s="15" t="n">
        <f aca="false">(1-'3. The decision'!$B$14)*(1-'3. The decision'!$B$27)^('3. The decision'!$B$11-1)</f>
        <v>0.690273454655712</v>
      </c>
      <c r="F300" s="15" t="n">
        <f aca="false">1+(1-'3. The decision'!$B$14)*(1-(1-'3. The decision'!$B$27)^('3. The decision'!$B$11-1))/'3. The decision'!$B$27</f>
        <v>4.28912098262087</v>
      </c>
      <c r="G300" s="15" t="n">
        <f aca="false">(1-(1-'3. The decision'!$B$9*MIN(1,('3. The decision'!$B$10/(52/12)))))+(1-(1-'3. The decision'!$B$9*MAX(0,MIN(1,('3. The decision'!$B$10/(52/12))-1))))*(1-'3. The decision'!$B$14)+(1-(1-'3. The decision'!$B$9*MAX(0,MIN(1,('3. The decision'!$B$10/(52/12))-2))))*(1-'3. The decision'!$B$14)*(1-'3. The decision'!$B$27)</f>
        <v>0.884576923076923</v>
      </c>
      <c r="H300" s="15" t="n">
        <f aca="false">IF(A300&lt;=0,0,MAX(0,ROUNDUP(LN('3. The decision'!$B$13)/LN(1+A300)-0.000000000001,0)-1))</f>
        <v>38</v>
      </c>
      <c r="I300" s="15" t="n">
        <f aca="false">IF(A300&lt;=0,1/(1-C300),(1+A300)*(1-(C300*(1+A300))^H300)/(1-C300*(1+A300))+'3. The decision'!$B$13*C300^H300/(1-C300))</f>
        <v>3.06607941016007</v>
      </c>
      <c r="J300" s="17" t="n">
        <f aca="false">F300+E300*D300/(1-C300)</f>
        <v>14.6590989961822</v>
      </c>
      <c r="K300" s="15" t="n">
        <f aca="false">F300-G300+E300*D300*I300</f>
        <v>14.1670550444768</v>
      </c>
      <c r="L300" s="17" t="n">
        <f aca="false">'3. The decision'!$B$8*'3. The decision'!$B$5/J300</f>
        <v>32.0374396900049</v>
      </c>
      <c r="M300" s="31" t="n">
        <f aca="false">L300*'3. The decision'!$B$6*'3. The decision'!$B$7*K300</f>
        <v>870545.26701893</v>
      </c>
      <c r="N300" s="31" t="n">
        <f aca="false">M300*(1+'3. The decision'!$B$19+'3. The decision'!$B$20+'3. The decision'!$B$22)</f>
        <v>962823.065322936</v>
      </c>
      <c r="O300" s="31" t="n">
        <f aca="false">'3. The decision'!$B$17+'3. The decision'!$B$18*L300*12+M300*('3. The decision'!$B$20*(1-'3. The decision'!$B$21)+'3. The decision'!$B$23)+N300*('3. The decision'!$B$24+'3. The decision'!$B$25)</f>
        <v>570125.527783783</v>
      </c>
      <c r="P300" s="31" t="n">
        <f aca="false">N300-O300</f>
        <v>392697.537539154</v>
      </c>
    </row>
    <row r="301" customFormat="false" ht="15" hidden="false" customHeight="false" outlineLevel="0" collapsed="false">
      <c r="A301" s="27" t="n">
        <f aca="false">6*0.0025</f>
        <v>0.015</v>
      </c>
      <c r="B301" s="27" t="n">
        <f aca="false">IF(A301&gt;0,MIN('3. The decision'!$B$15,'3. The decision'!$B$29*(A301/'3. The decision'!$B$28)^$B$292),0)</f>
        <v>0.000508846780118036</v>
      </c>
      <c r="C301" s="15" t="n">
        <f aca="false">(1-'3. The decision'!$B$27-B301)*(1-'3. The decision'!$B$27)^('3. The decision'!$B$12-1)</f>
        <v>0.661377075065237</v>
      </c>
      <c r="D301" s="15" t="n">
        <f aca="false">1+(1-'3. The decision'!$B$27-B301)*(1-(1-'3. The decision'!$B$27)^('3. The decision'!$B$12-1))/'3. The decision'!$B$27</f>
        <v>5.0844222278894</v>
      </c>
      <c r="E301" s="15" t="n">
        <f aca="false">(1-'3. The decision'!$B$14)*(1-'3. The decision'!$B$27)^('3. The decision'!$B$11-1)</f>
        <v>0.690273454655712</v>
      </c>
      <c r="F301" s="15" t="n">
        <f aca="false">1+(1-'3. The decision'!$B$14)*(1-(1-'3. The decision'!$B$27)^('3. The decision'!$B$11-1))/'3. The decision'!$B$27</f>
        <v>4.28912098262087</v>
      </c>
      <c r="G301" s="15" t="n">
        <f aca="false">(1-(1-'3. The decision'!$B$9*MIN(1,('3. The decision'!$B$10/(52/12)))))+(1-(1-'3. The decision'!$B$9*MAX(0,MIN(1,('3. The decision'!$B$10/(52/12))-1))))*(1-'3. The decision'!$B$14)+(1-(1-'3. The decision'!$B$9*MAX(0,MIN(1,('3. The decision'!$B$10/(52/12))-2))))*(1-'3. The decision'!$B$14)*(1-'3. The decision'!$B$27)</f>
        <v>0.884576923076923</v>
      </c>
      <c r="H301" s="15" t="n">
        <f aca="false">IF(A301&lt;=0,0,MAX(0,ROUNDUP(LN('3. The decision'!$B$13)/LN(1+A301)-0.000000000001,0)-1))</f>
        <v>32</v>
      </c>
      <c r="I301" s="15" t="n">
        <f aca="false">IF(A301&lt;=0,1/(1-C301),(1+A301)*(1-(C301*(1+A301))^H301)/(1-C301*(1+A301))+'3. The decision'!$B$13*C301^H301/(1-C301))</f>
        <v>3.08790046511219</v>
      </c>
      <c r="J301" s="17" t="n">
        <f aca="false">F301+E301*D301/(1-C301)</f>
        <v>14.6535748861764</v>
      </c>
      <c r="K301" s="15" t="n">
        <f aca="false">F301-G301+E301*D301*I301</f>
        <v>14.2419682855353</v>
      </c>
      <c r="L301" s="17" t="n">
        <f aca="false">'3. The decision'!$B$8*'3. The decision'!$B$5/J301</f>
        <v>32.0495171757056</v>
      </c>
      <c r="M301" s="31" t="n">
        <f aca="false">L301*'3. The decision'!$B$6*'3. The decision'!$B$7*K301</f>
        <v>875478.492351627</v>
      </c>
      <c r="N301" s="31" t="n">
        <f aca="false">M301*(1+'3. The decision'!$B$19+'3. The decision'!$B$20+'3. The decision'!$B$22)</f>
        <v>968279.2125409</v>
      </c>
      <c r="O301" s="31" t="n">
        <f aca="false">'3. The decision'!$B$17+'3. The decision'!$B$18*L301*12+M301*('3. The decision'!$B$20*(1-'3. The decision'!$B$21)+'3. The decision'!$B$23)+N301*('3. The decision'!$B$24+'3. The decision'!$B$25)</f>
        <v>570674.771393569</v>
      </c>
      <c r="P301" s="31" t="n">
        <f aca="false">N301-O301</f>
        <v>397604.441147331</v>
      </c>
    </row>
    <row r="302" customFormat="false" ht="15" hidden="false" customHeight="false" outlineLevel="0" collapsed="false">
      <c r="A302" s="27" t="n">
        <f aca="false">7*0.0025</f>
        <v>0.0175</v>
      </c>
      <c r="B302" s="27" t="n">
        <f aca="false">IF(A302&gt;0,MIN('3. The decision'!$B$15,'3. The decision'!$B$29*(A302/'3. The decision'!$B$28)^$B$292),0)</f>
        <v>0.000736646832623557</v>
      </c>
      <c r="C302" s="15" t="n">
        <f aca="false">(1-'3. The decision'!$B$27-B302)*(1-'3. The decision'!$B$27)^('3. The decision'!$B$12-1)</f>
        <v>0.661215592577535</v>
      </c>
      <c r="D302" s="15" t="n">
        <f aca="false">1+(1-'3. The decision'!$B$27-B302)*(1-(1-'3. The decision'!$B$27)^('3. The decision'!$B$12-1))/'3. The decision'!$B$27</f>
        <v>5.08342497127581</v>
      </c>
      <c r="E302" s="15" t="n">
        <f aca="false">(1-'3. The decision'!$B$14)*(1-'3. The decision'!$B$27)^('3. The decision'!$B$11-1)</f>
        <v>0.690273454655712</v>
      </c>
      <c r="F302" s="15" t="n">
        <f aca="false">1+(1-'3. The decision'!$B$14)*(1-(1-'3. The decision'!$B$27)^('3. The decision'!$B$11-1))/'3. The decision'!$B$27</f>
        <v>4.28912098262087</v>
      </c>
      <c r="G302" s="15" t="n">
        <f aca="false">(1-(1-'3. The decision'!$B$9*MIN(1,('3. The decision'!$B$10/(52/12)))))+(1-(1-'3. The decision'!$B$9*MAX(0,MIN(1,('3. The decision'!$B$10/(52/12))-1))))*(1-'3. The decision'!$B$14)+(1-(1-'3. The decision'!$B$9*MAX(0,MIN(1,('3. The decision'!$B$10/(52/12))-2))))*(1-'3. The decision'!$B$14)*(1-'3. The decision'!$B$27)</f>
        <v>0.884576923076923</v>
      </c>
      <c r="H302" s="15" t="n">
        <f aca="false">IF(A302&lt;=0,0,MAX(0,ROUNDUP(LN('3. The decision'!$B$13)/LN(1+A302)-0.000000000001,0)-1))</f>
        <v>27</v>
      </c>
      <c r="I302" s="15" t="n">
        <f aca="false">IF(A302&lt;=0,1/(1-C302),(1+A302)*(1-(C302*(1+A302))^H302)/(1-C302*(1+A302))+'3. The decision'!$B$13*C302^H302/(1-C302))</f>
        <v>3.10959138241275</v>
      </c>
      <c r="J302" s="17" t="n">
        <f aca="false">F302+E302*D302/(1-C302)</f>
        <v>14.6466027306814</v>
      </c>
      <c r="K302" s="15" t="n">
        <f aca="false">F302-G302+E302*D302*I302</f>
        <v>14.3159550535277</v>
      </c>
      <c r="L302" s="17" t="n">
        <f aca="false">'3. The decision'!$B$8*'3. The decision'!$B$5/J302</f>
        <v>32.0647735611897</v>
      </c>
      <c r="M302" s="31" t="n">
        <f aca="false">L302*'3. The decision'!$B$6*'3. The decision'!$B$7*K302</f>
        <v>880445.502348305</v>
      </c>
      <c r="N302" s="31" t="n">
        <f aca="false">M302*(1+'3. The decision'!$B$19+'3. The decision'!$B$20+'3. The decision'!$B$22)</f>
        <v>973772.725597226</v>
      </c>
      <c r="O302" s="31" t="n">
        <f aca="false">'3. The decision'!$B$17+'3. The decision'!$B$18*L302*12+M302*('3. The decision'!$B$20*(1-'3. The decision'!$B$21)+'3. The decision'!$B$23)+N302*('3. The decision'!$B$24+'3. The decision'!$B$25)</f>
        <v>571232.466645841</v>
      </c>
      <c r="P302" s="31" t="n">
        <f aca="false">N302-O302</f>
        <v>402540.258951384</v>
      </c>
    </row>
    <row r="303" customFormat="false" ht="15" hidden="false" customHeight="false" outlineLevel="0" collapsed="false">
      <c r="A303" s="27" t="n">
        <f aca="false">8*0.0025</f>
        <v>0.02</v>
      </c>
      <c r="B303" s="27" t="n">
        <f aca="false">IF(A303&gt;0,MIN('3. The decision'!$B$15,'3. The decision'!$B$29*(A303/'3. The decision'!$B$28)^$B$292),0)</f>
        <v>0.00101493913457273</v>
      </c>
      <c r="C303" s="15" t="n">
        <f aca="false">(1-'3. The decision'!$B$27-B303)*(1-'3. The decision'!$B$27)^('3. The decision'!$B$12-1)</f>
        <v>0.661018317235704</v>
      </c>
      <c r="D303" s="15" t="n">
        <f aca="false">1+(1-'3. The decision'!$B$27-B303)*(1-(1-'3. The decision'!$B$27)^('3. The decision'!$B$12-1))/'3. The decision'!$B$27</f>
        <v>5.08220667112365</v>
      </c>
      <c r="E303" s="15" t="n">
        <f aca="false">(1-'3. The decision'!$B$14)*(1-'3. The decision'!$B$27)^('3. The decision'!$B$11-1)</f>
        <v>0.690273454655712</v>
      </c>
      <c r="F303" s="15" t="n">
        <f aca="false">1+(1-'3. The decision'!$B$14)*(1-(1-'3. The decision'!$B$27)^('3. The decision'!$B$11-1))/'3. The decision'!$B$27</f>
        <v>4.28912098262087</v>
      </c>
      <c r="G303" s="15" t="n">
        <f aca="false">(1-(1-'3. The decision'!$B$9*MIN(1,('3. The decision'!$B$10/(52/12)))))+(1-(1-'3. The decision'!$B$9*MAX(0,MIN(1,('3. The decision'!$B$10/(52/12))-1))))*(1-'3. The decision'!$B$14)+(1-(1-'3. The decision'!$B$9*MAX(0,MIN(1,('3. The decision'!$B$10/(52/12))-2))))*(1-'3. The decision'!$B$14)*(1-'3. The decision'!$B$27)</f>
        <v>0.884576923076923</v>
      </c>
      <c r="H303" s="15" t="n">
        <f aca="false">IF(A303&lt;=0,0,MAX(0,ROUNDUP(LN('3. The decision'!$B$13)/LN(1+A303)-0.000000000001,0)-1))</f>
        <v>24</v>
      </c>
      <c r="I303" s="15" t="n">
        <f aca="false">IF(A303&lt;=0,1/(1-C303),(1+A303)*(1-(C303*(1+A303))^H303)/(1-C303*(1+A303))+'3. The decision'!$B$13*C303^H303/(1-C303))</f>
        <v>3.13111437953576</v>
      </c>
      <c r="J303" s="17" t="n">
        <f aca="false">F303+E303*D303/(1-C303)</f>
        <v>14.638094200121</v>
      </c>
      <c r="K303" s="15" t="n">
        <f aca="false">F303-G303+E303*D303*I303</f>
        <v>14.3888451029149</v>
      </c>
      <c r="L303" s="17" t="n">
        <f aca="false">'3. The decision'!$B$8*'3. The decision'!$B$5/J303</f>
        <v>32.0834115137828</v>
      </c>
      <c r="M303" s="31" t="n">
        <f aca="false">L303*'3. The decision'!$B$6*'3. The decision'!$B$7*K303</f>
        <v>885442.685967252</v>
      </c>
      <c r="N303" s="31" t="n">
        <f aca="false">M303*(1+'3. The decision'!$B$19+'3. The decision'!$B$20+'3. The decision'!$B$22)</f>
        <v>979299.61067978</v>
      </c>
      <c r="O303" s="31" t="n">
        <f aca="false">'3. The decision'!$B$17+'3. The decision'!$B$18*L303*12+M303*('3. The decision'!$B$20*(1-'3. The decision'!$B$21)+'3. The decision'!$B$23)+N303*('3. The decision'!$B$24+'3. The decision'!$B$25)</f>
        <v>571798.531902048</v>
      </c>
      <c r="P303" s="31" t="n">
        <f aca="false">N303-O303</f>
        <v>407501.078777732</v>
      </c>
    </row>
    <row r="304" customFormat="false" ht="15" hidden="false" customHeight="false" outlineLevel="0" collapsed="false">
      <c r="A304" s="27" t="n">
        <f aca="false">9*0.0025</f>
        <v>0.0225</v>
      </c>
      <c r="B304" s="27" t="n">
        <f aca="false">IF(A304&gt;0,MIN('3. The decision'!$B$15,'3. The decision'!$B$29*(A304/'3. The decision'!$B$28)^$B$292),0)</f>
        <v>0.00134649905349611</v>
      </c>
      <c r="C304" s="15" t="n">
        <f aca="false">(1-'3. The decision'!$B$27-B304)*(1-'3. The decision'!$B$27)^('3. The decision'!$B$12-1)</f>
        <v>0.660783281642248</v>
      </c>
      <c r="D304" s="15" t="n">
        <f aca="false">1+(1-'3. The decision'!$B$27-B304)*(1-(1-'3. The decision'!$B$27)^('3. The decision'!$B$12-1))/'3. The decision'!$B$27</f>
        <v>5.08075517750761</v>
      </c>
      <c r="E304" s="15" t="n">
        <f aca="false">(1-'3. The decision'!$B$14)*(1-'3. The decision'!$B$27)^('3. The decision'!$B$11-1)</f>
        <v>0.690273454655712</v>
      </c>
      <c r="F304" s="15" t="n">
        <f aca="false">1+(1-'3. The decision'!$B$14)*(1-(1-'3. The decision'!$B$27)^('3. The decision'!$B$11-1))/'3. The decision'!$B$27</f>
        <v>4.28912098262087</v>
      </c>
      <c r="G304" s="15" t="n">
        <f aca="false">(1-(1-'3. The decision'!$B$9*MIN(1,('3. The decision'!$B$10/(52/12)))))+(1-(1-'3. The decision'!$B$9*MAX(0,MIN(1,('3. The decision'!$B$10/(52/12))-1))))*(1-'3. The decision'!$B$14)+(1-(1-'3. The decision'!$B$9*MAX(0,MIN(1,('3. The decision'!$B$10/(52/12))-2))))*(1-'3. The decision'!$B$14)*(1-'3. The decision'!$B$27)</f>
        <v>0.884576923076923</v>
      </c>
      <c r="H304" s="15" t="n">
        <f aca="false">IF(A304&lt;=0,0,MAX(0,ROUNDUP(LN('3. The decision'!$B$13)/LN(1+A304)-0.000000000001,0)-1))</f>
        <v>21</v>
      </c>
      <c r="I304" s="15" t="n">
        <f aca="false">IF(A304&lt;=0,1/(1-C304),(1+A304)*(1-(C304*(1+A304))^H304)/(1-C304*(1+A304))+'3. The decision'!$B$13*C304^H304/(1-C304))</f>
        <v>3.15242521801526</v>
      </c>
      <c r="J304" s="17" t="n">
        <f aca="false">F304+E304*D304/(1-C304)</f>
        <v>14.6279699804445</v>
      </c>
      <c r="K304" s="15" t="n">
        <f aca="false">F304-G304+E304*D304*I304</f>
        <v>14.4604474171469</v>
      </c>
      <c r="L304" s="17" t="n">
        <f aca="false">'3. The decision'!$B$8*'3. The decision'!$B$5/J304</f>
        <v>32.1056168851755</v>
      </c>
      <c r="M304" s="31" t="n">
        <f aca="false">L304*'3. The decision'!$B$6*'3. The decision'!$B$7*K304</f>
        <v>890464.735952299</v>
      </c>
      <c r="N304" s="31" t="n">
        <f aca="false">M304*(1+'3. The decision'!$B$19+'3. The decision'!$B$20+'3. The decision'!$B$22)</f>
        <v>984853.997963243</v>
      </c>
      <c r="O304" s="31" t="n">
        <f aca="false">'3. The decision'!$B$17+'3. The decision'!$B$18*L304*12+M304*('3. The decision'!$B$20*(1-'3. The decision'!$B$21)+'3. The decision'!$B$23)+N304*('3. The decision'!$B$24+'3. The decision'!$B$25)</f>
        <v>572372.677492296</v>
      </c>
      <c r="P304" s="31" t="n">
        <f aca="false">N304-O304</f>
        <v>412481.320470947</v>
      </c>
    </row>
    <row r="305" customFormat="false" ht="15" hidden="false" customHeight="false" outlineLevel="0" collapsed="false">
      <c r="A305" s="27" t="n">
        <f aca="false">10*0.0025</f>
        <v>0.025</v>
      </c>
      <c r="B305" s="27" t="n">
        <f aca="false">IF(A305&gt;0,MIN('3. The decision'!$B$15,'3. The decision'!$B$29*(A305/'3. The decision'!$B$28)^$B$292),0)</f>
        <v>0.00173389993297287</v>
      </c>
      <c r="C305" s="15" t="n">
        <f aca="false">(1-'3. The decision'!$B$27-B305)*(1-'3. The decision'!$B$27)^('3. The decision'!$B$12-1)</f>
        <v>0.660508661610041</v>
      </c>
      <c r="D305" s="15" t="n">
        <f aca="false">1+(1-'3. The decision'!$B$27-B305)*(1-(1-'3. The decision'!$B$27)^('3. The decision'!$B$12-1))/'3. The decision'!$B$27</f>
        <v>5.07905922491708</v>
      </c>
      <c r="E305" s="15" t="n">
        <f aca="false">(1-'3. The decision'!$B$14)*(1-'3. The decision'!$B$27)^('3. The decision'!$B$11-1)</f>
        <v>0.690273454655712</v>
      </c>
      <c r="F305" s="15" t="n">
        <f aca="false">1+(1-'3. The decision'!$B$14)*(1-(1-'3. The decision'!$B$27)^('3. The decision'!$B$11-1))/'3. The decision'!$B$27</f>
        <v>4.28912098262087</v>
      </c>
      <c r="G305" s="15" t="n">
        <f aca="false">(1-(1-'3. The decision'!$B$9*MIN(1,('3. The decision'!$B$10/(52/12)))))+(1-(1-'3. The decision'!$B$9*MAX(0,MIN(1,('3. The decision'!$B$10/(52/12))-1))))*(1-'3. The decision'!$B$14)+(1-(1-'3. The decision'!$B$9*MAX(0,MIN(1,('3. The decision'!$B$10/(52/12))-2))))*(1-'3. The decision'!$B$14)*(1-'3. The decision'!$B$27)</f>
        <v>0.884576923076923</v>
      </c>
      <c r="H305" s="15" t="n">
        <f aca="false">IF(A305&lt;=0,0,MAX(0,ROUNDUP(LN('3. The decision'!$B$13)/LN(1+A305)-0.000000000001,0)-1))</f>
        <v>19</v>
      </c>
      <c r="I305" s="15" t="n">
        <f aca="false">IF(A305&lt;=0,1/(1-C305),(1+A305)*(1-(C305*(1+A305))^H305)/(1-C305*(1+A305))+'3. The decision'!$B$13*C305^H305/(1-C305))</f>
        <v>3.17347060068059</v>
      </c>
      <c r="J305" s="17" t="n">
        <f aca="false">F305+E305*D305/(1-C305)</f>
        <v>14.6161584092941</v>
      </c>
      <c r="K305" s="15" t="n">
        <f aca="false">F305-G305+E305*D305*I305</f>
        <v>14.5305408079955</v>
      </c>
      <c r="L305" s="17" t="n">
        <f aca="false">'3. The decision'!$B$8*'3. The decision'!$B$5/J305</f>
        <v>32.1315619911021</v>
      </c>
      <c r="M305" s="31" t="n">
        <f aca="false">L305*'3. The decision'!$B$6*'3. The decision'!$B$7*K305</f>
        <v>895504.128429699</v>
      </c>
      <c r="N305" s="31" t="n">
        <f aca="false">M305*(1+'3. The decision'!$B$19+'3. The decision'!$B$20+'3. The decision'!$B$22)</f>
        <v>990427.566043247</v>
      </c>
      <c r="O305" s="31" t="n">
        <f aca="false">'3. The decision'!$B$17+'3. The decision'!$B$18*L305*12+M305*('3. The decision'!$B$20*(1-'3. The decision'!$B$21)+'3. The decision'!$B$23)+N305*('3. The decision'!$B$24+'3. The decision'!$B$25)</f>
        <v>572954.354674087</v>
      </c>
      <c r="P305" s="31" t="n">
        <f aca="false">N305-O305</f>
        <v>417473.21136916</v>
      </c>
    </row>
    <row r="306" customFormat="false" ht="15" hidden="false" customHeight="false" outlineLevel="0" collapsed="false">
      <c r="A306" s="27" t="n">
        <f aca="false">11*0.0025</f>
        <v>0.0275</v>
      </c>
      <c r="B306" s="27" t="n">
        <f aca="false">IF(A306&gt;0,MIN('3. The decision'!$B$15,'3. The decision'!$B$29*(A306/'3. The decision'!$B$28)^$B$292),0)</f>
        <v>0.00217954818218482</v>
      </c>
      <c r="C306" s="15" t="n">
        <f aca="false">(1-'3. The decision'!$B$27-B306)*(1-'3. The decision'!$B$27)^('3. The decision'!$B$12-1)</f>
        <v>0.660192751288111</v>
      </c>
      <c r="D306" s="15" t="n">
        <f aca="false">1+(1-'3. The decision'!$B$27-B306)*(1-(1-'3. The decision'!$B$27)^('3. The decision'!$B$12-1))/'3. The decision'!$B$27</f>
        <v>5.07710827864217</v>
      </c>
      <c r="E306" s="15" t="n">
        <f aca="false">(1-'3. The decision'!$B$14)*(1-'3. The decision'!$B$27)^('3. The decision'!$B$11-1)</f>
        <v>0.690273454655712</v>
      </c>
      <c r="F306" s="15" t="n">
        <f aca="false">1+(1-'3. The decision'!$B$14)*(1-(1-'3. The decision'!$B$27)^('3. The decision'!$B$11-1))/'3. The decision'!$B$27</f>
        <v>4.28912098262087</v>
      </c>
      <c r="G306" s="15" t="n">
        <f aca="false">(1-(1-'3. The decision'!$B$9*MIN(1,('3. The decision'!$B$10/(52/12)))))+(1-(1-'3. The decision'!$B$9*MAX(0,MIN(1,('3. The decision'!$B$10/(52/12))-1))))*(1-'3. The decision'!$B$14)+(1-(1-'3. The decision'!$B$9*MAX(0,MIN(1,('3. The decision'!$B$10/(52/12))-2))))*(1-'3. The decision'!$B$14)*(1-'3. The decision'!$B$27)</f>
        <v>0.884576923076923</v>
      </c>
      <c r="H306" s="15" t="n">
        <f aca="false">IF(A306&lt;=0,0,MAX(0,ROUNDUP(LN('3. The decision'!$B$13)/LN(1+A306)-0.000000000001,0)-1))</f>
        <v>17</v>
      </c>
      <c r="I306" s="15" t="n">
        <f aca="false">IF(A306&lt;=0,1/(1-C306),(1+A306)*(1-(C306*(1+A306))^H306)/(1-C306*(1+A306))+'3. The decision'!$B$13*C306^H306/(1-C306))</f>
        <v>3.19418973909115</v>
      </c>
      <c r="J306" s="17" t="n">
        <f aca="false">F306+E306*D306/(1-C306)</f>
        <v>14.6025945310644</v>
      </c>
      <c r="K306" s="15" t="n">
        <f aca="false">F306-G306+E306*D306*I306</f>
        <v>14.5988792871314</v>
      </c>
      <c r="L306" s="17" t="n">
        <f aca="false">'3. The decision'!$B$8*'3. The decision'!$B$5/J306</f>
        <v>32.1614079608199</v>
      </c>
      <c r="M306" s="31" t="n">
        <f aca="false">L306*'3. The decision'!$B$6*'3. The decision'!$B$7*K306</f>
        <v>900551.484186112</v>
      </c>
      <c r="N306" s="31" t="n">
        <f aca="false">M306*(1+'3. The decision'!$B$19+'3. The decision'!$B$20+'3. The decision'!$B$22)</f>
        <v>996009.94150984</v>
      </c>
      <c r="O306" s="31" t="n">
        <f aca="false">'3. The decision'!$B$17+'3. The decision'!$B$18*L306*12+M306*('3. The decision'!$B$20*(1-'3. The decision'!$B$21)+'3. The decision'!$B$23)+N306*('3. The decision'!$B$24+'3. The decision'!$B$25)</f>
        <v>573542.798074649</v>
      </c>
      <c r="P306" s="31" t="n">
        <f aca="false">N306-O306</f>
        <v>422467.143435191</v>
      </c>
    </row>
    <row r="307" customFormat="false" ht="15" hidden="false" customHeight="false" outlineLevel="0" collapsed="false">
      <c r="A307" s="27" t="n">
        <f aca="false">12*0.0025</f>
        <v>0.03</v>
      </c>
      <c r="B307" s="27" t="n">
        <f aca="false">IF(A307&gt;0,MIN('3. The decision'!$B$15,'3. The decision'!$B$29*(A307/'3. The decision'!$B$28)^$B$292),0)</f>
        <v>0.00268570940694826</v>
      </c>
      <c r="C307" s="15" t="n">
        <f aca="false">(1-'3. The decision'!$B$27-B307)*(1-'3. The decision'!$B$27)^('3. The decision'!$B$12-1)</f>
        <v>0.659833944637919</v>
      </c>
      <c r="D307" s="15" t="n">
        <f aca="false">1+(1-'3. The decision'!$B$27-B307)*(1-(1-'3. The decision'!$B$27)^('3. The decision'!$B$12-1))/'3. The decision'!$B$27</f>
        <v>5.07489242037793</v>
      </c>
      <c r="E307" s="15" t="n">
        <f aca="false">(1-'3. The decision'!$B$14)*(1-'3. The decision'!$B$27)^('3. The decision'!$B$11-1)</f>
        <v>0.690273454655712</v>
      </c>
      <c r="F307" s="15" t="n">
        <f aca="false">1+(1-'3. The decision'!$B$14)*(1-(1-'3. The decision'!$B$27)^('3. The decision'!$B$11-1))/'3. The decision'!$B$27</f>
        <v>4.28912098262087</v>
      </c>
      <c r="G307" s="15" t="n">
        <f aca="false">(1-(1-'3. The decision'!$B$9*MIN(1,('3. The decision'!$B$10/(52/12)))))+(1-(1-'3. The decision'!$B$9*MAX(0,MIN(1,('3. The decision'!$B$10/(52/12))-1))))*(1-'3. The decision'!$B$14)+(1-(1-'3. The decision'!$B$9*MAX(0,MIN(1,('3. The decision'!$B$10/(52/12))-2))))*(1-'3. The decision'!$B$14)*(1-'3. The decision'!$B$27)</f>
        <v>0.884576923076923</v>
      </c>
      <c r="H307" s="15" t="n">
        <f aca="false">IF(A307&lt;=0,0,MAX(0,ROUNDUP(LN('3. The decision'!$B$13)/LN(1+A307)-0.000000000001,0)-1))</f>
        <v>16</v>
      </c>
      <c r="I307" s="15" t="n">
        <f aca="false">IF(A307&lt;=0,1/(1-C307),(1+A307)*(1-(C307*(1+A307))^H307)/(1-C307*(1+A307))+'3. The decision'!$B$13*C307^H307/(1-C307))</f>
        <v>3.21450992648458</v>
      </c>
      <c r="J307" s="17" t="n">
        <f aca="false">F307+E307*D307/(1-C307)</f>
        <v>14.5872194195493</v>
      </c>
      <c r="K307" s="15" t="n">
        <f aca="false">F307-G307+E307*D307*I307</f>
        <v>14.665176527399</v>
      </c>
      <c r="L307" s="17" t="n">
        <f aca="false">'3. The decision'!$B$8*'3. The decision'!$B$5/J307</f>
        <v>32.1953064866224</v>
      </c>
      <c r="M307" s="31" t="n">
        <f aca="false">L307*'3. The decision'!$B$6*'3. The decision'!$B$7*K307</f>
        <v>905594.621571531</v>
      </c>
      <c r="N307" s="31" t="n">
        <f aca="false">M307*(1+'3. The decision'!$B$19+'3. The decision'!$B$20+'3. The decision'!$B$22)</f>
        <v>1001587.65145811</v>
      </c>
      <c r="O307" s="31" t="n">
        <f aca="false">'3. The decision'!$B$17+'3. The decision'!$B$18*L307*12+M307*('3. The decision'!$B$20*(1-'3. The decision'!$B$21)+'3. The decision'!$B$23)+N307*('3. The decision'!$B$24+'3. The decision'!$B$25)</f>
        <v>574136.926407941</v>
      </c>
      <c r="P307" s="31" t="n">
        <f aca="false">N307-O307</f>
        <v>427450.725050172</v>
      </c>
    </row>
    <row r="308" customFormat="false" ht="15" hidden="false" customHeight="false" outlineLevel="0" collapsed="false">
      <c r="A308" s="27" t="n">
        <f aca="false">13*0.0025</f>
        <v>0.0325</v>
      </c>
      <c r="B308" s="27" t="n">
        <f aca="false">IF(A308&gt;0,MIN('3. The decision'!$B$15,'3. The decision'!$B$29*(A308/'3. The decision'!$B$28)^$B$292),0)</f>
        <v>0.003254528472454</v>
      </c>
      <c r="C308" s="15" t="n">
        <f aca="false">(1-'3. The decision'!$B$27-B308)*(1-'3. The decision'!$B$27)^('3. The decision'!$B$12-1)</f>
        <v>0.659430721211323</v>
      </c>
      <c r="D308" s="15" t="n">
        <f aca="false">1+(1-'3. The decision'!$B$27-B308)*(1-(1-'3. The decision'!$B$27)^('3. The decision'!$B$12-1))/'3. The decision'!$B$27</f>
        <v>5.07240226039434</v>
      </c>
      <c r="E308" s="15" t="n">
        <f aca="false">(1-'3. The decision'!$B$14)*(1-'3. The decision'!$B$27)^('3. The decision'!$B$11-1)</f>
        <v>0.690273454655712</v>
      </c>
      <c r="F308" s="15" t="n">
        <f aca="false">1+(1-'3. The decision'!$B$14)*(1-(1-'3. The decision'!$B$27)^('3. The decision'!$B$11-1))/'3. The decision'!$B$27</f>
        <v>4.28912098262087</v>
      </c>
      <c r="G308" s="15" t="n">
        <f aca="false">(1-(1-'3. The decision'!$B$9*MIN(1,('3. The decision'!$B$10/(52/12)))))+(1-(1-'3. The decision'!$B$9*MAX(0,MIN(1,('3. The decision'!$B$10/(52/12))-1))))*(1-'3. The decision'!$B$14)+(1-(1-'3. The decision'!$B$9*MAX(0,MIN(1,('3. The decision'!$B$10/(52/12))-2))))*(1-'3. The decision'!$B$14)*(1-'3. The decision'!$B$27)</f>
        <v>0.884576923076923</v>
      </c>
      <c r="H308" s="15" t="n">
        <f aca="false">IF(A308&lt;=0,0,MAX(0,ROUNDUP(LN('3. The decision'!$B$13)/LN(1+A308)-0.000000000001,0)-1))</f>
        <v>15</v>
      </c>
      <c r="I308" s="15" t="n">
        <f aca="false">IF(A308&lt;=0,1/(1-C308),(1+A308)*(1-(C308*(1+A308))^H308)/(1-C308*(1+A308))+'3. The decision'!$B$13*C308^H308/(1-C308))</f>
        <v>3.23436776947349</v>
      </c>
      <c r="J308" s="17" t="n">
        <f aca="false">F308+E308*D308/(1-C308)</f>
        <v>14.5699796793867</v>
      </c>
      <c r="K308" s="15" t="n">
        <f aca="false">F308-G308+E308*D308*I308</f>
        <v>14.7291802860877</v>
      </c>
      <c r="L308" s="17" t="n">
        <f aca="false">'3. The decision'!$B$8*'3. The decision'!$B$5/J308</f>
        <v>32.2334011669513</v>
      </c>
      <c r="M308" s="31" t="n">
        <f aca="false">L308*'3. The decision'!$B$6*'3. The decision'!$B$7*K308</f>
        <v>910623.150494075</v>
      </c>
      <c r="N308" s="31" t="n">
        <f aca="false">M308*(1+'3. The decision'!$B$19+'3. The decision'!$B$20+'3. The decision'!$B$22)</f>
        <v>1007149.20444645</v>
      </c>
      <c r="O308" s="31" t="n">
        <f aca="false">'3. The decision'!$B$17+'3. The decision'!$B$18*L308*12+M308*('3. The decision'!$B$20*(1-'3. The decision'!$B$21)+'3. The decision'!$B$23)+N308*('3. The decision'!$B$24+'3. The decision'!$B$25)</f>
        <v>574735.83894712</v>
      </c>
      <c r="P308" s="31" t="n">
        <f aca="false">N308-O308</f>
        <v>432413.365499326</v>
      </c>
    </row>
    <row r="309" customFormat="false" ht="15" hidden="false" customHeight="false" outlineLevel="0" collapsed="false">
      <c r="A309" s="27" t="n">
        <f aca="false">14*0.0025</f>
        <v>0.035</v>
      </c>
      <c r="B309" s="27" t="n">
        <f aca="false">IF(A309&gt;0,MIN('3. The decision'!$B$15,'3. The decision'!$B$29*(A309/'3. The decision'!$B$28)^$B$292),0)</f>
        <v>0.00388804529237032</v>
      </c>
      <c r="C309" s="15" t="n">
        <f aca="false">(1-'3. The decision'!$B$27-B309)*(1-'3. The decision'!$B$27)^('3. The decision'!$B$12-1)</f>
        <v>0.658981634958023</v>
      </c>
      <c r="D309" s="15" t="n">
        <f aca="false">1+(1-'3. The decision'!$B$27-B309)*(1-(1-'3. The decision'!$B$27)^('3. The decision'!$B$12-1))/'3. The decision'!$B$27</f>
        <v>5.06962886841513</v>
      </c>
      <c r="E309" s="15" t="n">
        <f aca="false">(1-'3. The decision'!$B$14)*(1-'3. The decision'!$B$27)^('3. The decision'!$B$11-1)</f>
        <v>0.690273454655712</v>
      </c>
      <c r="F309" s="15" t="n">
        <f aca="false">1+(1-'3. The decision'!$B$14)*(1-(1-'3. The decision'!$B$27)^('3. The decision'!$B$11-1))/'3. The decision'!$B$27</f>
        <v>4.28912098262087</v>
      </c>
      <c r="G309" s="15" t="n">
        <f aca="false">(1-(1-'3. The decision'!$B$9*MIN(1,('3. The decision'!$B$10/(52/12)))))+(1-(1-'3. The decision'!$B$9*MAX(0,MIN(1,('3. The decision'!$B$10/(52/12))-1))))*(1-'3. The decision'!$B$14)+(1-(1-'3. The decision'!$B$9*MAX(0,MIN(1,('3. The decision'!$B$10/(52/12))-2))))*(1-'3. The decision'!$B$14)*(1-'3. The decision'!$B$27)</f>
        <v>0.884576923076923</v>
      </c>
      <c r="H309" s="15" t="n">
        <f aca="false">IF(A309&lt;=0,0,MAX(0,ROUNDUP(LN('3. The decision'!$B$13)/LN(1+A309)-0.000000000001,0)-1))</f>
        <v>14</v>
      </c>
      <c r="I309" s="15" t="n">
        <f aca="false">IF(A309&lt;=0,1/(1-C309),(1+A309)*(1-(C309*(1+A309))^H309)/(1-C309*(1+A309))+'3. The decision'!$B$13*C309^H309/(1-C309))</f>
        <v>3.25367726723787</v>
      </c>
      <c r="J309" s="17" t="n">
        <f aca="false">F309+E309*D309/(1-C309)</f>
        <v>14.5508270710671</v>
      </c>
      <c r="K309" s="15" t="n">
        <f aca="false">F309-G309+E309*D309*I309</f>
        <v>14.7905606563658</v>
      </c>
      <c r="L309" s="17" t="n">
        <f aca="false">'3. The decision'!$B$8*'3. The decision'!$B$5/J309</f>
        <v>32.2758285633009</v>
      </c>
      <c r="M309" s="31" t="n">
        <f aca="false">L309*'3. The decision'!$B$6*'3. The decision'!$B$7*K309</f>
        <v>915621.564595807</v>
      </c>
      <c r="N309" s="31" t="n">
        <f aca="false">M309*(1+'3. The decision'!$B$19+'3. The decision'!$B$20+'3. The decision'!$B$22)</f>
        <v>1012677.45044296</v>
      </c>
      <c r="O309" s="31" t="n">
        <f aca="false">'3. The decision'!$B$17+'3. The decision'!$B$18*L309*12+M309*('3. The decision'!$B$20*(1-'3. The decision'!$B$21)+'3. The decision'!$B$23)+N309*('3. The decision'!$B$24+'3. The decision'!$B$25)</f>
        <v>575338.073657179</v>
      </c>
      <c r="P309" s="31" t="n">
        <f aca="false">N309-O309</f>
        <v>437339.376785783</v>
      </c>
    </row>
    <row r="310" customFormat="false" ht="15" hidden="false" customHeight="false" outlineLevel="0" collapsed="false">
      <c r="A310" s="27" t="n">
        <f aca="false">15*0.0025</f>
        <v>0.0375</v>
      </c>
      <c r="B310" s="27" t="n">
        <f aca="false">IF(A310&gt;0,MIN('3. The decision'!$B$15,'3. The decision'!$B$29*(A310/'3. The decision'!$B$28)^$B$292),0)</f>
        <v>0.00458820751123425</v>
      </c>
      <c r="C310" s="15" t="n">
        <f aca="false">(1-'3. The decision'!$B$27-B310)*(1-'3. The decision'!$B$27)^('3. The decision'!$B$12-1)</f>
        <v>0.658485305235297</v>
      </c>
      <c r="D310" s="15" t="n">
        <f aca="false">1+(1-'3. The decision'!$B$27-B310)*(1-(1-'3. The decision'!$B$27)^('3. The decision'!$B$12-1))/'3. The decision'!$B$27</f>
        <v>5.06656371809727</v>
      </c>
      <c r="E310" s="15" t="n">
        <f aca="false">(1-'3. The decision'!$B$14)*(1-'3. The decision'!$B$27)^('3. The decision'!$B$11-1)</f>
        <v>0.690273454655712</v>
      </c>
      <c r="F310" s="15" t="n">
        <f aca="false">1+(1-'3. The decision'!$B$14)*(1-(1-'3. The decision'!$B$27)^('3. The decision'!$B$11-1))/'3. The decision'!$B$27</f>
        <v>4.28912098262087</v>
      </c>
      <c r="G310" s="15" t="n">
        <f aca="false">(1-(1-'3. The decision'!$B$9*MIN(1,('3. The decision'!$B$10/(52/12)))))+(1-(1-'3. The decision'!$B$9*MAX(0,MIN(1,('3. The decision'!$B$10/(52/12))-1))))*(1-'3. The decision'!$B$14)+(1-(1-'3. The decision'!$B$9*MAX(0,MIN(1,('3. The decision'!$B$10/(52/12))-2))))*(1-'3. The decision'!$B$14)*(1-'3. The decision'!$B$27)</f>
        <v>0.884576923076923</v>
      </c>
      <c r="H310" s="15" t="n">
        <f aca="false">IF(A310&lt;=0,0,MAX(0,ROUNDUP(LN('3. The decision'!$B$13)/LN(1+A310)-0.000000000001,0)-1))</f>
        <v>13</v>
      </c>
      <c r="I310" s="15" t="n">
        <f aca="false">IF(A310&lt;=0,1/(1-C310),(1+A310)*(1-(C310*(1+A310))^H310)/(1-C310*(1+A310))+'3. The decision'!$B$13*C310^H310/(1-C310))</f>
        <v>3.27234666035102</v>
      </c>
      <c r="J310" s="17" t="n">
        <f aca="false">F310+E310*D310/(1-C310)</f>
        <v>14.5297182234918</v>
      </c>
      <c r="K310" s="15" t="n">
        <f aca="false">F310-G310+E310*D310*I310</f>
        <v>14.8489692904999</v>
      </c>
      <c r="L310" s="17" t="n">
        <f aca="false">'3. The decision'!$B$8*'3. The decision'!$B$5/J310</f>
        <v>32.3227190490646</v>
      </c>
      <c r="M310" s="31" t="n">
        <f aca="false">L310*'3. The decision'!$B$6*'3. The decision'!$B$7*K310</f>
        <v>920572.870820456</v>
      </c>
      <c r="N310" s="31" t="n">
        <f aca="false">M310*(1+'3. The decision'!$B$19+'3. The decision'!$B$20+'3. The decision'!$B$22)</f>
        <v>1018153.59512742</v>
      </c>
      <c r="O310" s="31" t="n">
        <f aca="false">'3. The decision'!$B$17+'3. The decision'!$B$18*L310*12+M310*('3. The decision'!$B$20*(1-'3. The decision'!$B$21)+'3. The decision'!$B$23)+N310*('3. The decision'!$B$24+'3. The decision'!$B$25)</f>
        <v>575941.999120294</v>
      </c>
      <c r="P310" s="31" t="n">
        <f aca="false">N310-O310</f>
        <v>442211.59600713</v>
      </c>
    </row>
    <row r="311" customFormat="false" ht="15" hidden="false" customHeight="false" outlineLevel="0" collapsed="false">
      <c r="A311" s="27" t="n">
        <f aca="false">16*0.0025</f>
        <v>0.04</v>
      </c>
      <c r="B311" s="27" t="n">
        <f aca="false">IF(A311&gt;0,MIN('3. The decision'!$B$15,'3. The decision'!$B$29*(A311/'3. The decision'!$B$28)^$B$292),0)</f>
        <v>0.00535688086808686</v>
      </c>
      <c r="C311" s="15" t="n">
        <f aca="false">(1-'3. The decision'!$B$27-B311)*(1-'3. The decision'!$B$27)^('3. The decision'!$B$12-1)</f>
        <v>0.65794040946144</v>
      </c>
      <c r="D311" s="15" t="n">
        <f aca="false">1+(1-'3. The decision'!$B$27-B311)*(1-(1-'3. The decision'!$B$27)^('3. The decision'!$B$12-1))/'3. The decision'!$B$27</f>
        <v>5.06319864166125</v>
      </c>
      <c r="E311" s="15" t="n">
        <f aca="false">(1-'3. The decision'!$B$14)*(1-'3. The decision'!$B$27)^('3. The decision'!$B$11-1)</f>
        <v>0.690273454655712</v>
      </c>
      <c r="F311" s="15" t="n">
        <f aca="false">1+(1-'3. The decision'!$B$14)*(1-(1-'3. The decision'!$B$27)^('3. The decision'!$B$11-1))/'3. The decision'!$B$27</f>
        <v>4.28912098262087</v>
      </c>
      <c r="G311" s="15" t="n">
        <f aca="false">(1-(1-'3. The decision'!$B$9*MIN(1,('3. The decision'!$B$10/(52/12)))))+(1-(1-'3. The decision'!$B$9*MAX(0,MIN(1,('3. The decision'!$B$10/(52/12))-1))))*(1-'3. The decision'!$B$14)+(1-(1-'3. The decision'!$B$9*MAX(0,MIN(1,('3. The decision'!$B$10/(52/12))-2))))*(1-'3. The decision'!$B$14)*(1-'3. The decision'!$B$27)</f>
        <v>0.884576923076923</v>
      </c>
      <c r="H311" s="15" t="n">
        <f aca="false">IF(A311&lt;=0,0,MAX(0,ROUNDUP(LN('3. The decision'!$B$13)/LN(1+A311)-0.000000000001,0)-1))</f>
        <v>12</v>
      </c>
      <c r="I311" s="15" t="n">
        <f aca="false">IF(A311&lt;=0,1/(1-C311),(1+A311)*(1-(C311*(1+A311))^H311)/(1-C311*(1+A311))+'3. The decision'!$B$13*C311^H311/(1-C311))</f>
        <v>3.29029186073033</v>
      </c>
      <c r="J311" s="17" t="n">
        <f aca="false">F311+E311*D311/(1-C311)</f>
        <v>14.5066144096722</v>
      </c>
      <c r="K311" s="15" t="n">
        <f aca="false">F311-G311+E311*D311*I311</f>
        <v>14.9040865335293</v>
      </c>
      <c r="L311" s="17" t="n">
        <f aca="false">'3. The decision'!$B$8*'3. The decision'!$B$5/J311</f>
        <v>32.3741975030969</v>
      </c>
      <c r="M311" s="31" t="n">
        <f aca="false">L311*'3. The decision'!$B$6*'3. The decision'!$B$7*K311</f>
        <v>925461.488452794</v>
      </c>
      <c r="N311" s="31" t="n">
        <f aca="false">M311*(1+'3. The decision'!$B$19+'3. The decision'!$B$20+'3. The decision'!$B$22)</f>
        <v>1023560.40622879</v>
      </c>
      <c r="O311" s="31" t="n">
        <f aca="false">'3. The decision'!$B$17+'3. The decision'!$B$18*L311*12+M311*('3. The decision'!$B$20*(1-'3. The decision'!$B$21)+'3. The decision'!$B$23)+N311*('3. The decision'!$B$24+'3. The decision'!$B$25)</f>
        <v>576546.127601364</v>
      </c>
      <c r="P311" s="31" t="n">
        <f aca="false">N311-O311</f>
        <v>447014.278627426</v>
      </c>
    </row>
    <row r="312" customFormat="false" ht="15" hidden="false" customHeight="false" outlineLevel="0" collapsed="false">
      <c r="A312" s="27" t="n">
        <f aca="false">17*0.0025</f>
        <v>0.0425</v>
      </c>
      <c r="B312" s="27" t="n">
        <f aca="false">IF(A312&gt;0,MIN('3. The decision'!$B$15,'3. The decision'!$B$29*(A312/'3. The decision'!$B$28)^$B$292),0)</f>
        <v>0.00619585779045893</v>
      </c>
      <c r="C312" s="15" t="n">
        <f aca="false">(1-'3. The decision'!$B$27-B312)*(1-'3. The decision'!$B$27)^('3. The decision'!$B$12-1)</f>
        <v>0.657345677023677</v>
      </c>
      <c r="D312" s="15" t="n">
        <f aca="false">1+(1-'3. The decision'!$B$27-B312)*(1-(1-'3. The decision'!$B$27)^('3. The decision'!$B$12-1))/'3. The decision'!$B$27</f>
        <v>5.05952579226863</v>
      </c>
      <c r="E312" s="15" t="n">
        <f aca="false">(1-'3. The decision'!$B$14)*(1-'3. The decision'!$B$27)^('3. The decision'!$B$11-1)</f>
        <v>0.690273454655712</v>
      </c>
      <c r="F312" s="15" t="n">
        <f aca="false">1+(1-'3. The decision'!$B$14)*(1-(1-'3. The decision'!$B$27)^('3. The decision'!$B$11-1))/'3. The decision'!$B$27</f>
        <v>4.28912098262087</v>
      </c>
      <c r="G312" s="15" t="n">
        <f aca="false">(1-(1-'3. The decision'!$B$9*MIN(1,('3. The decision'!$B$10/(52/12)))))+(1-(1-'3. The decision'!$B$9*MAX(0,MIN(1,('3. The decision'!$B$10/(52/12))-1))))*(1-'3. The decision'!$B$14)+(1-(1-'3. The decision'!$B$9*MAX(0,MIN(1,('3. The decision'!$B$10/(52/12))-2))))*(1-'3. The decision'!$B$14)*(1-'3. The decision'!$B$27)</f>
        <v>0.884576923076923</v>
      </c>
      <c r="H312" s="15" t="n">
        <f aca="false">IF(A312&lt;=0,0,MAX(0,ROUNDUP(LN('3. The decision'!$B$13)/LN(1+A312)-0.000000000001,0)-1))</f>
        <v>11</v>
      </c>
      <c r="I312" s="15" t="n">
        <f aca="false">IF(A312&lt;=0,1/(1-C312),(1+A312)*(1-(C312*(1+A312))^H312)/(1-C312*(1+A312))+'3. The decision'!$B$13*C312^H312/(1-C312))</f>
        <v>3.3074669490307</v>
      </c>
      <c r="J312" s="17" t="n">
        <f aca="false">F312+E312*D312/(1-C312)</f>
        <v>14.4814813684849</v>
      </c>
      <c r="K312" s="15" t="n">
        <f aca="false">F312-G312+E312*D312*I312</f>
        <v>14.9557279999946</v>
      </c>
      <c r="L312" s="17" t="n">
        <f aca="false">'3. The decision'!$B$8*'3. The decision'!$B$5/J312</f>
        <v>32.4303838847623</v>
      </c>
      <c r="M312" s="31" t="n">
        <f aca="false">L312*'3. The decision'!$B$6*'3. The decision'!$B$7*K312</f>
        <v>930279.869555081</v>
      </c>
      <c r="N312" s="31" t="n">
        <f aca="false">M312*(1+'3. The decision'!$B$19+'3. The decision'!$B$20+'3. The decision'!$B$22)</f>
        <v>1028889.53572792</v>
      </c>
      <c r="O312" s="31" t="n">
        <f aca="false">'3. The decision'!$B$17+'3. The decision'!$B$18*L312*12+M312*('3. The decision'!$B$20*(1-'3. The decision'!$B$21)+'3. The decision'!$B$23)+N312*('3. The decision'!$B$24+'3. The decision'!$B$25)</f>
        <v>577149.828456829</v>
      </c>
      <c r="P312" s="31" t="n">
        <f aca="false">N312-O312</f>
        <v>451739.70727109</v>
      </c>
    </row>
    <row r="313" customFormat="false" ht="15" hidden="false" customHeight="false" outlineLevel="0" collapsed="false">
      <c r="A313" s="27" t="n">
        <f aca="false">18*0.0025</f>
        <v>0.045</v>
      </c>
      <c r="B313" s="27" t="n">
        <f aca="false">IF(A313&gt;0,MIN('3. The decision'!$B$15,'3. The decision'!$B$29*(A313/'3. The decision'!$B$28)^$B$292),0)</f>
        <v>0.00710686461174531</v>
      </c>
      <c r="C313" s="15" t="n">
        <f aca="false">(1-'3. The decision'!$B$27-B313)*(1-'3. The decision'!$B$27)^('3. The decision'!$B$12-1)</f>
        <v>0.656699884161926</v>
      </c>
      <c r="D313" s="15" t="n">
        <f aca="false">1+(1-'3. The decision'!$B$27-B313)*(1-(1-'3. The decision'!$B$27)^('3. The decision'!$B$12-1))/'3. The decision'!$B$27</f>
        <v>5.055537612426</v>
      </c>
      <c r="E313" s="15" t="n">
        <f aca="false">(1-'3. The decision'!$B$14)*(1-'3. The decision'!$B$27)^('3. The decision'!$B$11-1)</f>
        <v>0.690273454655712</v>
      </c>
      <c r="F313" s="15" t="n">
        <f aca="false">1+(1-'3. The decision'!$B$14)*(1-(1-'3. The decision'!$B$27)^('3. The decision'!$B$11-1))/'3. The decision'!$B$27</f>
        <v>4.28912098262087</v>
      </c>
      <c r="G313" s="15" t="n">
        <f aca="false">(1-(1-'3. The decision'!$B$9*MIN(1,('3. The decision'!$B$10/(52/12)))))+(1-(1-'3. The decision'!$B$9*MAX(0,MIN(1,('3. The decision'!$B$10/(52/12))-1))))*(1-'3. The decision'!$B$14)+(1-(1-'3. The decision'!$B$9*MAX(0,MIN(1,('3. The decision'!$B$10/(52/12))-2))))*(1-'3. The decision'!$B$14)*(1-'3. The decision'!$B$27)</f>
        <v>0.884576923076923</v>
      </c>
      <c r="H313" s="15" t="n">
        <f aca="false">IF(A313&lt;=0,0,MAX(0,ROUNDUP(LN('3. The decision'!$B$13)/LN(1+A313)-0.000000000001,0)-1))</f>
        <v>10</v>
      </c>
      <c r="I313" s="15" t="n">
        <f aca="false">IF(A313&lt;=0,1/(1-C313),(1+A313)*(1-(C313*(1+A313))^H313)/(1-C313*(1+A313))+'3. The decision'!$B$13*C313^H313/(1-C313))</f>
        <v>3.32392636979405</v>
      </c>
      <c r="J313" s="17" t="n">
        <f aca="false">F313+E313*D313/(1-C313)</f>
        <v>14.4542891601847</v>
      </c>
      <c r="K313" s="15" t="n">
        <f aca="false">F313-G313+E313*D313*I313</f>
        <v>15.0040612563468</v>
      </c>
      <c r="L313" s="17" t="n">
        <f aca="false">'3. The decision'!$B$8*'3. The decision'!$B$5/J313</f>
        <v>32.4913937167974</v>
      </c>
      <c r="M313" s="31" t="n">
        <f aca="false">L313*'3. The decision'!$B$6*'3. The decision'!$B$7*K313</f>
        <v>935042.056472598</v>
      </c>
      <c r="N313" s="31" t="n">
        <f aca="false">M313*(1+'3. The decision'!$B$19+'3. The decision'!$B$20+'3. The decision'!$B$22)</f>
        <v>1034156.51445869</v>
      </c>
      <c r="O313" s="31" t="n">
        <f aca="false">'3. The decision'!$B$17+'3. The decision'!$B$18*L313*12+M313*('3. The decision'!$B$20*(1-'3. The decision'!$B$21)+'3. The decision'!$B$23)+N313*('3. The decision'!$B$24+'3. The decision'!$B$25)</f>
        <v>577754.788019771</v>
      </c>
      <c r="P313" s="31" t="n">
        <f aca="false">N313-O313</f>
        <v>456401.726438923</v>
      </c>
    </row>
    <row r="314" customFormat="false" ht="15" hidden="false" customHeight="false" outlineLevel="0" collapsed="false">
      <c r="A314" s="27" t="n">
        <f aca="false">19*0.0025</f>
        <v>0.0475</v>
      </c>
      <c r="B314" s="27" t="n">
        <f aca="false">IF(A314&gt;0,MIN('3. The decision'!$B$15,'3. The decision'!$B$29*(A314/'3. The decision'!$B$28)^$B$292),0)</f>
        <v>0.00809156769984548</v>
      </c>
      <c r="C314" s="15" t="n">
        <f aca="false">(1-'3. The decision'!$B$27-B314)*(1-'3. The decision'!$B$27)^('3. The decision'!$B$12-1)</f>
        <v>0.656001849624333</v>
      </c>
      <c r="D314" s="15" t="n">
        <f aca="false">1+(1-'3. The decision'!$B$27-B314)*(1-(1-'3. The decision'!$B$27)^('3. The decision'!$B$12-1))/'3. The decision'!$B$27</f>
        <v>5.05122680715521</v>
      </c>
      <c r="E314" s="15" t="n">
        <f aca="false">(1-'3. The decision'!$B$14)*(1-'3. The decision'!$B$27)^('3. The decision'!$B$11-1)</f>
        <v>0.690273454655712</v>
      </c>
      <c r="F314" s="15" t="n">
        <f aca="false">1+(1-'3. The decision'!$B$14)*(1-(1-'3. The decision'!$B$27)^('3. The decision'!$B$11-1))/'3. The decision'!$B$27</f>
        <v>4.28912098262087</v>
      </c>
      <c r="G314" s="15" t="n">
        <f aca="false">(1-(1-'3. The decision'!$B$9*MIN(1,('3. The decision'!$B$10/(52/12)))))+(1-(1-'3. The decision'!$B$9*MAX(0,MIN(1,('3. The decision'!$B$10/(52/12))-1))))*(1-'3. The decision'!$B$14)+(1-(1-'3. The decision'!$B$9*MAX(0,MIN(1,('3. The decision'!$B$10/(52/12))-2))))*(1-'3. The decision'!$B$14)*(1-'3. The decision'!$B$27)</f>
        <v>0.884576923076923</v>
      </c>
      <c r="H314" s="15" t="n">
        <f aca="false">IF(A314&lt;=0,0,MAX(0,ROUNDUP(LN('3. The decision'!$B$13)/LN(1+A314)-0.000000000001,0)-1))</f>
        <v>10</v>
      </c>
      <c r="I314" s="15" t="n">
        <f aca="false">IF(A314&lt;=0,1/(1-C314),(1+A314)*(1-(C314*(1+A314))^H314)/(1-C314*(1+A314))+'3. The decision'!$B$13*C314^H314/(1-C314))</f>
        <v>3.33928116784155</v>
      </c>
      <c r="J314" s="17" t="n">
        <f aca="false">F314+E314*D314/(1-C314)</f>
        <v>14.4250120466189</v>
      </c>
      <c r="K314" s="15" t="n">
        <f aca="false">F314-G314+E314*D314*I314</f>
        <v>15.0477084674271</v>
      </c>
      <c r="L314" s="17" t="n">
        <f aca="false">'3. The decision'!$B$8*'3. The decision'!$B$5/J314</f>
        <v>32.5573384952618</v>
      </c>
      <c r="M314" s="31" t="n">
        <f aca="false">L314*'3. The decision'!$B$6*'3. The decision'!$B$7*K314</f>
        <v>939665.407637876</v>
      </c>
      <c r="N314" s="31" t="n">
        <f aca="false">M314*(1+'3. The decision'!$B$19+'3. The decision'!$B$20+'3. The decision'!$B$22)</f>
        <v>1039269.94084749</v>
      </c>
      <c r="O314" s="31" t="n">
        <f aca="false">'3. The decision'!$B$17+'3. The decision'!$B$18*L314*12+M314*('3. The decision'!$B$20*(1-'3. The decision'!$B$21)+'3. The decision'!$B$23)+N314*('3. The decision'!$B$24+'3. The decision'!$B$25)</f>
        <v>578352.280724054</v>
      </c>
      <c r="P314" s="31" t="n">
        <f aca="false">N314-O314</f>
        <v>460917.660123437</v>
      </c>
    </row>
    <row r="315" customFormat="false" ht="15" hidden="false" customHeight="false" outlineLevel="0" collapsed="false">
      <c r="A315" s="27" t="n">
        <f aca="false">20*0.0025</f>
        <v>0.05</v>
      </c>
      <c r="B315" s="27" t="n">
        <f aca="false">IF(A315&gt;0,MIN('3. The decision'!$B$15,'3. The decision'!$B$29*(A315/'3. The decision'!$B$28)^$B$292),0)</f>
        <v>0.00915157871218518</v>
      </c>
      <c r="C315" s="15" t="n">
        <f aca="false">(1-'3. The decision'!$B$27-B315)*(1-'3. The decision'!$B$27)^('3. The decision'!$B$12-1)</f>
        <v>0.65525043094211</v>
      </c>
      <c r="D315" s="15" t="n">
        <f aca="false">1+(1-'3. The decision'!$B$27-B315)*(1-(1-'3. The decision'!$B$27)^('3. The decision'!$B$12-1))/'3. The decision'!$B$27</f>
        <v>5.04658632098804</v>
      </c>
      <c r="E315" s="15" t="n">
        <f aca="false">(1-'3. The decision'!$B$14)*(1-'3. The decision'!$B$27)^('3. The decision'!$B$11-1)</f>
        <v>0.690273454655712</v>
      </c>
      <c r="F315" s="15" t="n">
        <f aca="false">1+(1-'3. The decision'!$B$14)*(1-(1-'3. The decision'!$B$27)^('3. The decision'!$B$11-1))/'3. The decision'!$B$27</f>
        <v>4.28912098262087</v>
      </c>
      <c r="G315" s="15" t="n">
        <f aca="false">(1-(1-'3. The decision'!$B$9*MIN(1,('3. The decision'!$B$10/(52/12)))))+(1-(1-'3. The decision'!$B$9*MAX(0,MIN(1,('3. The decision'!$B$10/(52/12))-1))))*(1-'3. The decision'!$B$14)+(1-(1-'3. The decision'!$B$9*MAX(0,MIN(1,('3. The decision'!$B$10/(52/12))-2))))*(1-'3. The decision'!$B$14)*(1-'3. The decision'!$B$27)</f>
        <v>0.884576923076923</v>
      </c>
      <c r="H315" s="15" t="n">
        <f aca="false">IF(A315&lt;=0,0,MAX(0,ROUNDUP(LN('3. The decision'!$B$13)/LN(1+A315)-0.000000000001,0)-1))</f>
        <v>9</v>
      </c>
      <c r="I315" s="15" t="n">
        <f aca="false">IF(A315&lt;=0,1/(1-C315),(1+A315)*(1-(C315*(1+A315))^H315)/(1-C315*(1+A315))+'3. The decision'!$B$13*C315^H315/(1-C315))</f>
        <v>3.35390152333429</v>
      </c>
      <c r="J315" s="17" t="n">
        <f aca="false">F315+E315*D315/(1-C315)</f>
        <v>14.3936283893342</v>
      </c>
      <c r="K315" s="15" t="n">
        <f aca="false">F315-G315+E315*D315*I315</f>
        <v>15.0879424348774</v>
      </c>
      <c r="L315" s="17" t="n">
        <f aca="false">'3. The decision'!$B$8*'3. The decision'!$B$5/J315</f>
        <v>32.6283260409868</v>
      </c>
      <c r="M315" s="31" t="n">
        <f aca="false">L315*'3. The decision'!$B$6*'3. The decision'!$B$7*K315</f>
        <v>944232.158651089</v>
      </c>
      <c r="N315" s="31" t="n">
        <f aca="false">M315*(1+'3. The decision'!$B$19+'3. The decision'!$B$20+'3. The decision'!$B$22)</f>
        <v>1044320.7674681</v>
      </c>
      <c r="O315" s="31" t="n">
        <f aca="false">'3. The decision'!$B$17+'3. The decision'!$B$18*L315*12+M315*('3. The decision'!$B$20*(1-'3. The decision'!$B$21)+'3. The decision'!$B$23)+N315*('3. The decision'!$B$24+'3. The decision'!$B$25)</f>
        <v>578951.320671109</v>
      </c>
      <c r="P315" s="31" t="n">
        <f aca="false">N315-O315</f>
        <v>465369.446796995</v>
      </c>
    </row>
    <row r="316" customFormat="false" ht="15" hidden="false" customHeight="false" outlineLevel="0" collapsed="false">
      <c r="A316" s="27" t="n">
        <f aca="false">21*0.0025</f>
        <v>0.0525</v>
      </c>
      <c r="B316" s="27" t="n">
        <f aca="false">IF(A316&gt;0,MIN('3. The decision'!$B$15,'3. The decision'!$B$29*(A316/'3. The decision'!$B$28)^$B$292),0)</f>
        <v>0.0102884591407107</v>
      </c>
      <c r="C316" s="15" t="n">
        <f aca="false">(1-'3. The decision'!$B$27-B316)*(1-'3. The decision'!$B$27)^('3. The decision'!$B$12-1)</f>
        <v>0.65444452120768</v>
      </c>
      <c r="D316" s="15" t="n">
        <f aca="false">1+(1-'3. The decision'!$B$27-B316)*(1-(1-'3. The decision'!$B$27)^('3. The decision'!$B$12-1))/'3. The decision'!$B$27</f>
        <v>5.04160931806931</v>
      </c>
      <c r="E316" s="15" t="n">
        <f aca="false">(1-'3. The decision'!$B$14)*(1-'3. The decision'!$B$27)^('3. The decision'!$B$11-1)</f>
        <v>0.690273454655712</v>
      </c>
      <c r="F316" s="15" t="n">
        <f aca="false">1+(1-'3. The decision'!$B$14)*(1-(1-'3. The decision'!$B$27)^('3. The decision'!$B$11-1))/'3. The decision'!$B$27</f>
        <v>4.28912098262087</v>
      </c>
      <c r="G316" s="15" t="n">
        <f aca="false">(1-(1-'3. The decision'!$B$9*MIN(1,('3. The decision'!$B$10/(52/12)))))+(1-(1-'3. The decision'!$B$9*MAX(0,MIN(1,('3. The decision'!$B$10/(52/12))-1))))*(1-'3. The decision'!$B$14)+(1-(1-'3. The decision'!$B$9*MAX(0,MIN(1,('3. The decision'!$B$10/(52/12))-2))))*(1-'3. The decision'!$B$14)*(1-'3. The decision'!$B$27)</f>
        <v>0.884576923076923</v>
      </c>
      <c r="H316" s="15" t="n">
        <f aca="false">IF(A316&lt;=0,0,MAX(0,ROUNDUP(LN('3. The decision'!$B$13)/LN(1+A316)-0.000000000001,0)-1))</f>
        <v>9</v>
      </c>
      <c r="I316" s="15" t="n">
        <f aca="false">IF(A316&lt;=0,1/(1-C316),(1+A316)*(1-(C316*(1+A316))^H316)/(1-C316*(1+A316))+'3. The decision'!$B$13*C316^H316/(1-C316))</f>
        <v>3.36729840796732</v>
      </c>
      <c r="J316" s="17" t="n">
        <f aca="false">F316+E316*D316/(1-C316)</f>
        <v>14.3601205603752</v>
      </c>
      <c r="K316" s="15" t="n">
        <f aca="false">F316-G316+E316*D316*I316</f>
        <v>15.1230424816071</v>
      </c>
      <c r="L316" s="17" t="n">
        <f aca="false">'3. The decision'!$B$8*'3. The decision'!$B$5/J316</f>
        <v>32.7044608034775</v>
      </c>
      <c r="M316" s="31" t="n">
        <f aca="false">L316*'3. The decision'!$B$6*'3. The decision'!$B$7*K316</f>
        <v>948637.178288868</v>
      </c>
      <c r="N316" s="31" t="n">
        <f aca="false">M316*(1+'3. The decision'!$B$19+'3. The decision'!$B$20+'3. The decision'!$B$22)</f>
        <v>1049192.71918749</v>
      </c>
      <c r="O316" s="31" t="n">
        <f aca="false">'3. The decision'!$B$17+'3. The decision'!$B$18*L316*12+M316*('3. The decision'!$B$20*(1-'3. The decision'!$B$21)+'3. The decision'!$B$23)+N316*('3. The decision'!$B$24+'3. The decision'!$B$25)</f>
        <v>579540.751126255</v>
      </c>
      <c r="P316" s="31" t="n">
        <f aca="false">N316-O316</f>
        <v>469651.968061232</v>
      </c>
    </row>
    <row r="317" customFormat="false" ht="15" hidden="false" customHeight="false" outlineLevel="0" collapsed="false">
      <c r="A317" s="27" t="n">
        <f aca="false">22*0.0025</f>
        <v>0.055</v>
      </c>
      <c r="B317" s="27" t="n">
        <f aca="false">IF(A317&gt;0,MIN('3. The decision'!$B$15,'3. The decision'!$B$29*(A317/'3. The decision'!$B$28)^$B$292),0)</f>
        <v>0.0115037242732142</v>
      </c>
      <c r="C317" s="15" t="n">
        <f aca="false">(1-'3. The decision'!$B$27-B317)*(1-'3. The decision'!$B$27)^('3. The decision'!$B$12-1)</f>
        <v>0.653583046266583</v>
      </c>
      <c r="D317" s="15" t="n">
        <f aca="false">1+(1-'3. The decision'!$B$27-B317)*(1-(1-'3. The decision'!$B$27)^('3. The decision'!$B$12-1))/'3. The decision'!$B$27</f>
        <v>5.03628916481507</v>
      </c>
      <c r="E317" s="15" t="n">
        <f aca="false">(1-'3. The decision'!$B$14)*(1-'3. The decision'!$B$27)^('3. The decision'!$B$11-1)</f>
        <v>0.690273454655712</v>
      </c>
      <c r="F317" s="15" t="n">
        <f aca="false">1+(1-'3. The decision'!$B$14)*(1-(1-'3. The decision'!$B$27)^('3. The decision'!$B$11-1))/'3. The decision'!$B$27</f>
        <v>4.28912098262087</v>
      </c>
      <c r="G317" s="15" t="n">
        <f aca="false">(1-(1-'3. The decision'!$B$9*MIN(1,('3. The decision'!$B$10/(52/12)))))+(1-(1-'3. The decision'!$B$9*MAX(0,MIN(1,('3. The decision'!$B$10/(52/12))-1))))*(1-'3. The decision'!$B$14)+(1-(1-'3. The decision'!$B$9*MAX(0,MIN(1,('3. The decision'!$B$10/(52/12))-2))))*(1-'3. The decision'!$B$14)*(1-'3. The decision'!$B$27)</f>
        <v>0.884576923076923</v>
      </c>
      <c r="H317" s="15" t="n">
        <f aca="false">IF(A317&lt;=0,0,MAX(0,ROUNDUP(LN('3. The decision'!$B$13)/LN(1+A317)-0.000000000001,0)-1))</f>
        <v>9</v>
      </c>
      <c r="I317" s="15" t="n">
        <f aca="false">IF(A317&lt;=0,1/(1-C317),(1+A317)*(1-(C317*(1+A317))^H317)/(1-C317*(1+A317))+'3. The decision'!$B$13*C317^H317/(1-C317))</f>
        <v>3.38011334286304</v>
      </c>
      <c r="J317" s="17" t="n">
        <f aca="false">F317+E317*D317/(1-C317)</f>
        <v>14.3244748617422</v>
      </c>
      <c r="K317" s="15" t="n">
        <f aca="false">F317-G317+E317*D317*I317</f>
        <v>15.1552266016622</v>
      </c>
      <c r="L317" s="17" t="n">
        <f aca="false">'3. The decision'!$B$8*'3. The decision'!$B$5/J317</f>
        <v>32.7858441257288</v>
      </c>
      <c r="M317" s="31" t="n">
        <f aca="false">L317*'3. The decision'!$B$6*'3. The decision'!$B$7*K317</f>
        <v>953021.678845365</v>
      </c>
      <c r="N317" s="31" t="n">
        <f aca="false">M317*(1+'3. The decision'!$B$19+'3. The decision'!$B$20+'3. The decision'!$B$22)</f>
        <v>1054041.97680297</v>
      </c>
      <c r="O317" s="31" t="n">
        <f aca="false">'3. The decision'!$B$17+'3. The decision'!$B$18*L317*12+M317*('3. The decision'!$B$20*(1-'3. The decision'!$B$21)+'3. The decision'!$B$23)+N317*('3. The decision'!$B$24+'3. The decision'!$B$25)</f>
        <v>580135.92386273</v>
      </c>
      <c r="P317" s="31" t="n">
        <f aca="false">N317-O317</f>
        <v>473906.052940244</v>
      </c>
    </row>
    <row r="318" customFormat="false" ht="15" hidden="false" customHeight="false" outlineLevel="0" collapsed="false">
      <c r="A318" s="27" t="n">
        <f aca="false">23*0.0025</f>
        <v>0.0575</v>
      </c>
      <c r="B318" s="27" t="n">
        <f aca="false">IF(A318&gt;0,MIN('3. The decision'!$B$15,'3. The decision'!$B$29*(A318/'3. The decision'!$B$28)^$B$292),0)</f>
        <v>0.0127988466699508</v>
      </c>
      <c r="C318" s="15" t="n">
        <f aca="false">(1-'3. The decision'!$B$27-B318)*(1-'3. The decision'!$B$27)^('3. The decision'!$B$12-1)</f>
        <v>0.652664962252979</v>
      </c>
      <c r="D318" s="15" t="n">
        <f aca="false">1+(1-'3. The decision'!$B$27-B318)*(1-(1-'3. The decision'!$B$27)^('3. The decision'!$B$12-1))/'3. The decision'!$B$27</f>
        <v>5.03061941469278</v>
      </c>
      <c r="E318" s="15" t="n">
        <f aca="false">(1-'3. The decision'!$B$14)*(1-'3. The decision'!$B$27)^('3. The decision'!$B$11-1)</f>
        <v>0.690273454655712</v>
      </c>
      <c r="F318" s="15" t="n">
        <f aca="false">1+(1-'3. The decision'!$B$14)*(1-(1-'3. The decision'!$B$27)^('3. The decision'!$B$11-1))/'3. The decision'!$B$27</f>
        <v>4.28912098262087</v>
      </c>
      <c r="G318" s="15" t="n">
        <f aca="false">(1-(1-'3. The decision'!$B$9*MIN(1,('3. The decision'!$B$10/(52/12)))))+(1-(1-'3. The decision'!$B$9*MAX(0,MIN(1,('3. The decision'!$B$10/(52/12))-1))))*(1-'3. The decision'!$B$14)+(1-(1-'3. The decision'!$B$9*MAX(0,MIN(1,('3. The decision'!$B$10/(52/12))-2))))*(1-'3. The decision'!$B$14)*(1-'3. The decision'!$B$27)</f>
        <v>0.884576923076923</v>
      </c>
      <c r="H318" s="15" t="n">
        <f aca="false">IF(A318&lt;=0,0,MAX(0,ROUNDUP(LN('3. The decision'!$B$13)/LN(1+A318)-0.000000000001,0)-1))</f>
        <v>8</v>
      </c>
      <c r="I318" s="15" t="n">
        <f aca="false">IF(A318&lt;=0,1/(1-C318),(1+A318)*(1-(C318*(1+A318))^H318)/(1-C318*(1+A318))+'3. The decision'!$B$13*C318^H318/(1-C318))</f>
        <v>3.3912073348061</v>
      </c>
      <c r="J318" s="17" t="n">
        <f aca="false">F318+E318*D318/(1-C318)</f>
        <v>14.2866814503536</v>
      </c>
      <c r="K318" s="15" t="n">
        <f aca="false">F318-G318+E318*D318*I318</f>
        <v>15.1805218471965</v>
      </c>
      <c r="L318" s="17" t="n">
        <f aca="false">'3. The decision'!$B$8*'3. The decision'!$B$5/J318</f>
        <v>32.8725744765853</v>
      </c>
      <c r="M318" s="31" t="n">
        <f aca="false">L318*'3. The decision'!$B$6*'3. The decision'!$B$7*K318</f>
        <v>957137.638779345</v>
      </c>
      <c r="N318" s="31" t="n">
        <f aca="false">M318*(1+'3. The decision'!$B$19+'3. The decision'!$B$20+'3. The decision'!$B$22)</f>
        <v>1058594.22848996</v>
      </c>
      <c r="O318" s="31" t="n">
        <f aca="false">'3. The decision'!$B$17+'3. The decision'!$B$18*L318*12+M318*('3. The decision'!$B$20*(1-'3. The decision'!$B$21)+'3. The decision'!$B$23)+N318*('3. The decision'!$B$24+'3. The decision'!$B$25)</f>
        <v>580710.294229912</v>
      </c>
      <c r="P318" s="31" t="n">
        <f aca="false">N318-O318</f>
        <v>477883.934260043</v>
      </c>
    </row>
    <row r="319" customFormat="false" ht="15" hidden="false" customHeight="false" outlineLevel="0" collapsed="false">
      <c r="A319" s="27" t="n">
        <f aca="false">24*0.0025</f>
        <v>0.06</v>
      </c>
      <c r="B319" s="27" t="n">
        <f aca="false">IF(A319&gt;0,MIN('3. The decision'!$B$15,'3. The decision'!$B$29*(A319/'3. The decision'!$B$28)^$B$292),0)</f>
        <v>0.0141752592340216</v>
      </c>
      <c r="C319" s="15" t="n">
        <f aca="false">(1-'3. The decision'!$B$27-B319)*(1-'3. The decision'!$B$27)^('3. The decision'!$B$12-1)</f>
        <v>0.651689253413119</v>
      </c>
      <c r="D319" s="15" t="n">
        <f aca="false">1+(1-'3. The decision'!$B$27-B319)*(1-(1-'3. The decision'!$B$27)^('3. The decision'!$B$12-1))/'3. The decision'!$B$27</f>
        <v>5.02459379477984</v>
      </c>
      <c r="E319" s="15" t="n">
        <f aca="false">(1-'3. The decision'!$B$14)*(1-'3. The decision'!$B$27)^('3. The decision'!$B$11-1)</f>
        <v>0.690273454655712</v>
      </c>
      <c r="F319" s="15" t="n">
        <f aca="false">1+(1-'3. The decision'!$B$14)*(1-(1-'3. The decision'!$B$27)^('3. The decision'!$B$11-1))/'3. The decision'!$B$27</f>
        <v>4.28912098262087</v>
      </c>
      <c r="G319" s="15" t="n">
        <f aca="false">(1-(1-'3. The decision'!$B$9*MIN(1,('3. The decision'!$B$10/(52/12)))))+(1-(1-'3. The decision'!$B$9*MAX(0,MIN(1,('3. The decision'!$B$10/(52/12))-1))))*(1-'3. The decision'!$B$14)+(1-(1-'3. The decision'!$B$9*MAX(0,MIN(1,('3. The decision'!$B$10/(52/12))-2))))*(1-'3. The decision'!$B$14)*(1-'3. The decision'!$B$27)</f>
        <v>0.884576923076923</v>
      </c>
      <c r="H319" s="15" t="n">
        <f aca="false">IF(A319&lt;=0,0,MAX(0,ROUNDUP(LN('3. The decision'!$B$13)/LN(1+A319)-0.000000000001,0)-1))</f>
        <v>8</v>
      </c>
      <c r="I319" s="15" t="n">
        <f aca="false">IF(A319&lt;=0,1/(1-C319),(1+A319)*(1-(C319*(1+A319))^H319)/(1-C319*(1+A319))+'3. The decision'!$B$13*C319^H319/(1-C319))</f>
        <v>3.40165329547477</v>
      </c>
      <c r="J319" s="17" t="n">
        <f aca="false">F319+E319*D319/(1-C319)</f>
        <v>14.2467342660204</v>
      </c>
      <c r="K319" s="15" t="n">
        <f aca="false">F319-G319+E319*D319*I319</f>
        <v>15.2026468941949</v>
      </c>
      <c r="L319" s="17" t="n">
        <f aca="false">'3. The decision'!$B$8*'3. The decision'!$B$5/J319</f>
        <v>32.9647476558982</v>
      </c>
      <c r="M319" s="31" t="n">
        <f aca="false">L319*'3. The decision'!$B$6*'3. The decision'!$B$7*K319</f>
        <v>961220.312543646</v>
      </c>
      <c r="N319" s="31" t="n">
        <f aca="false">M319*(1+'3. The decision'!$B$19+'3. The decision'!$B$20+'3. The decision'!$B$22)</f>
        <v>1063109.66567327</v>
      </c>
      <c r="O319" s="31" t="n">
        <f aca="false">'3. The decision'!$B$17+'3. The decision'!$B$18*L319*12+M319*('3. The decision'!$B$20*(1-'3. The decision'!$B$21)+'3. The decision'!$B$23)+N319*('3. The decision'!$B$24+'3. The decision'!$B$25)</f>
        <v>581289.327079518</v>
      </c>
      <c r="P319" s="31" t="n">
        <f aca="false">N319-O319</f>
        <v>481820.338593754</v>
      </c>
    </row>
    <row r="320" customFormat="false" ht="15" hidden="false" customHeight="false" outlineLevel="0" collapsed="false">
      <c r="A320" s="27" t="n">
        <f aca="false">25*0.0025</f>
        <v>0.0625</v>
      </c>
      <c r="B320" s="27" t="n">
        <f aca="false">IF(A320&gt;0,MIN('3. The decision'!$B$15,'3. The decision'!$B$29*(A320/'3. The decision'!$B$28)^$B$292),0)</f>
        <v>0.015634357938453</v>
      </c>
      <c r="C320" s="15" t="n">
        <f aca="false">(1-'3. The decision'!$B$27-B320)*(1-'3. The decision'!$B$27)^('3. The decision'!$B$12-1)</f>
        <v>0.650654930172177</v>
      </c>
      <c r="D320" s="15" t="n">
        <f aca="false">1+(1-'3. The decision'!$B$27-B320)*(1-(1-'3. The decision'!$B$27)^('3. The decision'!$B$12-1))/'3. The decision'!$B$27</f>
        <v>5.01820619382511</v>
      </c>
      <c r="E320" s="15" t="n">
        <f aca="false">(1-'3. The decision'!$B$14)*(1-'3. The decision'!$B$27)^('3. The decision'!$B$11-1)</f>
        <v>0.690273454655712</v>
      </c>
      <c r="F320" s="15" t="n">
        <f aca="false">1+(1-'3. The decision'!$B$14)*(1-(1-'3. The decision'!$B$27)^('3. The decision'!$B$11-1))/'3. The decision'!$B$27</f>
        <v>4.28912098262087</v>
      </c>
      <c r="G320" s="15" t="n">
        <f aca="false">(1-(1-'3. The decision'!$B$9*MIN(1,('3. The decision'!$B$10/(52/12)))))+(1-(1-'3. The decision'!$B$9*MAX(0,MIN(1,('3. The decision'!$B$10/(52/12))-1))))*(1-'3. The decision'!$B$14)+(1-(1-'3. The decision'!$B$9*MAX(0,MIN(1,('3. The decision'!$B$10/(52/12))-2))))*(1-'3. The decision'!$B$14)*(1-'3. The decision'!$B$27)</f>
        <v>0.884576923076923</v>
      </c>
      <c r="H320" s="15" t="n">
        <f aca="false">IF(A320&lt;=0,0,MAX(0,ROUNDUP(LN('3. The decision'!$B$13)/LN(1+A320)-0.000000000001,0)-1))</f>
        <v>7</v>
      </c>
      <c r="I320" s="15" t="n">
        <f aca="false">IF(A320&lt;=0,1/(1-C320),(1+A320)*(1-(C320*(1+A320))^H320)/(1-C320*(1+A320))+'3. The decision'!$B$13*C320^H320/(1-C320))</f>
        <v>3.41125808458978</v>
      </c>
      <c r="J320" s="17" t="n">
        <f aca="false">F320+E320*D320/(1-C320)</f>
        <v>14.204630960459</v>
      </c>
      <c r="K320" s="15" t="n">
        <f aca="false">F320-G320+E320*D320*I320</f>
        <v>15.22091871444</v>
      </c>
      <c r="L320" s="17" t="n">
        <f aca="false">'3. The decision'!$B$8*'3. The decision'!$B$5/J320</f>
        <v>33.0624569766945</v>
      </c>
      <c r="M320" s="31" t="n">
        <f aca="false">L320*'3. The decision'!$B$6*'3. The decision'!$B$7*K320</f>
        <v>965228.122043394</v>
      </c>
      <c r="N320" s="31" t="n">
        <f aca="false">M320*(1+'3. The decision'!$B$19+'3. The decision'!$B$20+'3. The decision'!$B$22)</f>
        <v>1067542.30297999</v>
      </c>
      <c r="O320" s="31" t="n">
        <f aca="false">'3. The decision'!$B$17+'3. The decision'!$B$18*L320*12+M320*('3. The decision'!$B$20*(1-'3. The decision'!$B$21)+'3. The decision'!$B$23)+N320*('3. The decision'!$B$24+'3. The decision'!$B$25)</f>
        <v>581868.68883953</v>
      </c>
      <c r="P320" s="31" t="n">
        <f aca="false">N320-O320</f>
        <v>485673.614140463</v>
      </c>
    </row>
    <row r="321" customFormat="false" ht="15" hidden="false" customHeight="false" outlineLevel="0" collapsed="false">
      <c r="A321" s="27" t="n">
        <f aca="false">26*0.0025</f>
        <v>0.065</v>
      </c>
      <c r="B321" s="27" t="n">
        <f aca="false">IF(A321&gt;0,MIN('3. The decision'!$B$15,'3. The decision'!$B$29*(A321/'3. The decision'!$B$28)^$B$292),0)</f>
        <v>0.0171775042609547</v>
      </c>
      <c r="C321" s="15" t="n">
        <f aca="false">(1-'3. The decision'!$B$27-B321)*(1-'3. The decision'!$B$27)^('3. The decision'!$B$12-1)</f>
        <v>0.649561027408307</v>
      </c>
      <c r="D321" s="15" t="n">
        <f aca="false">1+(1-'3. The decision'!$B$27-B321)*(1-(1-'3. The decision'!$B$27)^('3. The decision'!$B$12-1))/'3. The decision'!$B$27</f>
        <v>5.01145065159005</v>
      </c>
      <c r="E321" s="15" t="n">
        <f aca="false">(1-'3. The decision'!$B$14)*(1-'3. The decision'!$B$27)^('3. The decision'!$B$11-1)</f>
        <v>0.690273454655712</v>
      </c>
      <c r="F321" s="15" t="n">
        <f aca="false">1+(1-'3. The decision'!$B$14)*(1-(1-'3. The decision'!$B$27)^('3. The decision'!$B$11-1))/'3. The decision'!$B$27</f>
        <v>4.28912098262087</v>
      </c>
      <c r="G321" s="15" t="n">
        <f aca="false">(1-(1-'3. The decision'!$B$9*MIN(1,('3. The decision'!$B$10/(52/12)))))+(1-(1-'3. The decision'!$B$9*MAX(0,MIN(1,('3. The decision'!$B$10/(52/12))-1))))*(1-'3. The decision'!$B$14)+(1-(1-'3. The decision'!$B$9*MAX(0,MIN(1,('3. The decision'!$B$10/(52/12))-2))))*(1-'3. The decision'!$B$14)*(1-'3. The decision'!$B$27)</f>
        <v>0.884576923076923</v>
      </c>
      <c r="H321" s="15" t="n">
        <f aca="false">IF(A321&lt;=0,0,MAX(0,ROUNDUP(LN('3. The decision'!$B$13)/LN(1+A321)-0.000000000001,0)-1))</f>
        <v>7</v>
      </c>
      <c r="I321" s="15" t="n">
        <f aca="false">IF(A321&lt;=0,1/(1-C321),(1+A321)*(1-(C321*(1+A321))^H321)/(1-C321*(1+A321))+'3. The decision'!$B$13*C321^H321/(1-C321))</f>
        <v>3.41891510168017</v>
      </c>
      <c r="J321" s="17" t="n">
        <f aca="false">F321+E321*D321/(1-C321)</f>
        <v>14.1603728257776</v>
      </c>
      <c r="K321" s="15" t="n">
        <f aca="false">F321-G321+E321*D321*I321</f>
        <v>15.2314991329191</v>
      </c>
      <c r="L321" s="17" t="n">
        <f aca="false">'3. The decision'!$B$8*'3. The decision'!$B$5/J321</f>
        <v>33.1657934277738</v>
      </c>
      <c r="M321" s="31" t="n">
        <f aca="false">L321*'3. The decision'!$B$6*'3. The decision'!$B$7*K321</f>
        <v>968917.984820993</v>
      </c>
      <c r="N321" s="31" t="n">
        <f aca="false">M321*(1+'3. The decision'!$B$19+'3. The decision'!$B$20+'3. The decision'!$B$22)</f>
        <v>1071623.29121202</v>
      </c>
      <c r="O321" s="31" t="n">
        <f aca="false">'3. The decision'!$B$17+'3. The decision'!$B$18*L321*12+M321*('3. The decision'!$B$20*(1-'3. The decision'!$B$21)+'3. The decision'!$B$23)+N321*('3. The decision'!$B$24+'3. The decision'!$B$25)</f>
        <v>582422.355107068</v>
      </c>
      <c r="P321" s="31" t="n">
        <f aca="false">N321-O321</f>
        <v>489200.936104951</v>
      </c>
    </row>
    <row r="322" customFormat="false" ht="15" hidden="false" customHeight="false" outlineLevel="0" collapsed="false">
      <c r="A322" s="27" t="n">
        <f aca="false">27*0.0025</f>
        <v>0.0675</v>
      </c>
      <c r="B322" s="27" t="n">
        <f aca="false">IF(A322&gt;0,MIN('3. The decision'!$B$15,'3. The decision'!$B$29*(A322/'3. The decision'!$B$28)^$B$292),0)</f>
        <v>0.0188060273680424</v>
      </c>
      <c r="C322" s="15" t="n">
        <f aca="false">(1-'3. The decision'!$B$27-B322)*(1-'3. The decision'!$B$27)^('3. The decision'!$B$12-1)</f>
        <v>0.648406602904361</v>
      </c>
      <c r="D322" s="15" t="n">
        <f aca="false">1+(1-'3. The decision'!$B$27-B322)*(1-(1-'3. The decision'!$B$27)^('3. The decision'!$B$12-1))/'3. The decision'!$B$27</f>
        <v>5.00432134928717</v>
      </c>
      <c r="E322" s="15" t="n">
        <f aca="false">(1-'3. The decision'!$B$14)*(1-'3. The decision'!$B$27)^('3. The decision'!$B$11-1)</f>
        <v>0.690273454655712</v>
      </c>
      <c r="F322" s="15" t="n">
        <f aca="false">1+(1-'3. The decision'!$B$14)*(1-(1-'3. The decision'!$B$27)^('3. The decision'!$B$11-1))/'3. The decision'!$B$27</f>
        <v>4.28912098262087</v>
      </c>
      <c r="G322" s="15" t="n">
        <f aca="false">(1-(1-'3. The decision'!$B$9*MIN(1,('3. The decision'!$B$10/(52/12)))))+(1-(1-'3. The decision'!$B$9*MAX(0,MIN(1,('3. The decision'!$B$10/(52/12))-1))))*(1-'3. The decision'!$B$14)+(1-(1-'3. The decision'!$B$9*MAX(0,MIN(1,('3. The decision'!$B$10/(52/12))-2))))*(1-'3. The decision'!$B$14)*(1-'3. The decision'!$B$27)</f>
        <v>0.884576923076923</v>
      </c>
      <c r="H322" s="15" t="n">
        <f aca="false">IF(A322&lt;=0,0,MAX(0,ROUNDUP(LN('3. The decision'!$B$13)/LN(1+A322)-0.000000000001,0)-1))</f>
        <v>7</v>
      </c>
      <c r="I322" s="15" t="n">
        <f aca="false">IF(A322&lt;=0,1/(1-C322),(1+A322)*(1-(C322*(1+A322))^H322)/(1-C322*(1+A322))+'3. The decision'!$B$13*C322^H322/(1-C322))</f>
        <v>3.42591674156943</v>
      </c>
      <c r="J322" s="17" t="n">
        <f aca="false">F322+E322*D322/(1-C322)</f>
        <v>14.113964721197</v>
      </c>
      <c r="K322" s="15" t="n">
        <f aca="false">F322-G322+E322*D322*I322</f>
        <v>15.2388601929356</v>
      </c>
      <c r="L322" s="17" t="n">
        <f aca="false">'3. The decision'!$B$8*'3. The decision'!$B$5/J322</f>
        <v>33.2748458195219</v>
      </c>
      <c r="M322" s="31" t="n">
        <f aca="false">L322*'3. The decision'!$B$6*'3. The decision'!$B$7*K322</f>
        <v>972573.679639433</v>
      </c>
      <c r="N322" s="31" t="n">
        <f aca="false">M322*(1+'3. The decision'!$B$19+'3. The decision'!$B$20+'3. The decision'!$B$22)</f>
        <v>1075666.48968121</v>
      </c>
      <c r="O322" s="31" t="n">
        <f aca="false">'3. The decision'!$B$17+'3. The decision'!$B$18*L322*12+M322*('3. The decision'!$B$20*(1-'3. The decision'!$B$21)+'3. The decision'!$B$23)+N322*('3. The decision'!$B$24+'3. The decision'!$B$25)</f>
        <v>582981.002671907</v>
      </c>
      <c r="P322" s="31" t="n">
        <f aca="false">N322-O322</f>
        <v>492685.487009306</v>
      </c>
    </row>
    <row r="323" customFormat="false" ht="15" hidden="false" customHeight="false" outlineLevel="0" collapsed="false">
      <c r="A323" s="27" t="n">
        <f aca="false">28*0.0025</f>
        <v>0.07</v>
      </c>
      <c r="B323" s="27" t="n">
        <f aca="false">IF(A323&gt;0,MIN('3. The decision'!$B$15,'3. The decision'!$B$29*(A323/'3. The decision'!$B$28)^$B$292),0)</f>
        <v>0.0205212260829038</v>
      </c>
      <c r="C323" s="15" t="n">
        <f aca="false">(1-'3. The decision'!$B$27-B323)*(1-'3. The decision'!$B$27)^('3. The decision'!$B$12-1)</f>
        <v>0.647190735952916</v>
      </c>
      <c r="D323" s="15" t="n">
        <f aca="false">1+(1-'3. The decision'!$B$27-B323)*(1-(1-'3. The decision'!$B$27)^('3. The decision'!$B$12-1))/'3. The decision'!$B$27</f>
        <v>4.99681260096512</v>
      </c>
      <c r="E323" s="15" t="n">
        <f aca="false">(1-'3. The decision'!$B$14)*(1-'3. The decision'!$B$27)^('3. The decision'!$B$11-1)</f>
        <v>0.690273454655712</v>
      </c>
      <c r="F323" s="15" t="n">
        <f aca="false">1+(1-'3. The decision'!$B$14)*(1-(1-'3. The decision'!$B$27)^('3. The decision'!$B$11-1))/'3. The decision'!$B$27</f>
        <v>4.28912098262087</v>
      </c>
      <c r="G323" s="15" t="n">
        <f aca="false">(1-(1-'3. The decision'!$B$9*MIN(1,('3. The decision'!$B$10/(52/12)))))+(1-(1-'3. The decision'!$B$9*MAX(0,MIN(1,('3. The decision'!$B$10/(52/12))-1))))*(1-'3. The decision'!$B$14)+(1-(1-'3. The decision'!$B$9*MAX(0,MIN(1,('3. The decision'!$B$10/(52/12))-2))))*(1-'3. The decision'!$B$14)*(1-'3. The decision'!$B$27)</f>
        <v>0.884576923076923</v>
      </c>
      <c r="H323" s="15" t="n">
        <f aca="false">IF(A323&lt;=0,0,MAX(0,ROUNDUP(LN('3. The decision'!$B$13)/LN(1+A323)-0.000000000001,0)-1))</f>
        <v>7</v>
      </c>
      <c r="I323" s="15" t="n">
        <f aca="false">IF(A323&lt;=0,1/(1-C323),(1+A323)*(1-(C323*(1+A323))^H323)/(1-C323*(1+A323))+'3. The decision'!$B$13*C323^H323/(1-C323))</f>
        <v>3.4322506159909</v>
      </c>
      <c r="J323" s="17" t="n">
        <f aca="false">F323+E323*D323/(1-C323)</f>
        <v>14.0654149970407</v>
      </c>
      <c r="K323" s="15" t="n">
        <f aca="false">F323-G323+E323*D323*I323</f>
        <v>15.2429499505966</v>
      </c>
      <c r="L323" s="17" t="n">
        <f aca="false">'3. The decision'!$B$8*'3. The decision'!$B$5/J323</f>
        <v>33.3897009152456</v>
      </c>
      <c r="M323" s="31" t="n">
        <f aca="false">L323*'3. The decision'!$B$6*'3. The decision'!$B$7*K323</f>
        <v>976192.638518381</v>
      </c>
      <c r="N323" s="31" t="n">
        <f aca="false">M323*(1+'3. The decision'!$B$19+'3. The decision'!$B$20+'3. The decision'!$B$22)</f>
        <v>1079669.05820133</v>
      </c>
      <c r="O323" s="31" t="n">
        <f aca="false">'3. The decision'!$B$17+'3. The decision'!$B$18*L323*12+M323*('3. The decision'!$B$20*(1-'3. The decision'!$B$21)+'3. The decision'!$B$23)+N323*('3. The decision'!$B$24+'3. The decision'!$B$25)</f>
        <v>583544.486581898</v>
      </c>
      <c r="P323" s="31" t="n">
        <f aca="false">N323-O323</f>
        <v>496124.571619432</v>
      </c>
    </row>
    <row r="324" customFormat="false" ht="15" hidden="false" customHeight="false" outlineLevel="0" collapsed="false">
      <c r="A324" s="27" t="n">
        <f aca="false">29*0.0025</f>
        <v>0.0725</v>
      </c>
      <c r="B324" s="27" t="n">
        <f aca="false">IF(A324&gt;0,MIN('3. The decision'!$B$15,'3. The decision'!$B$29*(A324/'3. The decision'!$B$28)^$B$292),0)</f>
        <v>0.0223243706655778</v>
      </c>
      <c r="C324" s="15" t="n">
        <f aca="false">(1-'3. The decision'!$B$27-B324)*(1-'3. The decision'!$B$27)^('3. The decision'!$B$12-1)</f>
        <v>0.645912526094341</v>
      </c>
      <c r="D324" s="15" t="n">
        <f aca="false">1+(1-'3. The decision'!$B$27-B324)*(1-(1-'3. The decision'!$B$27)^('3. The decision'!$B$12-1))/'3. The decision'!$B$27</f>
        <v>4.9889188457155</v>
      </c>
      <c r="E324" s="15" t="n">
        <f aca="false">(1-'3. The decision'!$B$14)*(1-'3. The decision'!$B$27)^('3. The decision'!$B$11-1)</f>
        <v>0.690273454655712</v>
      </c>
      <c r="F324" s="15" t="n">
        <f aca="false">1+(1-'3. The decision'!$B$14)*(1-(1-'3. The decision'!$B$27)^('3. The decision'!$B$11-1))/'3. The decision'!$B$27</f>
        <v>4.28912098262087</v>
      </c>
      <c r="G324" s="15" t="n">
        <f aca="false">(1-(1-'3. The decision'!$B$9*MIN(1,('3. The decision'!$B$10/(52/12)))))+(1-(1-'3. The decision'!$B$9*MAX(0,MIN(1,('3. The decision'!$B$10/(52/12))-1))))*(1-'3. The decision'!$B$14)+(1-(1-'3. The decision'!$B$9*MAX(0,MIN(1,('3. The decision'!$B$10/(52/12))-2))))*(1-'3. The decision'!$B$14)*(1-'3. The decision'!$B$27)</f>
        <v>0.884576923076923</v>
      </c>
      <c r="H324" s="15" t="n">
        <f aca="false">IF(A324&lt;=0,0,MAX(0,ROUNDUP(LN('3. The decision'!$B$13)/LN(1+A324)-0.000000000001,0)-1))</f>
        <v>6</v>
      </c>
      <c r="I324" s="15" t="n">
        <f aca="false">IF(A324&lt;=0,1/(1-C324),(1+A324)*(1-(C324*(1+A324))^H324)/(1-C324*(1+A324))+'3. The decision'!$B$13*C324^H324/(1-C324))</f>
        <v>3.43701704842555</v>
      </c>
      <c r="J324" s="17" t="n">
        <f aca="false">F324+E324*D324/(1-C324)</f>
        <v>14.0147354152471</v>
      </c>
      <c r="K324" s="15" t="n">
        <f aca="false">F324-G324+E324*D324*I324</f>
        <v>15.240662383182</v>
      </c>
      <c r="L324" s="17" t="n">
        <f aca="false">'3. The decision'!$B$8*'3. The decision'!$B$5/J324</f>
        <v>33.5104435499413</v>
      </c>
      <c r="M324" s="31" t="n">
        <f aca="false">L324*'3. The decision'!$B$6*'3. The decision'!$B$7*K324</f>
        <v>979575.680493182</v>
      </c>
      <c r="N324" s="31" t="n">
        <f aca="false">M324*(1+'3. The decision'!$B$19+'3. The decision'!$B$20+'3. The decision'!$B$22)</f>
        <v>1083410.70262546</v>
      </c>
      <c r="O324" s="31" t="n">
        <f aca="false">'3. The decision'!$B$17+'3. The decision'!$B$18*L324*12+M324*('3. The decision'!$B$20*(1-'3. The decision'!$B$21)+'3. The decision'!$B$23)+N324*('3. The decision'!$B$24+'3. The decision'!$B$25)</f>
        <v>584091.498098162</v>
      </c>
      <c r="P324" s="31" t="n">
        <f aca="false">N324-O324</f>
        <v>499319.204527298</v>
      </c>
    </row>
    <row r="325" customFormat="false" ht="15" hidden="false" customHeight="false" outlineLevel="0" collapsed="false">
      <c r="A325" s="27" t="n">
        <f aca="false">30*0.0025</f>
        <v>0.075</v>
      </c>
      <c r="B325" s="27" t="n">
        <f aca="false">IF(A325&gt;0,MIN('3. The decision'!$B$15,'3. The decision'!$B$29*(A325/'3. The decision'!$B$28)^$B$292),0)</f>
        <v>0.0242167044293648</v>
      </c>
      <c r="C325" s="15" t="n">
        <f aca="false">(1-'3. The decision'!$B$27-B325)*(1-'3. The decision'!$B$27)^('3. The decision'!$B$12-1)</f>
        <v>0.644571091970961</v>
      </c>
      <c r="D325" s="15" t="n">
        <f aca="false">1+(1-'3. The decision'!$B$27-B325)*(1-(1-'3. The decision'!$B$27)^('3. The decision'!$B$12-1))/'3. The decision'!$B$27</f>
        <v>4.9806346405966</v>
      </c>
      <c r="E325" s="15" t="n">
        <f aca="false">(1-'3. The decision'!$B$14)*(1-'3. The decision'!$B$27)^('3. The decision'!$B$11-1)</f>
        <v>0.690273454655712</v>
      </c>
      <c r="F325" s="15" t="n">
        <f aca="false">1+(1-'3. The decision'!$B$14)*(1-(1-'3. The decision'!$B$27)^('3. The decision'!$B$11-1))/'3. The decision'!$B$27</f>
        <v>4.28912098262087</v>
      </c>
      <c r="G325" s="15" t="n">
        <f aca="false">(1-(1-'3. The decision'!$B$9*MIN(1,('3. The decision'!$B$10/(52/12)))))+(1-(1-'3. The decision'!$B$9*MAX(0,MIN(1,('3. The decision'!$B$10/(52/12))-1))))*(1-'3. The decision'!$B$14)+(1-(1-'3. The decision'!$B$9*MAX(0,MIN(1,('3. The decision'!$B$10/(52/12))-2))))*(1-'3. The decision'!$B$14)*(1-'3. The decision'!$B$27)</f>
        <v>0.884576923076923</v>
      </c>
      <c r="H325" s="15" t="n">
        <f aca="false">IF(A325&lt;=0,0,MAX(0,ROUNDUP(LN('3. The decision'!$B$13)/LN(1+A325)-0.000000000001,0)-1))</f>
        <v>6</v>
      </c>
      <c r="I325" s="15" t="n">
        <f aca="false">IF(A325&lt;=0,1/(1-C325),(1+A325)*(1-(C325*(1+A325))^H325)/(1-C325*(1+A325))+'3. The decision'!$B$13*C325^H325/(1-C325))</f>
        <v>3.44006880532907</v>
      </c>
      <c r="J325" s="17" t="n">
        <f aca="false">F325+E325*D325/(1-C325)</f>
        <v>13.9619410658473</v>
      </c>
      <c r="K325" s="15" t="n">
        <f aca="false">F325-G325+E325*D325*I325</f>
        <v>15.2315001985713</v>
      </c>
      <c r="L325" s="17" t="n">
        <f aca="false">'3. The decision'!$B$8*'3. The decision'!$B$5/J325</f>
        <v>33.6371567380985</v>
      </c>
      <c r="M325" s="31" t="n">
        <f aca="false">L325*'3. The decision'!$B$6*'3. The decision'!$B$7*K325</f>
        <v>982688.6389133</v>
      </c>
      <c r="N325" s="31" t="n">
        <f aca="false">M325*(1+'3. The decision'!$B$19+'3. The decision'!$B$20+'3. The decision'!$B$22)</f>
        <v>1086853.63463811</v>
      </c>
      <c r="O325" s="31" t="n">
        <f aca="false">'3. The decision'!$B$17+'3. The decision'!$B$18*L325*12+M325*('3. The decision'!$B$20*(1-'3. The decision'!$B$21)+'3. The decision'!$B$23)+N325*('3. The decision'!$B$24+'3. The decision'!$B$25)</f>
        <v>584618.485719641</v>
      </c>
      <c r="P325" s="31" t="n">
        <f aca="false">N325-O325</f>
        <v>502235.148918469</v>
      </c>
    </row>
    <row r="326" customFormat="false" ht="15" hidden="false" customHeight="false" outlineLevel="0" collapsed="false">
      <c r="A326" s="27" t="n">
        <f aca="false">31*0.0025</f>
        <v>0.0775</v>
      </c>
      <c r="B326" s="27" t="n">
        <f aca="false">IF(A326&gt;0,MIN('3. The decision'!$B$15,'3. The decision'!$B$29*(A326/'3. The decision'!$B$28)^$B$292),0)</f>
        <v>0.0261994452136223</v>
      </c>
      <c r="C326" s="15" t="n">
        <f aca="false">(1-'3. The decision'!$B$27-B326)*(1-'3. The decision'!$B$27)^('3. The decision'!$B$12-1)</f>
        <v>0.643165570283024</v>
      </c>
      <c r="D326" s="15" t="n">
        <f aca="false">1+(1-'3. The decision'!$B$27-B326)*(1-(1-'3. The decision'!$B$27)^('3. The decision'!$B$12-1))/'3. The decision'!$B$27</f>
        <v>4.97195465418578</v>
      </c>
      <c r="E326" s="15" t="n">
        <f aca="false">(1-'3. The decision'!$B$14)*(1-'3. The decision'!$B$27)^('3. The decision'!$B$11-1)</f>
        <v>0.690273454655712</v>
      </c>
      <c r="F326" s="15" t="n">
        <f aca="false">1+(1-'3. The decision'!$B$14)*(1-(1-'3. The decision'!$B$27)^('3. The decision'!$B$11-1))/'3. The decision'!$B$27</f>
        <v>4.28912098262087</v>
      </c>
      <c r="G326" s="15" t="n">
        <f aca="false">(1-(1-'3. The decision'!$B$9*MIN(1,('3. The decision'!$B$10/(52/12)))))+(1-(1-'3. The decision'!$B$9*MAX(0,MIN(1,('3. The decision'!$B$10/(52/12))-1))))*(1-'3. The decision'!$B$14)+(1-(1-'3. The decision'!$B$9*MAX(0,MIN(1,('3. The decision'!$B$10/(52/12))-2))))*(1-'3. The decision'!$B$14)*(1-'3. The decision'!$B$27)</f>
        <v>0.884576923076923</v>
      </c>
      <c r="H326" s="15" t="n">
        <f aca="false">IF(A326&lt;=0,0,MAX(0,ROUNDUP(LN('3. The decision'!$B$13)/LN(1+A326)-0.000000000001,0)-1))</f>
        <v>6</v>
      </c>
      <c r="I326" s="15" t="n">
        <f aca="false">IF(A326&lt;=0,1/(1-C326),(1+A326)*(1-(C326*(1+A326))^H326)/(1-C326*(1+A326))+'3. The decision'!$B$13*C326^H326/(1-C326))</f>
        <v>3.44244399273613</v>
      </c>
      <c r="J326" s="17" t="n">
        <f aca="false">F326+E326*D326/(1-C326)</f>
        <v>13.9070502790132</v>
      </c>
      <c r="K326" s="15" t="n">
        <f aca="false">F326-G326+E326*D326*I326</f>
        <v>15.2190404683825</v>
      </c>
      <c r="L326" s="17" t="n">
        <f aca="false">'3. The decision'!$B$8*'3. The decision'!$B$5/J326</f>
        <v>33.7699217718888</v>
      </c>
      <c r="M326" s="31" t="n">
        <f aca="false">L326*'3. The decision'!$B$6*'3. The decision'!$B$7*K326</f>
        <v>985760.251348227</v>
      </c>
      <c r="N326" s="31" t="n">
        <f aca="false">M326*(1+'3. The decision'!$B$19+'3. The decision'!$B$20+'3. The decision'!$B$22)</f>
        <v>1090250.83799114</v>
      </c>
      <c r="O326" s="31" t="n">
        <f aca="false">'3. The decision'!$B$17+'3. The decision'!$B$18*L326*12+M326*('3. The decision'!$B$20*(1-'3. The decision'!$B$21)+'3. The decision'!$B$23)+N326*('3. The decision'!$B$24+'3. The decision'!$B$25)</f>
        <v>585150.190928744</v>
      </c>
      <c r="P326" s="31" t="n">
        <f aca="false">N326-O326</f>
        <v>505100.647062396</v>
      </c>
    </row>
    <row r="327" customFormat="false" ht="15" hidden="false" customHeight="false" outlineLevel="0" collapsed="false">
      <c r="A327" s="27" t="n">
        <f aca="false">32*0.0025</f>
        <v>0.08</v>
      </c>
      <c r="B327" s="27" t="n">
        <f aca="false">IF(A327&gt;0,MIN('3. The decision'!$B$15,'3. The decision'!$B$29*(A327/'3. The decision'!$B$28)^$B$292),0)</f>
        <v>0.0282737867300343</v>
      </c>
      <c r="C327" s="15" t="n">
        <f aca="false">(1-'3. The decision'!$B$27-B327)*(1-'3. The decision'!$B$27)^('3. The decision'!$B$12-1)</f>
        <v>0.641695114834356</v>
      </c>
      <c r="D327" s="15" t="n">
        <f aca="false">1+(1-'3. The decision'!$B$27-B327)*(1-(1-'3. The decision'!$B$27)^('3. The decision'!$B$12-1))/'3. The decision'!$B$27</f>
        <v>4.96287366068586</v>
      </c>
      <c r="E327" s="15" t="n">
        <f aca="false">(1-'3. The decision'!$B$14)*(1-'3. The decision'!$B$27)^('3. The decision'!$B$11-1)</f>
        <v>0.690273454655712</v>
      </c>
      <c r="F327" s="15" t="n">
        <f aca="false">1+(1-'3. The decision'!$B$14)*(1-(1-'3. The decision'!$B$27)^('3. The decision'!$B$11-1))/'3. The decision'!$B$27</f>
        <v>4.28912098262087</v>
      </c>
      <c r="G327" s="15" t="n">
        <f aca="false">(1-(1-'3. The decision'!$B$9*MIN(1,('3. The decision'!$B$10/(52/12)))))+(1-(1-'3. The decision'!$B$9*MAX(0,MIN(1,('3. The decision'!$B$10/(52/12))-1))))*(1-'3. The decision'!$B$14)+(1-(1-'3. The decision'!$B$9*MAX(0,MIN(1,('3. The decision'!$B$10/(52/12))-2))))*(1-'3. The decision'!$B$14)*(1-'3. The decision'!$B$27)</f>
        <v>0.884576923076923</v>
      </c>
      <c r="H327" s="15" t="n">
        <f aca="false">IF(A327&lt;=0,0,MAX(0,ROUNDUP(LN('3. The decision'!$B$13)/LN(1+A327)-0.000000000001,0)-1))</f>
        <v>6</v>
      </c>
      <c r="I327" s="15" t="n">
        <f aca="false">IF(A327&lt;=0,1/(1-C327),(1+A327)*(1-(C327*(1+A327))^H327)/(1-C327*(1+A327))+'3. The decision'!$B$13*C327^H327/(1-C327))</f>
        <v>3.44413666646379</v>
      </c>
      <c r="J327" s="17" t="n">
        <f aca="false">F327+E327*D327/(1-C327)</f>
        <v>13.8500845324138</v>
      </c>
      <c r="K327" s="15" t="n">
        <f aca="false">F327-G327+E327*D327*I327</f>
        <v>15.2032606200237</v>
      </c>
      <c r="L327" s="17" t="n">
        <f aca="false">'3. The decision'!$B$8*'3. The decision'!$B$5/J327</f>
        <v>33.9088183108837</v>
      </c>
      <c r="M327" s="31" t="n">
        <f aca="false">L327*'3. The decision'!$B$6*'3. The decision'!$B$7*K327</f>
        <v>988788.419609975</v>
      </c>
      <c r="N327" s="31" t="n">
        <f aca="false">M327*(1+'3. The decision'!$B$19+'3. The decision'!$B$20+'3. The decision'!$B$22)</f>
        <v>1093599.99208863</v>
      </c>
      <c r="O327" s="31" t="n">
        <f aca="false">'3. The decision'!$B$17+'3. The decision'!$B$18*L327*12+M327*('3. The decision'!$B$20*(1-'3. The decision'!$B$21)+'3. The decision'!$B$23)+N327*('3. The decision'!$B$24+'3. The decision'!$B$25)</f>
        <v>585686.508574694</v>
      </c>
      <c r="P327" s="31" t="n">
        <f aca="false">N327-O327</f>
        <v>507913.483513939</v>
      </c>
    </row>
    <row r="328" customFormat="false" ht="15" hidden="false" customHeight="false" outlineLevel="0" collapsed="false">
      <c r="A328" s="27" t="n">
        <f aca="false">33*0.0025</f>
        <v>0.0825</v>
      </c>
      <c r="B328" s="27" t="n">
        <f aca="false">IF(A328&gt;0,MIN('3. The decision'!$B$15,'3. The decision'!$B$29*(A328/'3. The decision'!$B$28)^$B$292),0)</f>
        <v>0.0304408997969291</v>
      </c>
      <c r="C328" s="15" t="n">
        <f aca="false">(1-'3. The decision'!$B$27-B328)*(1-'3. The decision'!$B$27)^('3. The decision'!$B$12-1)</f>
        <v>0.640158895657387</v>
      </c>
      <c r="D328" s="15" t="n">
        <f aca="false">1+(1-'3. The decision'!$B$27-B328)*(1-(1-'3. The decision'!$B$27)^('3. The decision'!$B$12-1))/'3. The decision'!$B$27</f>
        <v>4.95338653452156</v>
      </c>
      <c r="E328" s="15" t="n">
        <f aca="false">(1-'3. The decision'!$B$14)*(1-'3. The decision'!$B$27)^('3. The decision'!$B$11-1)</f>
        <v>0.690273454655712</v>
      </c>
      <c r="F328" s="15" t="n">
        <f aca="false">1+(1-'3. The decision'!$B$14)*(1-(1-'3. The decision'!$B$27)^('3. The decision'!$B$11-1))/'3. The decision'!$B$27</f>
        <v>4.28912098262087</v>
      </c>
      <c r="G328" s="15" t="n">
        <f aca="false">(1-(1-'3. The decision'!$B$9*MIN(1,('3. The decision'!$B$10/(52/12)))))+(1-(1-'3. The decision'!$B$9*MAX(0,MIN(1,('3. The decision'!$B$10/(52/12))-1))))*(1-'3. The decision'!$B$14)+(1-(1-'3. The decision'!$B$9*MAX(0,MIN(1,('3. The decision'!$B$10/(52/12))-2))))*(1-'3. The decision'!$B$14)*(1-'3. The decision'!$B$27)</f>
        <v>0.884576923076923</v>
      </c>
      <c r="H328" s="15" t="n">
        <f aca="false">IF(A328&lt;=0,0,MAX(0,ROUNDUP(LN('3. The decision'!$B$13)/LN(1+A328)-0.000000000001,0)-1))</f>
        <v>6</v>
      </c>
      <c r="I328" s="15" t="n">
        <f aca="false">IF(A328&lt;=0,1/(1-C328),(1+A328)*(1-(C328*(1+A328))^H328)/(1-C328*(1+A328))+'3. The decision'!$B$13*C328^H328/(1-C328))</f>
        <v>3.44514166215479</v>
      </c>
      <c r="J328" s="17" t="n">
        <f aca="false">F328+E328*D328/(1-C328)</f>
        <v>13.7910683537411</v>
      </c>
      <c r="K328" s="15" t="n">
        <f aca="false">F328-G328+E328*D328*I328</f>
        <v>15.1841422355959</v>
      </c>
      <c r="L328" s="17" t="n">
        <f aca="false">'3. The decision'!$B$8*'3. The decision'!$B$5/J328</f>
        <v>34.0539244642785</v>
      </c>
      <c r="M328" s="31" t="n">
        <f aca="false">L328*'3. The decision'!$B$6*'3. The decision'!$B$7*K328</f>
        <v>991771.005292726</v>
      </c>
      <c r="N328" s="31" t="n">
        <f aca="false">M328*(1+'3. The decision'!$B$19+'3. The decision'!$B$20+'3. The decision'!$B$22)</f>
        <v>1096898.73185376</v>
      </c>
      <c r="O328" s="31" t="n">
        <f aca="false">'3. The decision'!$B$17+'3. The decision'!$B$18*L328*12+M328*('3. The decision'!$B$20*(1-'3. The decision'!$B$21)+'3. The decision'!$B$23)+N328*('3. The decision'!$B$24+'3. The decision'!$B$25)</f>
        <v>586227.32682963</v>
      </c>
      <c r="P328" s="31" t="n">
        <f aca="false">N328-O328</f>
        <v>510671.405024125</v>
      </c>
    </row>
    <row r="329" customFormat="false" ht="15" hidden="false" customHeight="false" outlineLevel="0" collapsed="false">
      <c r="A329" s="27" t="n">
        <f aca="false">34*0.0025</f>
        <v>0.085</v>
      </c>
      <c r="B329" s="27" t="n">
        <f aca="false">IF(A329&gt;0,MIN('3. The decision'!$B$15,'3. The decision'!$B$29*(A329/'3. The decision'!$B$28)^$B$292),0)</f>
        <v>0.0327019334741377</v>
      </c>
      <c r="C329" s="15" t="n">
        <f aca="false">(1-'3. The decision'!$B$27-B329)*(1-'3. The decision'!$B$27)^('3. The decision'!$B$12-1)</f>
        <v>0.63855609820867</v>
      </c>
      <c r="D329" s="15" t="n">
        <f aca="false">1+(1-'3. The decision'!$B$27-B329)*(1-(1-'3. The decision'!$B$27)^('3. The decision'!$B$12-1))/'3. The decision'!$B$27</f>
        <v>4.94348824537131</v>
      </c>
      <c r="E329" s="15" t="n">
        <f aca="false">(1-'3. The decision'!$B$14)*(1-'3. The decision'!$B$27)^('3. The decision'!$B$11-1)</f>
        <v>0.690273454655712</v>
      </c>
      <c r="F329" s="15" t="n">
        <f aca="false">1+(1-'3. The decision'!$B$14)*(1-(1-'3. The decision'!$B$27)^('3. The decision'!$B$11-1))/'3. The decision'!$B$27</f>
        <v>4.28912098262087</v>
      </c>
      <c r="G329" s="15" t="n">
        <f aca="false">(1-(1-'3. The decision'!$B$9*MIN(1,('3. The decision'!$B$10/(52/12)))))+(1-(1-'3. The decision'!$B$9*MAX(0,MIN(1,('3. The decision'!$B$10/(52/12))-1))))*(1-'3. The decision'!$B$14)+(1-(1-'3. The decision'!$B$9*MAX(0,MIN(1,('3. The decision'!$B$10/(52/12))-2))))*(1-'3. The decision'!$B$14)*(1-'3. The decision'!$B$27)</f>
        <v>0.884576923076923</v>
      </c>
      <c r="H329" s="15" t="n">
        <f aca="false">IF(A329&lt;=0,0,MAX(0,ROUNDUP(LN('3. The decision'!$B$13)/LN(1+A329)-0.000000000001,0)-1))</f>
        <v>5</v>
      </c>
      <c r="I329" s="15" t="n">
        <f aca="false">IF(A329&lt;=0,1/(1-C329),(1+A329)*(1-(C329*(1+A329))^H329)/(1-C329*(1+A329))+'3. The decision'!$B$13*C329^H329/(1-C329))</f>
        <v>3.44423710077546</v>
      </c>
      <c r="J329" s="17" t="n">
        <f aca="false">F329+E329*D329/(1-C329)</f>
        <v>13.730029218368</v>
      </c>
      <c r="K329" s="15" t="n">
        <f aca="false">F329-G329+E329*D329*I329</f>
        <v>15.1575165268641</v>
      </c>
      <c r="L329" s="17" t="n">
        <f aca="false">'3. The decision'!$B$8*'3. The decision'!$B$5/J329</f>
        <v>34.2053168664576</v>
      </c>
      <c r="M329" s="31" t="n">
        <f aca="false">L329*'3. The decision'!$B$6*'3. The decision'!$B$7*K329</f>
        <v>994433.26627403</v>
      </c>
      <c r="N329" s="31" t="n">
        <f aca="false">M329*(1+'3. The decision'!$B$19+'3. The decision'!$B$20+'3. The decision'!$B$22)</f>
        <v>1099843.19249908</v>
      </c>
      <c r="O329" s="31" t="n">
        <f aca="false">'3. The decision'!$B$17+'3. The decision'!$B$18*L329*12+M329*('3. The decision'!$B$20*(1-'3. The decision'!$B$21)+'3. The decision'!$B$23)+N329*('3. The decision'!$B$24+'3. The decision'!$B$25)</f>
        <v>586743.192111389</v>
      </c>
      <c r="P329" s="31" t="n">
        <f aca="false">N329-O329</f>
        <v>513100.000387688</v>
      </c>
    </row>
    <row r="330" customFormat="false" ht="15" hidden="false" customHeight="false" outlineLevel="0" collapsed="false">
      <c r="A330" s="27" t="n">
        <f aca="false">35*0.0025</f>
        <v>0.0875</v>
      </c>
      <c r="B330" s="27" t="n">
        <f aca="false">IF(A330&gt;0,MIN('3. The decision'!$B$15,'3. The decision'!$B$29*(A330/'3. The decision'!$B$28)^$B$292),0)</f>
        <v>0.0350580161091602</v>
      </c>
      <c r="C330" s="15" t="n">
        <f aca="false">(1-'3. The decision'!$B$27-B330)*(1-'3. The decision'!$B$27)^('3. The decision'!$B$12-1)</f>
        <v>0.636885922627278</v>
      </c>
      <c r="D330" s="15" t="n">
        <f aca="false">1+(1-'3. The decision'!$B$27-B330)*(1-(1-'3. The decision'!$B$27)^('3. The decision'!$B$12-1))/'3. The decision'!$B$27</f>
        <v>4.9331738535874</v>
      </c>
      <c r="E330" s="15" t="n">
        <f aca="false">(1-'3. The decision'!$B$14)*(1-'3. The decision'!$B$27)^('3. The decision'!$B$11-1)</f>
        <v>0.690273454655712</v>
      </c>
      <c r="F330" s="15" t="n">
        <f aca="false">1+(1-'3. The decision'!$B$14)*(1-(1-'3. The decision'!$B$27)^('3. The decision'!$B$11-1))/'3. The decision'!$B$27</f>
        <v>4.28912098262087</v>
      </c>
      <c r="G330" s="15" t="n">
        <f aca="false">(1-(1-'3. The decision'!$B$9*MIN(1,('3. The decision'!$B$10/(52/12)))))+(1-(1-'3. The decision'!$B$9*MAX(0,MIN(1,('3. The decision'!$B$10/(52/12))-1))))*(1-'3. The decision'!$B$14)+(1-(1-'3. The decision'!$B$9*MAX(0,MIN(1,('3. The decision'!$B$10/(52/12))-2))))*(1-'3. The decision'!$B$14)*(1-'3. The decision'!$B$27)</f>
        <v>0.884576923076923</v>
      </c>
      <c r="H330" s="15" t="n">
        <f aca="false">IF(A330&lt;=0,0,MAX(0,ROUNDUP(LN('3. The decision'!$B$13)/LN(1+A330)-0.000000000001,0)-1))</f>
        <v>5</v>
      </c>
      <c r="I330" s="15" t="n">
        <f aca="false">IF(A330&lt;=0,1/(1-C330),(1+A330)*(1-(C330*(1+A330))^H330)/(1-C330*(1+A330))+'3. The decision'!$B$13*C330^H330/(1-C330))</f>
        <v>3.44149305141881</v>
      </c>
      <c r="J330" s="17" t="n">
        <f aca="false">F330+E330*D330/(1-C330)</f>
        <v>13.6669974421933</v>
      </c>
      <c r="K330" s="15" t="n">
        <f aca="false">F330-G330+E330*D330*I330</f>
        <v>15.1236502730676</v>
      </c>
      <c r="L330" s="17" t="n">
        <f aca="false">'3. The decision'!$B$8*'3. The decision'!$B$5/J330</f>
        <v>34.3630707466228</v>
      </c>
      <c r="M330" s="31" t="n">
        <f aca="false">L330*'3. The decision'!$B$6*'3. The decision'!$B$7*K330</f>
        <v>996787.465037485</v>
      </c>
      <c r="N330" s="31" t="n">
        <f aca="false">M330*(1+'3. The decision'!$B$19+'3. The decision'!$B$20+'3. The decision'!$B$22)</f>
        <v>1102446.93633146</v>
      </c>
      <c r="O330" s="31" t="n">
        <f aca="false">'3. The decision'!$B$17+'3. The decision'!$B$18*L330*12+M330*('3. The decision'!$B$20*(1-'3. The decision'!$B$21)+'3. The decision'!$B$23)+N330*('3. The decision'!$B$24+'3. The decision'!$B$25)</f>
        <v>587235.538153926</v>
      </c>
      <c r="P330" s="31" t="n">
        <f aca="false">N330-O330</f>
        <v>515211.398177532</v>
      </c>
    </row>
    <row r="331" customFormat="false" ht="15" hidden="false" customHeight="false" outlineLevel="0" collapsed="false">
      <c r="A331" s="27" t="n">
        <f aca="false">36*0.0025</f>
        <v>0.09</v>
      </c>
      <c r="B331" s="27" t="n">
        <f aca="false">IF(A331&gt;0,MIN('3. The decision'!$B$15,'3. The decision'!$B$29*(A331/'3. The decision'!$B$28)^$B$292),0)</f>
        <v>0.0375102563039595</v>
      </c>
      <c r="C331" s="15" t="n">
        <f aca="false">(1-'3. The decision'!$B$27-B331)*(1-'3. The decision'!$B$27)^('3. The decision'!$B$12-1)</f>
        <v>0.635147583049462</v>
      </c>
      <c r="D331" s="15" t="n">
        <f aca="false">1+(1-'3. The decision'!$B$27-B331)*(1-(1-'3. The decision'!$B$27)^('3. The decision'!$B$12-1))/'3. The decision'!$B$27</f>
        <v>4.92243850596358</v>
      </c>
      <c r="E331" s="15" t="n">
        <f aca="false">(1-'3. The decision'!$B$14)*(1-'3. The decision'!$B$27)^('3. The decision'!$B$11-1)</f>
        <v>0.690273454655712</v>
      </c>
      <c r="F331" s="15" t="n">
        <f aca="false">1+(1-'3. The decision'!$B$14)*(1-(1-'3. The decision'!$B$27)^('3. The decision'!$B$11-1))/'3. The decision'!$B$27</f>
        <v>4.28912098262087</v>
      </c>
      <c r="G331" s="15" t="n">
        <f aca="false">(1-(1-'3. The decision'!$B$9*MIN(1,('3. The decision'!$B$10/(52/12)))))+(1-(1-'3. The decision'!$B$9*MAX(0,MIN(1,('3. The decision'!$B$10/(52/12))-1))))*(1-'3. The decision'!$B$14)+(1-(1-'3. The decision'!$B$9*MAX(0,MIN(1,('3. The decision'!$B$10/(52/12))-2))))*(1-'3. The decision'!$B$14)*(1-'3. The decision'!$B$27)</f>
        <v>0.884576923076923</v>
      </c>
      <c r="H331" s="15" t="n">
        <f aca="false">IF(A331&lt;=0,0,MAX(0,ROUNDUP(LN('3. The decision'!$B$13)/LN(1+A331)-0.000000000001,0)-1))</f>
        <v>5</v>
      </c>
      <c r="I331" s="15" t="n">
        <f aca="false">IF(A331&lt;=0,1/(1-C331),(1+A331)*(1-(C331*(1+A331))^H331)/(1-C331*(1+A331))+'3. The decision'!$B$13*C331^H331/(1-C331))</f>
        <v>3.43808832205474</v>
      </c>
      <c r="J331" s="17" t="n">
        <f aca="false">F331+E331*D331/(1-C331)</f>
        <v>13.6020060698051</v>
      </c>
      <c r="K331" s="15" t="n">
        <f aca="false">F331-G331+E331*D331*I331</f>
        <v>15.0865790024605</v>
      </c>
      <c r="L331" s="17" t="n">
        <f aca="false">'3. The decision'!$B$8*'3. The decision'!$B$5/J331</f>
        <v>34.5272599931085</v>
      </c>
      <c r="M331" s="31" t="n">
        <f aca="false">L331*'3. The decision'!$B$6*'3. The decision'!$B$7*K331</f>
        <v>999095.176224956</v>
      </c>
      <c r="N331" s="31" t="n">
        <f aca="false">M331*(1+'3. The decision'!$B$19+'3. The decision'!$B$20+'3. The decision'!$B$22)</f>
        <v>1104999.2649048</v>
      </c>
      <c r="O331" s="31" t="n">
        <f aca="false">'3. The decision'!$B$17+'3. The decision'!$B$18*L331*12+M331*('3. The decision'!$B$20*(1-'3. The decision'!$B$21)+'3. The decision'!$B$23)+N331*('3. The decision'!$B$24+'3. The decision'!$B$25)</f>
        <v>587732.629379667</v>
      </c>
      <c r="P331" s="31" t="n">
        <f aca="false">N331-O331</f>
        <v>517266.635525135</v>
      </c>
    </row>
    <row r="332" customFormat="false" ht="15" hidden="false" customHeight="false" outlineLevel="0" collapsed="false">
      <c r="A332" s="27" t="n">
        <f aca="false">37*0.0025</f>
        <v>0.0925</v>
      </c>
      <c r="B332" s="27" t="n">
        <f aca="false">IF(A332&gt;0,MIN('3. The decision'!$B$15,'3. The decision'!$B$29*(A332/'3. The decision'!$B$28)^$B$292),0)</f>
        <v>0.0400597438104847</v>
      </c>
      <c r="C332" s="15" t="n">
        <f aca="false">(1-'3. The decision'!$B$27-B332)*(1-'3. The decision'!$B$27)^('3. The decision'!$B$12-1)</f>
        <v>0.63334030697384</v>
      </c>
      <c r="D332" s="15" t="n">
        <f aca="false">1+(1-'3. The decision'!$B$27-B332)*(1-(1-'3. The decision'!$B$27)^('3. The decision'!$B$12-1))/'3. The decision'!$B$27</f>
        <v>4.91127743181466</v>
      </c>
      <c r="E332" s="15" t="n">
        <f aca="false">(1-'3. The decision'!$B$14)*(1-'3. The decision'!$B$27)^('3. The decision'!$B$11-1)</f>
        <v>0.690273454655712</v>
      </c>
      <c r="F332" s="15" t="n">
        <f aca="false">1+(1-'3. The decision'!$B$14)*(1-(1-'3. The decision'!$B$27)^('3. The decision'!$B$11-1))/'3. The decision'!$B$27</f>
        <v>4.28912098262087</v>
      </c>
      <c r="G332" s="15" t="n">
        <f aca="false">(1-(1-'3. The decision'!$B$9*MIN(1,('3. The decision'!$B$10/(52/12)))))+(1-(1-'3. The decision'!$B$9*MAX(0,MIN(1,('3. The decision'!$B$10/(52/12))-1))))*(1-'3. The decision'!$B$14)+(1-(1-'3. The decision'!$B$9*MAX(0,MIN(1,('3. The decision'!$B$10/(52/12))-2))))*(1-'3. The decision'!$B$14)*(1-'3. The decision'!$B$27)</f>
        <v>0.884576923076923</v>
      </c>
      <c r="H332" s="15" t="n">
        <f aca="false">IF(A332&lt;=0,0,MAX(0,ROUNDUP(LN('3. The decision'!$B$13)/LN(1+A332)-0.000000000001,0)-1))</f>
        <v>5</v>
      </c>
      <c r="I332" s="15" t="n">
        <f aca="false">IF(A332&lt;=0,1/(1-C332),(1+A332)*(1-(C332*(1+A332))^H332)/(1-C332*(1+A332))+'3. The decision'!$B$13*C332^H332/(1-C332))</f>
        <v>3.43402439518563</v>
      </c>
      <c r="J332" s="17" t="n">
        <f aca="false">F332+E332*D332/(1-C332)</f>
        <v>13.5350907581682</v>
      </c>
      <c r="K332" s="15" t="n">
        <f aca="false">F332-G332+E332*D332*I332</f>
        <v>15.046314087953</v>
      </c>
      <c r="L332" s="17" t="n">
        <f aca="false">'3. The decision'!$B$8*'3. The decision'!$B$5/J332</f>
        <v>34.6979572129267</v>
      </c>
      <c r="M332" s="31" t="n">
        <f aca="false">L332*'3. The decision'!$B$6*'3. The decision'!$B$7*K332</f>
        <v>1001354.85140501</v>
      </c>
      <c r="N332" s="31" t="n">
        <f aca="false">M332*(1+'3. The decision'!$B$19+'3. The decision'!$B$20+'3. The decision'!$B$22)</f>
        <v>1107498.46565394</v>
      </c>
      <c r="O332" s="31" t="n">
        <f aca="false">'3. The decision'!$B$17+'3. The decision'!$B$18*L332*12+M332*('3. The decision'!$B$20*(1-'3. The decision'!$B$21)+'3. The decision'!$B$23)+N332*('3. The decision'!$B$24+'3. The decision'!$B$25)</f>
        <v>588234.409123037</v>
      </c>
      <c r="P332" s="31" t="n">
        <f aca="false">N332-O332</f>
        <v>519264.056530904</v>
      </c>
    </row>
    <row r="333" customFormat="false" ht="15" hidden="false" customHeight="false" outlineLevel="0" collapsed="false">
      <c r="A333" s="27" t="n">
        <f aca="false">38*0.0025</f>
        <v>0.095</v>
      </c>
      <c r="B333" s="27" t="n">
        <f aca="false">IF(A333&gt;0,MIN('3. The decision'!$B$15,'3. The decision'!$B$29*(A333/'3. The decision'!$B$28)^$B$292),0)</f>
        <v>0.0427075503620022</v>
      </c>
      <c r="C333" s="15" t="n">
        <f aca="false">(1-'3. The decision'!$B$27-B333)*(1-'3. The decision'!$B$27)^('3. The decision'!$B$12-1)</f>
        <v>0.63146333467208</v>
      </c>
      <c r="D333" s="15" t="n">
        <f aca="false">1+(1-'3. The decision'!$B$27-B333)*(1-(1-'3. The decision'!$B$27)^('3. The decision'!$B$12-1))/'3. The decision'!$B$27</f>
        <v>4.89968593933711</v>
      </c>
      <c r="E333" s="15" t="n">
        <f aca="false">(1-'3. The decision'!$B$14)*(1-'3. The decision'!$B$27)^('3. The decision'!$B$11-1)</f>
        <v>0.690273454655712</v>
      </c>
      <c r="F333" s="15" t="n">
        <f aca="false">1+(1-'3. The decision'!$B$14)*(1-(1-'3. The decision'!$B$27)^('3. The decision'!$B$11-1))/'3. The decision'!$B$27</f>
        <v>4.28912098262087</v>
      </c>
      <c r="G333" s="15" t="n">
        <f aca="false">(1-(1-'3. The decision'!$B$9*MIN(1,('3. The decision'!$B$10/(52/12)))))+(1-(1-'3. The decision'!$B$9*MAX(0,MIN(1,('3. The decision'!$B$10/(52/12))-1))))*(1-'3. The decision'!$B$14)+(1-(1-'3. The decision'!$B$9*MAX(0,MIN(1,('3. The decision'!$B$10/(52/12))-2))))*(1-'3. The decision'!$B$14)*(1-'3. The decision'!$B$27)</f>
        <v>0.884576923076923</v>
      </c>
      <c r="H333" s="15" t="n">
        <f aca="false">IF(A333&lt;=0,0,MAX(0,ROUNDUP(LN('3. The decision'!$B$13)/LN(1+A333)-0.000000000001,0)-1))</f>
        <v>5</v>
      </c>
      <c r="I333" s="15" t="n">
        <f aca="false">IF(A333&lt;=0,1/(1-C333),(1+A333)*(1-(C333*(1+A333))^H333)/(1-C333*(1+A333))+'3. The decision'!$B$13*C333^H333/(1-C333))</f>
        <v>3.42930345301435</v>
      </c>
      <c r="J333" s="17" t="n">
        <f aca="false">F333+E333*D333/(1-C333)</f>
        <v>13.4662896560956</v>
      </c>
      <c r="K333" s="15" t="n">
        <f aca="false">F333-G333+E333*D333*I333</f>
        <v>15.0028706223203</v>
      </c>
      <c r="L333" s="17" t="n">
        <f aca="false">'3. The decision'!$B$8*'3. The decision'!$B$5/J333</f>
        <v>34.8752337870152</v>
      </c>
      <c r="M333" s="31" t="n">
        <f aca="false">L333*'3. The decision'!$B$6*'3. The decision'!$B$7*K333</f>
        <v>1003564.90957867</v>
      </c>
      <c r="N333" s="31" t="n">
        <f aca="false">M333*(1+'3. The decision'!$B$19+'3. The decision'!$B$20+'3. The decision'!$B$22)</f>
        <v>1109942.78999401</v>
      </c>
      <c r="O333" s="31" t="n">
        <f aca="false">'3. The decision'!$B$17+'3. The decision'!$B$18*L333*12+M333*('3. The decision'!$B$20*(1-'3. The decision'!$B$21)+'3. The decision'!$B$23)+N333*('3. The decision'!$B$24+'3. The decision'!$B$25)</f>
        <v>588740.815356018</v>
      </c>
      <c r="P333" s="31" t="n">
        <f aca="false">N333-O333</f>
        <v>521201.974637989</v>
      </c>
    </row>
    <row r="334" customFormat="false" ht="15" hidden="false" customHeight="false" outlineLevel="0" collapsed="false">
      <c r="A334" s="27" t="n">
        <f aca="false">39*0.0025</f>
        <v>0.0975</v>
      </c>
      <c r="B334" s="27" t="n">
        <f aca="false">IF(A334&gt;0,MIN('3. The decision'!$B$15,'3. The decision'!$B$29*(A334/'3. The decision'!$B$28)^$B$292),0)</f>
        <v>0.0454547304464333</v>
      </c>
      <c r="C334" s="15" t="n">
        <f aca="false">(1-'3. The decision'!$B$27-B334)*(1-'3. The decision'!$B$27)^('3. The decision'!$B$12-1)</f>
        <v>0.629515918640697</v>
      </c>
      <c r="D334" s="15" t="n">
        <f aca="false">1+(1-'3. The decision'!$B$27-B334)*(1-(1-'3. The decision'!$B$27)^('3. The decision'!$B$12-1))/'3. The decision'!$B$27</f>
        <v>4.8876594122236</v>
      </c>
      <c r="E334" s="15" t="n">
        <f aca="false">(1-'3. The decision'!$B$14)*(1-'3. The decision'!$B$27)^('3. The decision'!$B$11-1)</f>
        <v>0.690273454655712</v>
      </c>
      <c r="F334" s="15" t="n">
        <f aca="false">1+(1-'3. The decision'!$B$14)*(1-(1-'3. The decision'!$B$27)^('3. The decision'!$B$11-1))/'3. The decision'!$B$27</f>
        <v>4.28912098262087</v>
      </c>
      <c r="G334" s="15" t="n">
        <f aca="false">(1-(1-'3. The decision'!$B$9*MIN(1,('3. The decision'!$B$10/(52/12)))))+(1-(1-'3. The decision'!$B$9*MAX(0,MIN(1,('3. The decision'!$B$10/(52/12))-1))))*(1-'3. The decision'!$B$14)+(1-(1-'3. The decision'!$B$9*MAX(0,MIN(1,('3. The decision'!$B$10/(52/12))-2))))*(1-'3. The decision'!$B$14)*(1-'3. The decision'!$B$27)</f>
        <v>0.884576923076923</v>
      </c>
      <c r="H334" s="15" t="n">
        <f aca="false">IF(A334&lt;=0,0,MAX(0,ROUNDUP(LN('3. The decision'!$B$13)/LN(1+A334)-0.000000000001,0)-1))</f>
        <v>5</v>
      </c>
      <c r="I334" s="15" t="n">
        <f aca="false">IF(A334&lt;=0,1/(1-C334),(1+A334)*(1-(C334*(1+A334))^H334)/(1-C334*(1+A334))+'3. The decision'!$B$13*C334^H334/(1-C334))</f>
        <v>3.42392835378727</v>
      </c>
      <c r="J334" s="17" t="n">
        <f aca="false">F334+E334*D334/(1-C334)</f>
        <v>13.3956432798207</v>
      </c>
      <c r="K334" s="15" t="n">
        <f aca="false">F334-G334+E334*D334*I334</f>
        <v>14.9562673171821</v>
      </c>
      <c r="L334" s="17" t="n">
        <f aca="false">'3. The decision'!$B$8*'3. The decision'!$B$5/J334</f>
        <v>35.0591599216044</v>
      </c>
      <c r="M334" s="31" t="n">
        <f aca="false">L334*'3. The decision'!$B$6*'3. The decision'!$B$7*K334</f>
        <v>1005723.73595731</v>
      </c>
      <c r="N334" s="31" t="n">
        <f aca="false">M334*(1+'3. The decision'!$B$19+'3. The decision'!$B$20+'3. The decision'!$B$22)</f>
        <v>1112330.45196879</v>
      </c>
      <c r="O334" s="31" t="n">
        <f aca="false">'3. The decision'!$B$17+'3. The decision'!$B$18*L334*12+M334*('3. The decision'!$B$20*(1-'3. The decision'!$B$21)+'3. The decision'!$B$23)+N334*('3. The decision'!$B$24+'3. The decision'!$B$25)</f>
        <v>589251.780634429</v>
      </c>
      <c r="P334" s="31" t="n">
        <f aca="false">N334-O334</f>
        <v>523078.671334359</v>
      </c>
    </row>
    <row r="335" customFormat="false" ht="15" hidden="false" customHeight="false" outlineLevel="0" collapsed="false">
      <c r="A335" s="27" t="n">
        <f aca="false">40*0.0025</f>
        <v>0.1</v>
      </c>
      <c r="B335" s="27" t="n">
        <f aca="false">IF(A335&gt;0,MIN('3. The decision'!$B$15,'3. The decision'!$B$29*(A335/'3. The decision'!$B$28)^$B$292),0)</f>
        <v>0.0483023220271566</v>
      </c>
      <c r="C335" s="15" t="n">
        <f aca="false">(1-'3. The decision'!$B$27-B335)*(1-'3. The decision'!$B$27)^('3. The decision'!$B$12-1)</f>
        <v>0.627497323090097</v>
      </c>
      <c r="D335" s="15" t="n">
        <f aca="false">1+(1-'3. The decision'!$B$27-B335)*(1-(1-'3. The decision'!$B$27)^('3. The decision'!$B$12-1))/'3. The decision'!$B$27</f>
        <v>4.87519330650746</v>
      </c>
      <c r="E335" s="15" t="n">
        <f aca="false">(1-'3. The decision'!$B$14)*(1-'3. The decision'!$B$27)^('3. The decision'!$B$11-1)</f>
        <v>0.690273454655712</v>
      </c>
      <c r="F335" s="15" t="n">
        <f aca="false">1+(1-'3. The decision'!$B$14)*(1-(1-'3. The decision'!$B$27)^('3. The decision'!$B$11-1))/'3. The decision'!$B$27</f>
        <v>4.28912098262087</v>
      </c>
      <c r="G335" s="15" t="n">
        <f aca="false">(1-(1-'3. The decision'!$B$9*MIN(1,('3. The decision'!$B$10/(52/12)))))+(1-(1-'3. The decision'!$B$9*MAX(0,MIN(1,('3. The decision'!$B$10/(52/12))-1))))*(1-'3. The decision'!$B$14)+(1-(1-'3. The decision'!$B$9*MAX(0,MIN(1,('3. The decision'!$B$10/(52/12))-2))))*(1-'3. The decision'!$B$14)*(1-'3. The decision'!$B$27)</f>
        <v>0.884576923076923</v>
      </c>
      <c r="H335" s="15" t="n">
        <f aca="false">IF(A335&lt;=0,0,MAX(0,ROUNDUP(LN('3. The decision'!$B$13)/LN(1+A335)-0.000000000001,0)-1))</f>
        <v>5</v>
      </c>
      <c r="I335" s="15" t="n">
        <f aca="false">IF(A335&lt;=0,1/(1-C335),(1+A335)*(1-(C335*(1+A335))^H335)/(1-C335*(1+A335))+'3. The decision'!$B$13*C335^H335/(1-C335))</f>
        <v>3.41790260723838</v>
      </c>
      <c r="J335" s="17" t="n">
        <f aca="false">F335+E335*D335/(1-C335)</f>
        <v>13.3231943850283</v>
      </c>
      <c r="K335" s="15" t="n">
        <f aca="false">F335-G335+E335*D335*I335</f>
        <v>14.9065263969883</v>
      </c>
      <c r="L335" s="17" t="n">
        <f aca="false">'3. The decision'!$B$8*'3. The decision'!$B$5/J335</f>
        <v>35.2498046960683</v>
      </c>
      <c r="M335" s="31" t="n">
        <f aca="false">L335*'3. The decision'!$B$6*'3. The decision'!$B$7*K335</f>
        <v>1007829.68091358</v>
      </c>
      <c r="N335" s="31" t="n">
        <f aca="false">M335*(1+'3. The decision'!$B$19+'3. The decision'!$B$20+'3. The decision'!$B$22)</f>
        <v>1114659.62709042</v>
      </c>
      <c r="O335" s="31" t="n">
        <f aca="false">'3. The decision'!$B$17+'3. The decision'!$B$18*L335*12+M335*('3. The decision'!$B$20*(1-'3. The decision'!$B$21)+'3. The decision'!$B$23)+N335*('3. The decision'!$B$24+'3. The decision'!$B$25)</f>
        <v>589767.232057502</v>
      </c>
      <c r="P335" s="31" t="n">
        <f aca="false">N335-O335</f>
        <v>524892.395032916</v>
      </c>
    </row>
    <row r="336" customFormat="false" ht="15" hidden="false" customHeight="false" outlineLevel="0" collapsed="false">
      <c r="A336" s="27" t="n">
        <f aca="false">41*0.0025</f>
        <v>0.1025</v>
      </c>
      <c r="B336" s="27" t="n">
        <f aca="false">IF(A336&gt;0,MIN('3. The decision'!$B$15,'3. The decision'!$B$29*(A336/'3. The decision'!$B$28)^$B$292),0)</f>
        <v>0.0512513472160912</v>
      </c>
      <c r="C336" s="15" t="n">
        <f aca="false">(1-'3. The decision'!$B$27-B336)*(1-'3. The decision'!$B$27)^('3. The decision'!$B$12-1)</f>
        <v>0.625406823467437</v>
      </c>
      <c r="D336" s="15" t="n">
        <f aca="false">1+(1-'3. The decision'!$B$27-B336)*(1-(1-'3. The decision'!$B$27)^('3. The decision'!$B$12-1))/'3. The decision'!$B$27</f>
        <v>4.86228314761612</v>
      </c>
      <c r="E336" s="15" t="n">
        <f aca="false">(1-'3. The decision'!$B$14)*(1-'3. The decision'!$B$27)^('3. The decision'!$B$11-1)</f>
        <v>0.690273454655712</v>
      </c>
      <c r="F336" s="15" t="n">
        <f aca="false">1+(1-'3. The decision'!$B$14)*(1-(1-'3. The decision'!$B$27)^('3. The decision'!$B$11-1))/'3. The decision'!$B$27</f>
        <v>4.28912098262087</v>
      </c>
      <c r="G336" s="15" t="n">
        <f aca="false">(1-(1-'3. The decision'!$B$9*MIN(1,('3. The decision'!$B$10/(52/12)))))+(1-(1-'3. The decision'!$B$9*MAX(0,MIN(1,('3. The decision'!$B$10/(52/12))-1))))*(1-'3. The decision'!$B$14)+(1-(1-'3. The decision'!$B$9*MAX(0,MIN(1,('3. The decision'!$B$10/(52/12))-2))))*(1-'3. The decision'!$B$14)*(1-'3. The decision'!$B$27)</f>
        <v>0.884576923076923</v>
      </c>
      <c r="H336" s="15" t="n">
        <f aca="false">IF(A336&lt;=0,0,MAX(0,ROUNDUP(LN('3. The decision'!$B$13)/LN(1+A336)-0.000000000001,0)-1))</f>
        <v>4</v>
      </c>
      <c r="I336" s="15" t="n">
        <f aca="false">IF(A336&lt;=0,1/(1-C336),(1+A336)*(1-(C336*(1+A336))^H336)/(1-C336*(1+A336))+'3. The decision'!$B$13*C336^H336/(1-C336))</f>
        <v>3.40986959973569</v>
      </c>
      <c r="J336" s="17" t="n">
        <f aca="false">F336+E336*D336/(1-C336)</f>
        <v>13.2489878357414</v>
      </c>
      <c r="K336" s="15" t="n">
        <f aca="false">F336-G336+E336*D336*I336</f>
        <v>14.8491063981302</v>
      </c>
      <c r="L336" s="17" t="n">
        <f aca="false">'3. The decision'!$B$8*'3. The decision'!$B$5/J336</f>
        <v>35.4472361075815</v>
      </c>
      <c r="M336" s="31" t="n">
        <f aca="false">L336*'3. The decision'!$B$6*'3. The decision'!$B$7*K336</f>
        <v>1009570.54885589</v>
      </c>
      <c r="N336" s="31" t="n">
        <f aca="false">M336*(1+'3. The decision'!$B$19+'3. The decision'!$B$20+'3. The decision'!$B$22)</f>
        <v>1116585.02703461</v>
      </c>
      <c r="O336" s="31" t="n">
        <f aca="false">'3. The decision'!$B$17+'3. The decision'!$B$18*L336*12+M336*('3. The decision'!$B$20*(1-'3. The decision'!$B$21)+'3. The decision'!$B$23)+N336*('3. The decision'!$B$24+'3. The decision'!$B$25)</f>
        <v>590253.671954626</v>
      </c>
      <c r="P336" s="31" t="n">
        <f aca="false">N336-O336</f>
        <v>526331.355079988</v>
      </c>
    </row>
    <row r="337" customFormat="false" ht="15" hidden="false" customHeight="false" outlineLevel="0" collapsed="false">
      <c r="A337" s="27" t="n">
        <f aca="false">42*0.0025</f>
        <v>0.105</v>
      </c>
      <c r="B337" s="27" t="n">
        <f aca="false">IF(A337&gt;0,MIN('3. The decision'!$B$15,'3. The decision'!$B$29*(A337/'3. The decision'!$B$28)^$B$292),0)</f>
        <v>0.0543028129033259</v>
      </c>
      <c r="C337" s="15" t="n">
        <f aca="false">(1-'3. The decision'!$B$27-B337)*(1-'3. The decision'!$B$27)^('3. The decision'!$B$12-1)</f>
        <v>0.623243706010299</v>
      </c>
      <c r="D337" s="15" t="n">
        <f aca="false">1+(1-'3. The decision'!$B$27-B337)*(1-(1-'3. The decision'!$B$27)^('3. The decision'!$B$12-1))/'3. The decision'!$B$27</f>
        <v>4.84892452761466</v>
      </c>
      <c r="E337" s="15" t="n">
        <f aca="false">(1-'3. The decision'!$B$14)*(1-'3. The decision'!$B$27)^('3. The decision'!$B$11-1)</f>
        <v>0.690273454655712</v>
      </c>
      <c r="F337" s="15" t="n">
        <f aca="false">1+(1-'3. The decision'!$B$14)*(1-(1-'3. The decision'!$B$27)^('3. The decision'!$B$11-1))/'3. The decision'!$B$27</f>
        <v>4.28912098262087</v>
      </c>
      <c r="G337" s="15" t="n">
        <f aca="false">(1-(1-'3. The decision'!$B$9*MIN(1,('3. The decision'!$B$10/(52/12)))))+(1-(1-'3. The decision'!$B$9*MAX(0,MIN(1,('3. The decision'!$B$10/(52/12))-1))))*(1-'3. The decision'!$B$14)+(1-(1-'3. The decision'!$B$9*MAX(0,MIN(1,('3. The decision'!$B$10/(52/12))-2))))*(1-'3. The decision'!$B$14)*(1-'3. The decision'!$B$27)</f>
        <v>0.884576923076923</v>
      </c>
      <c r="H337" s="15" t="n">
        <f aca="false">IF(A337&lt;=0,0,MAX(0,ROUNDUP(LN('3. The decision'!$B$13)/LN(1+A337)-0.000000000001,0)-1))</f>
        <v>4</v>
      </c>
      <c r="I337" s="15" t="n">
        <f aca="false">IF(A337&lt;=0,1/(1-C337),(1+A337)*(1-(C337*(1+A337))^H337)/(1-C337*(1+A337))+'3. The decision'!$B$13*C337^H337/(1-C337))</f>
        <v>3.39977514854317</v>
      </c>
      <c r="J337" s="17" t="n">
        <f aca="false">F337+E337*D337/(1-C337)</f>
        <v>13.1730704704903</v>
      </c>
      <c r="K337" s="15" t="n">
        <f aca="false">F337-G337+E337*D337*I337</f>
        <v>14.783876671997</v>
      </c>
      <c r="L337" s="17" t="n">
        <f aca="false">'3. The decision'!$B$8*'3. The decision'!$B$5/J337</f>
        <v>35.6515211128693</v>
      </c>
      <c r="M337" s="31" t="n">
        <f aca="false">L337*'3. The decision'!$B$6*'3. The decision'!$B$7*K337</f>
        <v>1010928.33860775</v>
      </c>
      <c r="N337" s="31" t="n">
        <f aca="false">M337*(1+'3. The decision'!$B$19+'3. The decision'!$B$20+'3. The decision'!$B$22)</f>
        <v>1118086.74250017</v>
      </c>
      <c r="O337" s="31" t="n">
        <f aca="false">'3. The decision'!$B$17+'3. The decision'!$B$18*L337*12+M337*('3. The decision'!$B$20*(1-'3. The decision'!$B$21)+'3. The decision'!$B$23)+N337*('3. The decision'!$B$24+'3. The decision'!$B$25)</f>
        <v>590709.264341396</v>
      </c>
      <c r="P337" s="31" t="n">
        <f aca="false">N337-O337</f>
        <v>527377.478158774</v>
      </c>
    </row>
    <row r="338" customFormat="false" ht="15" hidden="false" customHeight="false" outlineLevel="0" collapsed="false">
      <c r="A338" s="27" t="n">
        <f aca="false">43*0.0025</f>
        <v>0.1075</v>
      </c>
      <c r="B338" s="27" t="n">
        <f aca="false">IF(A338&gt;0,MIN('3. The decision'!$B$15,'3. The decision'!$B$29*(A338/'3. The decision'!$B$28)^$B$292),0)</f>
        <v>0.0574577113470878</v>
      </c>
      <c r="C338" s="15" t="n">
        <f aca="false">(1-'3. The decision'!$B$27-B338)*(1-'3. The decision'!$B$27)^('3. The decision'!$B$12-1)</f>
        <v>0.621007267328472</v>
      </c>
      <c r="D338" s="15" t="n">
        <f aca="false">1+(1-'3. The decision'!$B$27-B338)*(1-(1-'3. The decision'!$B$27)^('3. The decision'!$B$12-1))/'3. The decision'!$B$27</f>
        <v>4.83511310262316</v>
      </c>
      <c r="E338" s="15" t="n">
        <f aca="false">(1-'3. The decision'!$B$14)*(1-'3. The decision'!$B$27)^('3. The decision'!$B$11-1)</f>
        <v>0.690273454655712</v>
      </c>
      <c r="F338" s="15" t="n">
        <f aca="false">1+(1-'3. The decision'!$B$14)*(1-(1-'3. The decision'!$B$27)^('3. The decision'!$B$11-1))/'3. The decision'!$B$27</f>
        <v>4.28912098262087</v>
      </c>
      <c r="G338" s="15" t="n">
        <f aca="false">(1-(1-'3. The decision'!$B$9*MIN(1,('3. The decision'!$B$10/(52/12)))))+(1-(1-'3. The decision'!$B$9*MAX(0,MIN(1,('3. The decision'!$B$10/(52/12))-1))))*(1-'3. The decision'!$B$14)+(1-(1-'3. The decision'!$B$9*MAX(0,MIN(1,('3. The decision'!$B$10/(52/12))-2))))*(1-'3. The decision'!$B$14)*(1-'3. The decision'!$B$27)</f>
        <v>0.884576923076923</v>
      </c>
      <c r="H338" s="15" t="n">
        <f aca="false">IF(A338&lt;=0,0,MAX(0,ROUNDUP(LN('3. The decision'!$B$13)/LN(1+A338)-0.000000000001,0)-1))</f>
        <v>4</v>
      </c>
      <c r="I338" s="15" t="n">
        <f aca="false">IF(A338&lt;=0,1/(1-C338),(1+A338)*(1-(C338*(1+A338))^H338)/(1-C338*(1+A338))+'3. The decision'!$B$13*C338^H338/(1-C338))</f>
        <v>3.38909950317883</v>
      </c>
      <c r="J338" s="17" t="n">
        <f aca="false">F338+E338*D338/(1-C338)</f>
        <v>13.0954909662148</v>
      </c>
      <c r="K338" s="15" t="n">
        <f aca="false">F338-G338+E338*D338*I338</f>
        <v>14.7158338689217</v>
      </c>
      <c r="L338" s="17" t="n">
        <f aca="false">'3. The decision'!$B$8*'3. The decision'!$B$5/J338</f>
        <v>35.8627256673025</v>
      </c>
      <c r="M338" s="31" t="n">
        <f aca="false">L338*'3. The decision'!$B$6*'3. The decision'!$B$7*K338</f>
        <v>1012236.85602622</v>
      </c>
      <c r="N338" s="31" t="n">
        <f aca="false">M338*(1+'3. The decision'!$B$19+'3. The decision'!$B$20+'3. The decision'!$B$22)</f>
        <v>1119533.962765</v>
      </c>
      <c r="O338" s="31" t="n">
        <f aca="false">'3. The decision'!$B$17+'3. The decision'!$B$18*L338*12+M338*('3. The decision'!$B$20*(1-'3. The decision'!$B$21)+'3. The decision'!$B$23)+N338*('3. The decision'!$B$24+'3. The decision'!$B$25)</f>
        <v>591170.035652126</v>
      </c>
      <c r="P338" s="31" t="n">
        <f aca="false">N338-O338</f>
        <v>528363.92711287</v>
      </c>
    </row>
    <row r="339" customFormat="false" ht="15" hidden="false" customHeight="false" outlineLevel="0" collapsed="false">
      <c r="A339" s="27" t="n">
        <f aca="false">44*0.0025</f>
        <v>0.11</v>
      </c>
      <c r="B339" s="27" t="n">
        <f aca="false">IF(A339&gt;0,MIN('3. The decision'!$B$15,'3. The decision'!$B$29*(A339/'3. The decision'!$B$28)^$B$292),0)</f>
        <v>0.0607170207274254</v>
      </c>
      <c r="C339" s="15" t="n">
        <f aca="false">(1-'3. The decision'!$B$27-B339)*(1-'3. The decision'!$B$27)^('3. The decision'!$B$12-1)</f>
        <v>0.61869681401146</v>
      </c>
      <c r="D339" s="15" t="n">
        <f aca="false">1+(1-'3. The decision'!$B$27-B339)*(1-(1-'3. The decision'!$B$27)^('3. The decision'!$B$12-1))/'3. The decision'!$B$27</f>
        <v>4.82084459039271</v>
      </c>
      <c r="E339" s="15" t="n">
        <f aca="false">(1-'3. The decision'!$B$14)*(1-'3. The decision'!$B$27)^('3. The decision'!$B$11-1)</f>
        <v>0.690273454655712</v>
      </c>
      <c r="F339" s="15" t="n">
        <f aca="false">1+(1-'3. The decision'!$B$14)*(1-(1-'3. The decision'!$B$27)^('3. The decision'!$B$11-1))/'3. The decision'!$B$27</f>
        <v>4.28912098262087</v>
      </c>
      <c r="G339" s="15" t="n">
        <f aca="false">(1-(1-'3. The decision'!$B$9*MIN(1,('3. The decision'!$B$10/(52/12)))))+(1-(1-'3. The decision'!$B$9*MAX(0,MIN(1,('3. The decision'!$B$10/(52/12))-1))))*(1-'3. The decision'!$B$14)+(1-(1-'3. The decision'!$B$9*MAX(0,MIN(1,('3. The decision'!$B$10/(52/12))-2))))*(1-'3. The decision'!$B$14)*(1-'3. The decision'!$B$27)</f>
        <v>0.884576923076923</v>
      </c>
      <c r="H339" s="15" t="n">
        <f aca="false">IF(A339&lt;=0,0,MAX(0,ROUNDUP(LN('3. The decision'!$B$13)/LN(1+A339)-0.000000000001,0)-1))</f>
        <v>4</v>
      </c>
      <c r="I339" s="15" t="n">
        <f aca="false">IF(A339&lt;=0,1/(1-C339),(1+A339)*(1-(C339*(1+A339))^H339)/(1-C339*(1+A339))+'3. The decision'!$B$13*C339^H339/(1-C339))</f>
        <v>3.37785206758893</v>
      </c>
      <c r="J339" s="17" t="n">
        <f aca="false">F339+E339*D339/(1-C339)</f>
        <v>13.0162997003688</v>
      </c>
      <c r="K339" s="15" t="n">
        <f aca="false">F339-G339+E339*D339*I339</f>
        <v>14.6450259308229</v>
      </c>
      <c r="L339" s="17" t="n">
        <f aca="false">'3. The decision'!$B$8*'3. The decision'!$B$5/J339</f>
        <v>36.0809147615657</v>
      </c>
      <c r="M339" s="31" t="n">
        <f aca="false">L339*'3. The decision'!$B$6*'3. The decision'!$B$7*K339</f>
        <v>1013495.11657988</v>
      </c>
      <c r="N339" s="31" t="n">
        <f aca="false">M339*(1+'3. The decision'!$B$19+'3. The decision'!$B$20+'3. The decision'!$B$22)</f>
        <v>1120925.59893734</v>
      </c>
      <c r="O339" s="31" t="n">
        <f aca="false">'3. The decision'!$B$17+'3. The decision'!$B$18*L339*12+M339*('3. The decision'!$B$20*(1-'3. The decision'!$B$21)+'3. The decision'!$B$23)+N339*('3. The decision'!$B$24+'3. The decision'!$B$25)</f>
        <v>591635.978374647</v>
      </c>
      <c r="P339" s="31" t="n">
        <f aca="false">N339-O339</f>
        <v>529289.620562696</v>
      </c>
    </row>
    <row r="340" customFormat="false" ht="15" hidden="false" customHeight="false" outlineLevel="0" collapsed="false">
      <c r="A340" s="27" t="n">
        <f aca="false">45*0.0025</f>
        <v>0.1125</v>
      </c>
      <c r="B340" s="27" t="n">
        <f aca="false">IF(A340&gt;0,MIN('3. The decision'!$B$15,'3. The decision'!$B$29*(A340/'3. The decision'!$B$28)^$B$292),0)</f>
        <v>0.0640817056666266</v>
      </c>
      <c r="C340" s="15" t="n">
        <f aca="false">(1-'3. The decision'!$B$27-B340)*(1-'3. The decision'!$B$27)^('3. The decision'!$B$12-1)</f>
        <v>0.616311662259565</v>
      </c>
      <c r="D340" s="15" t="n">
        <f aca="false">1+(1-'3. The decision'!$B$27-B340)*(1-(1-'3. The decision'!$B$27)^('3. The decision'!$B$12-1))/'3. The decision'!$B$27</f>
        <v>4.8061147680272</v>
      </c>
      <c r="E340" s="15" t="n">
        <f aca="false">(1-'3. The decision'!$B$14)*(1-'3. The decision'!$B$27)^('3. The decision'!$B$11-1)</f>
        <v>0.690273454655712</v>
      </c>
      <c r="F340" s="15" t="n">
        <f aca="false">1+(1-'3. The decision'!$B$14)*(1-(1-'3. The decision'!$B$27)^('3. The decision'!$B$11-1))/'3. The decision'!$B$27</f>
        <v>4.28912098262087</v>
      </c>
      <c r="G340" s="15" t="n">
        <f aca="false">(1-(1-'3. The decision'!$B$9*MIN(1,('3. The decision'!$B$10/(52/12)))))+(1-(1-'3. The decision'!$B$9*MAX(0,MIN(1,('3. The decision'!$B$10/(52/12))-1))))*(1-'3. The decision'!$B$14)+(1-(1-'3. The decision'!$B$9*MAX(0,MIN(1,('3. The decision'!$B$10/(52/12))-2))))*(1-'3. The decision'!$B$14)*(1-'3. The decision'!$B$27)</f>
        <v>0.884576923076923</v>
      </c>
      <c r="H340" s="15" t="n">
        <f aca="false">IF(A340&lt;=0,0,MAX(0,ROUNDUP(LN('3. The decision'!$B$13)/LN(1+A340)-0.000000000001,0)-1))</f>
        <v>4</v>
      </c>
      <c r="I340" s="15" t="n">
        <f aca="false">IF(A340&lt;=0,1/(1-C340),(1+A340)*(1-(C340*(1+A340))^H340)/(1-C340*(1+A340))+'3. The decision'!$B$13*C340^H340/(1-C340))</f>
        <v>3.36604270594308</v>
      </c>
      <c r="J340" s="17" t="n">
        <f aca="false">F340+E340*D340/(1-C340)</f>
        <v>12.9355486117095</v>
      </c>
      <c r="K340" s="15" t="n">
        <f aca="false">F340-G340+E340*D340*I340</f>
        <v>14.571503311782</v>
      </c>
      <c r="L340" s="17" t="n">
        <f aca="false">'3. The decision'!$B$8*'3. The decision'!$B$5/J340</f>
        <v>36.3061524560988</v>
      </c>
      <c r="M340" s="31" t="n">
        <f aca="false">L340*'3. The decision'!$B$6*'3. The decision'!$B$7*K340</f>
        <v>1014702.10678066</v>
      </c>
      <c r="N340" s="31" t="n">
        <f aca="false">M340*(1+'3. The decision'!$B$19+'3. The decision'!$B$20+'3. The decision'!$B$22)</f>
        <v>1122260.53009941</v>
      </c>
      <c r="O340" s="31" t="n">
        <f aca="false">'3. The decision'!$B$17+'3. The decision'!$B$18*L340*12+M340*('3. The decision'!$B$20*(1-'3. The decision'!$B$21)+'3. The decision'!$B$23)+N340*('3. The decision'!$B$24+'3. The decision'!$B$25)</f>
        <v>592107.080471111</v>
      </c>
      <c r="P340" s="31" t="n">
        <f aca="false">N340-O340</f>
        <v>530153.449628294</v>
      </c>
    </row>
    <row r="341" customFormat="false" ht="15" hidden="false" customHeight="false" outlineLevel="0" collapsed="false">
      <c r="A341" s="27" t="n">
        <f aca="false">46*0.0025</f>
        <v>0.115</v>
      </c>
      <c r="B341" s="27" t="n">
        <f aca="false">IF(A341&gt;0,MIN('3. The decision'!$B$15,'3. The decision'!$B$29*(A341/'3. The decision'!$B$28)^$B$292),0)</f>
        <v>0.0675527177190778</v>
      </c>
      <c r="C341" s="15" t="n">
        <f aca="false">(1-'3. The decision'!$B$27-B341)*(1-'3. The decision'!$B$27)^('3. The decision'!$B$12-1)</f>
        <v>0.613851137536641</v>
      </c>
      <c r="D341" s="15" t="n">
        <f aca="false">1+(1-'3. The decision'!$B$27-B341)*(1-(1-'3. The decision'!$B$27)^('3. The decision'!$B$12-1))/'3. The decision'!$B$27</f>
        <v>4.79091946983881</v>
      </c>
      <c r="E341" s="15" t="n">
        <f aca="false">(1-'3. The decision'!$B$14)*(1-'3. The decision'!$B$27)^('3. The decision'!$B$11-1)</f>
        <v>0.690273454655712</v>
      </c>
      <c r="F341" s="15" t="n">
        <f aca="false">1+(1-'3. The decision'!$B$14)*(1-(1-'3. The decision'!$B$27)^('3. The decision'!$B$11-1))/'3. The decision'!$B$27</f>
        <v>4.28912098262087</v>
      </c>
      <c r="G341" s="15" t="n">
        <f aca="false">(1-(1-'3. The decision'!$B$9*MIN(1,('3. The decision'!$B$10/(52/12)))))+(1-(1-'3. The decision'!$B$9*MAX(0,MIN(1,('3. The decision'!$B$10/(52/12))-1))))*(1-'3. The decision'!$B$14)+(1-(1-'3. The decision'!$B$9*MAX(0,MIN(1,('3. The decision'!$B$10/(52/12))-2))))*(1-'3. The decision'!$B$14)*(1-'3. The decision'!$B$27)</f>
        <v>0.884576923076923</v>
      </c>
      <c r="H341" s="15" t="n">
        <f aca="false">IF(A341&lt;=0,0,MAX(0,ROUNDUP(LN('3. The decision'!$B$13)/LN(1+A341)-0.000000000001,0)-1))</f>
        <v>4</v>
      </c>
      <c r="I341" s="15" t="n">
        <f aca="false">IF(A341&lt;=0,1/(1-C341),(1+A341)*(1-(C341*(1+A341))^H341)/(1-C341*(1+A341))+'3. The decision'!$B$13*C341^H341/(1-C341))</f>
        <v>3.3536817059902</v>
      </c>
      <c r="J341" s="17" t="n">
        <f aca="false">F341+E341*D341/(1-C341)</f>
        <v>12.8532910602597</v>
      </c>
      <c r="K341" s="15" t="n">
        <f aca="false">F341-G341+E341*D341*I341</f>
        <v>14.4953188121794</v>
      </c>
      <c r="L341" s="17" t="n">
        <f aca="false">'3. The decision'!$B$8*'3. The decision'!$B$5/J341</f>
        <v>36.5385019134946</v>
      </c>
      <c r="M341" s="31" t="n">
        <f aca="false">L341*'3. The decision'!$B$6*'3. The decision'!$B$7*K341</f>
        <v>1015856.78277349</v>
      </c>
      <c r="N341" s="31" t="n">
        <f aca="false">M341*(1+'3. The decision'!$B$19+'3. The decision'!$B$20+'3. The decision'!$B$22)</f>
        <v>1123537.60174748</v>
      </c>
      <c r="O341" s="31" t="n">
        <f aca="false">'3. The decision'!$B$17+'3. The decision'!$B$18*L341*12+M341*('3. The decision'!$B$20*(1-'3. The decision'!$B$21)+'3. The decision'!$B$23)+N341*('3. The decision'!$B$24+'3. The decision'!$B$25)</f>
        <v>592583.325275272</v>
      </c>
      <c r="P341" s="31" t="n">
        <f aca="false">N341-O341</f>
        <v>530954.276472208</v>
      </c>
    </row>
    <row r="342" customFormat="false" ht="15" hidden="false" customHeight="false" outlineLevel="0" collapsed="false">
      <c r="A342" s="27" t="n">
        <f aca="false">47*0.0025</f>
        <v>0.1175</v>
      </c>
      <c r="B342" s="27" t="n">
        <f aca="false">IF(A342&gt;0,MIN('3. The decision'!$B$15,'3. The decision'!$B$29*(A342/'3. The decision'!$B$28)^$B$292),0)</f>
        <v>0.0711309958329911</v>
      </c>
      <c r="C342" s="15" t="n">
        <f aca="false">(1-'3. The decision'!$B$27-B342)*(1-'3. The decision'!$B$27)^('3. The decision'!$B$12-1)</f>
        <v>0.611314574242785</v>
      </c>
      <c r="D342" s="15" t="n">
        <f aca="false">1+(1-'3. The decision'!$B$27-B342)*(1-(1-'3. The decision'!$B$27)^('3. The decision'!$B$12-1))/'3. The decision'!$B$27</f>
        <v>4.77525458532667</v>
      </c>
      <c r="E342" s="15" t="n">
        <f aca="false">(1-'3. The decision'!$B$14)*(1-'3. The decision'!$B$27)^('3. The decision'!$B$11-1)</f>
        <v>0.690273454655712</v>
      </c>
      <c r="F342" s="15" t="n">
        <f aca="false">1+(1-'3. The decision'!$B$14)*(1-(1-'3. The decision'!$B$27)^('3. The decision'!$B$11-1))/'3. The decision'!$B$27</f>
        <v>4.28912098262087</v>
      </c>
      <c r="G342" s="15" t="n">
        <f aca="false">(1-(1-'3. The decision'!$B$9*MIN(1,('3. The decision'!$B$10/(52/12)))))+(1-(1-'3. The decision'!$B$9*MAX(0,MIN(1,('3. The decision'!$B$10/(52/12))-1))))*(1-'3. The decision'!$B$14)+(1-(1-'3. The decision'!$B$9*MAX(0,MIN(1,('3. The decision'!$B$10/(52/12))-2))))*(1-'3. The decision'!$B$14)*(1-'3. The decision'!$B$27)</f>
        <v>0.884576923076923</v>
      </c>
      <c r="H342" s="15" t="n">
        <f aca="false">IF(A342&lt;=0,0,MAX(0,ROUNDUP(LN('3. The decision'!$B$13)/LN(1+A342)-0.000000000001,0)-1))</f>
        <v>4</v>
      </c>
      <c r="I342" s="15" t="n">
        <f aca="false">IF(A342&lt;=0,1/(1-C342),(1+A342)*(1-(C342*(1+A342))^H342)/(1-C342*(1+A342))+'3. The decision'!$B$13*C342^H342/(1-C342))</f>
        <v>3.34077974244096</v>
      </c>
      <c r="J342" s="17" t="n">
        <f aca="false">F342+E342*D342/(1-C342)</f>
        <v>12.7695816869358</v>
      </c>
      <c r="K342" s="15" t="n">
        <f aca="false">F342-G342+E342*D342*I342</f>
        <v>14.4165274125668</v>
      </c>
      <c r="L342" s="17" t="n">
        <f aca="false">'3. The decision'!$B$8*'3. The decision'!$B$5/J342</f>
        <v>36.7780254290143</v>
      </c>
      <c r="M342" s="31" t="n">
        <f aca="false">L342*'3. The decision'!$B$6*'3. The decision'!$B$7*K342</f>
        <v>1016958.06907691</v>
      </c>
      <c r="N342" s="31" t="n">
        <f aca="false">M342*(1+'3. The decision'!$B$19+'3. The decision'!$B$20+'3. The decision'!$B$22)</f>
        <v>1124755.62439906</v>
      </c>
      <c r="O342" s="31" t="n">
        <f aca="false">'3. The decision'!$B$17+'3. The decision'!$B$18*L342*12+M342*('3. The decision'!$B$20*(1-'3. The decision'!$B$21)+'3. The decision'!$B$23)+N342*('3. The decision'!$B$24+'3. The decision'!$B$25)</f>
        <v>593064.691403167</v>
      </c>
      <c r="P342" s="31" t="n">
        <f aca="false">N342-O342</f>
        <v>531690.932995897</v>
      </c>
    </row>
    <row r="343" customFormat="false" ht="15" hidden="false" customHeight="false" outlineLevel="0" collapsed="false">
      <c r="A343" s="27" t="n">
        <f aca="false">48*0.0025</f>
        <v>0.12</v>
      </c>
      <c r="B343" s="27" t="n">
        <f aca="false">IF(A343&gt;0,MIN('3. The decision'!$B$15,'3. The decision'!$B$29*(A343/'3. The decision'!$B$28)^$B$292),0)</f>
        <v>0.0748174667861921</v>
      </c>
      <c r="C343" s="15" t="n">
        <f aca="false">(1-'3. The decision'!$B$27-B343)*(1-'3. The decision'!$B$27)^('3. The decision'!$B$12-1)</f>
        <v>0.608701315405414</v>
      </c>
      <c r="D343" s="15" t="n">
        <f aca="false">1+(1-'3. The decision'!$B$27-B343)*(1-(1-'3. The decision'!$B$27)^('3. The decision'!$B$12-1))/'3. The decision'!$B$27</f>
        <v>4.75911605726908</v>
      </c>
      <c r="E343" s="15" t="n">
        <f aca="false">(1-'3. The decision'!$B$14)*(1-'3. The decision'!$B$27)^('3. The decision'!$B$11-1)</f>
        <v>0.690273454655712</v>
      </c>
      <c r="F343" s="15" t="n">
        <f aca="false">1+(1-'3. The decision'!$B$14)*(1-(1-'3. The decision'!$B$27)^('3. The decision'!$B$11-1))/'3. The decision'!$B$27</f>
        <v>4.28912098262087</v>
      </c>
      <c r="G343" s="15" t="n">
        <f aca="false">(1-(1-'3. The decision'!$B$9*MIN(1,('3. The decision'!$B$10/(52/12)))))+(1-(1-'3. The decision'!$B$9*MAX(0,MIN(1,('3. The decision'!$B$10/(52/12))-1))))*(1-'3. The decision'!$B$14)+(1-(1-'3. The decision'!$B$9*MAX(0,MIN(1,('3. The decision'!$B$10/(52/12))-2))))*(1-'3. The decision'!$B$14)*(1-'3. The decision'!$B$27)</f>
        <v>0.884576923076923</v>
      </c>
      <c r="H343" s="15" t="n">
        <f aca="false">IF(A343&lt;=0,0,MAX(0,ROUNDUP(LN('3. The decision'!$B$13)/LN(1+A343)-0.000000000001,0)-1))</f>
        <v>4</v>
      </c>
      <c r="I343" s="15" t="n">
        <f aca="false">IF(A343&lt;=0,1/(1-C343),(1+A343)*(1-(C343*(1+A343))^H343)/(1-C343*(1+A343))+'3. The decision'!$B$13*C343^H343/(1-C343))</f>
        <v>3.3273478405358</v>
      </c>
      <c r="J343" s="17" t="n">
        <f aca="false">F343+E343*D343/(1-C343)</f>
        <v>12.6844762733298</v>
      </c>
      <c r="K343" s="15" t="n">
        <f aca="false">F343-G343+E343*D343*I343</f>
        <v>14.3351861080014</v>
      </c>
      <c r="L343" s="17" t="n">
        <f aca="false">'3. The decision'!$B$8*'3. The decision'!$B$5/J343</f>
        <v>37.0247844593678</v>
      </c>
      <c r="M343" s="31" t="n">
        <f aca="false">L343*'3. The decision'!$B$6*'3. The decision'!$B$7*K343</f>
        <v>1018004.85748706</v>
      </c>
      <c r="N343" s="31" t="n">
        <f aca="false">M343*(1+'3. The decision'!$B$19+'3. The decision'!$B$20+'3. The decision'!$B$22)</f>
        <v>1125913.37238069</v>
      </c>
      <c r="O343" s="31" t="n">
        <f aca="false">'3. The decision'!$B$17+'3. The decision'!$B$18*L343*12+M343*('3. The decision'!$B$20*(1-'3. The decision'!$B$21)+'3. The decision'!$B$23)+N343*('3. The decision'!$B$24+'3. The decision'!$B$25)</f>
        <v>593551.152678756</v>
      </c>
      <c r="P343" s="31" t="n">
        <f aca="false">N343-O343</f>
        <v>532362.219701935</v>
      </c>
    </row>
    <row r="344" customFormat="false" ht="15" hidden="false" customHeight="false" outlineLevel="0" collapsed="false">
      <c r="A344" s="27" t="n">
        <f aca="false">49*0.0025</f>
        <v>0.1225</v>
      </c>
      <c r="B344" s="27" t="n">
        <f aca="false">IF(A344&gt;0,MIN('3. The decision'!$B$15,'3. The decision'!$B$29*(A344/'3. The decision'!$B$28)^$B$292),0)</f>
        <v>0.078613045597941</v>
      </c>
      <c r="C344" s="15" t="n">
        <f aca="false">(1-'3. The decision'!$B$27-B344)*(1-'3. The decision'!$B$27)^('3. The decision'!$B$12-1)</f>
        <v>0.606010712387335</v>
      </c>
      <c r="D344" s="15" t="n">
        <f aca="false">1+(1-'3. The decision'!$B$27-B344)*(1-(1-'3. The decision'!$B$27)^('3. The decision'!$B$12-1))/'3. The decision'!$B$27</f>
        <v>4.74249987992066</v>
      </c>
      <c r="E344" s="15" t="n">
        <f aca="false">(1-'3. The decision'!$B$14)*(1-'3. The decision'!$B$27)^('3. The decision'!$B$11-1)</f>
        <v>0.690273454655712</v>
      </c>
      <c r="F344" s="15" t="n">
        <f aca="false">1+(1-'3. The decision'!$B$14)*(1-(1-'3. The decision'!$B$27)^('3. The decision'!$B$11-1))/'3. The decision'!$B$27</f>
        <v>4.28912098262087</v>
      </c>
      <c r="G344" s="15" t="n">
        <f aca="false">(1-(1-'3. The decision'!$B$9*MIN(1,('3. The decision'!$B$10/(52/12)))))+(1-(1-'3. The decision'!$B$9*MAX(0,MIN(1,('3. The decision'!$B$10/(52/12))-1))))*(1-'3. The decision'!$B$14)+(1-(1-'3. The decision'!$B$9*MAX(0,MIN(1,('3. The decision'!$B$10/(52/12))-2))))*(1-'3. The decision'!$B$14)*(1-'3. The decision'!$B$27)</f>
        <v>0.884576923076923</v>
      </c>
      <c r="H344" s="15" t="n">
        <f aca="false">IF(A344&lt;=0,0,MAX(0,ROUNDUP(LN('3. The decision'!$B$13)/LN(1+A344)-0.000000000001,0)-1))</f>
        <v>4</v>
      </c>
      <c r="I344" s="15" t="n">
        <f aca="false">IF(A344&lt;=0,1/(1-C344),(1+A344)*(1-(C344*(1+A344))^H344)/(1-C344*(1+A344))+'3. The decision'!$B$13*C344^H344/(1-C344))</f>
        <v>3.31339733995442</v>
      </c>
      <c r="J344" s="17" t="n">
        <f aca="false">F344+E344*D344/(1-C344)</f>
        <v>12.5980316021285</v>
      </c>
      <c r="K344" s="15" t="n">
        <f aca="false">F344-G344+E344*D344*I344</f>
        <v>14.2513537435533</v>
      </c>
      <c r="L344" s="17" t="n">
        <f aca="false">'3. The decision'!$B$8*'3. The decision'!$B$5/J344</f>
        <v>37.2788396498903</v>
      </c>
      <c r="M344" s="31" t="n">
        <f aca="false">L344*'3. The decision'!$B$6*'3. The decision'!$B$7*K344</f>
        <v>1018996.00615765</v>
      </c>
      <c r="N344" s="31" t="n">
        <f aca="false">M344*(1+'3. The decision'!$B$19+'3. The decision'!$B$20+'3. The decision'!$B$22)</f>
        <v>1127009.58281036</v>
      </c>
      <c r="O344" s="31" t="n">
        <f aca="false">'3. The decision'!$B$17+'3. The decision'!$B$18*L344*12+M344*('3. The decision'!$B$20*(1-'3. The decision'!$B$21)+'3. The decision'!$B$23)+N344*('3. The decision'!$B$24+'3. The decision'!$B$25)</f>
        <v>594042.678076069</v>
      </c>
      <c r="P344" s="31" t="n">
        <f aca="false">N344-O344</f>
        <v>532966.904734291</v>
      </c>
    </row>
    <row r="345" customFormat="false" ht="15" hidden="false" customHeight="false" outlineLevel="0" collapsed="false">
      <c r="A345" s="27" t="n">
        <f aca="false">50*0.0025</f>
        <v>0.125</v>
      </c>
      <c r="B345" s="27" t="n">
        <f aca="false">IF(A345&gt;0,MIN('3. The decision'!$B$15,'3. The decision'!$B$29*(A345/'3. The decision'!$B$28)^$B$292),0)</f>
        <v>0.0825186359185751</v>
      </c>
      <c r="C345" s="15" t="n">
        <f aca="false">(1-'3. The decision'!$B$27-B345)*(1-'3. The decision'!$B$27)^('3. The decision'!$B$12-1)</f>
        <v>0.603242124610539</v>
      </c>
      <c r="D345" s="15" t="n">
        <f aca="false">1+(1-'3. The decision'!$B$27-B345)*(1-(1-'3. The decision'!$B$27)^('3. The decision'!$B$12-1))/'3. The decision'!$B$27</f>
        <v>4.72540209730656</v>
      </c>
      <c r="E345" s="15" t="n">
        <f aca="false">(1-'3. The decision'!$B$14)*(1-'3. The decision'!$B$27)^('3. The decision'!$B$11-1)</f>
        <v>0.690273454655712</v>
      </c>
      <c r="F345" s="15" t="n">
        <f aca="false">1+(1-'3. The decision'!$B$14)*(1-(1-'3. The decision'!$B$27)^('3. The decision'!$B$11-1))/'3. The decision'!$B$27</f>
        <v>4.28912098262087</v>
      </c>
      <c r="G345" s="15" t="n">
        <f aca="false">(1-(1-'3. The decision'!$B$9*MIN(1,('3. The decision'!$B$10/(52/12)))))+(1-(1-'3. The decision'!$B$9*MAX(0,MIN(1,('3. The decision'!$B$10/(52/12))-1))))*(1-'3. The decision'!$B$14)+(1-(1-'3. The decision'!$B$9*MAX(0,MIN(1,('3. The decision'!$B$10/(52/12))-2))))*(1-'3. The decision'!$B$14)*(1-'3. The decision'!$B$27)</f>
        <v>0.884576923076923</v>
      </c>
      <c r="H345" s="15" t="n">
        <f aca="false">IF(A345&lt;=0,0,MAX(0,ROUNDUP(LN('3. The decision'!$B$13)/LN(1+A345)-0.000000000001,0)-1))</f>
        <v>4</v>
      </c>
      <c r="I345" s="15" t="n">
        <f aca="false">IF(A345&lt;=0,1/(1-C345),(1+A345)*(1-(C345*(1+A345))^H345)/(1-C345*(1+A345))+'3. The decision'!$B$13*C345^H345/(1-C345))</f>
        <v>3.29893985921855</v>
      </c>
      <c r="J345" s="17" t="n">
        <f aca="false">F345+E345*D345/(1-C345)</f>
        <v>12.5103053186427</v>
      </c>
      <c r="K345" s="15" t="n">
        <f aca="false">F345-G345+E345*D345*I345</f>
        <v>14.1650908516711</v>
      </c>
      <c r="L345" s="17" t="n">
        <f aca="false">'3. The decision'!$B$8*'3. The decision'!$B$5/J345</f>
        <v>37.5402508602366</v>
      </c>
      <c r="M345" s="31" t="n">
        <f aca="false">L345*'3. The decision'!$B$6*'3. The decision'!$B$7*K345</f>
        <v>1019930.33886825</v>
      </c>
      <c r="N345" s="31" t="n">
        <f aca="false">M345*(1+'3. The decision'!$B$19+'3. The decision'!$B$20+'3. The decision'!$B$22)</f>
        <v>1128042.95478829</v>
      </c>
      <c r="O345" s="31" t="n">
        <f aca="false">'3. The decision'!$B$17+'3. The decision'!$B$18*L345*12+M345*('3. The decision'!$B$20*(1-'3. The decision'!$B$21)+'3. The decision'!$B$23)+N345*('3. The decision'!$B$24+'3. The decision'!$B$25)</f>
        <v>594539.231679376</v>
      </c>
      <c r="P345" s="31" t="n">
        <f aca="false">N345-O345</f>
        <v>533503.723108914</v>
      </c>
    </row>
    <row r="346" customFormat="false" ht="15" hidden="false" customHeight="false" outlineLevel="0" collapsed="false">
      <c r="A346" s="27" t="n">
        <f aca="false">51*0.0025</f>
        <v>0.1275</v>
      </c>
      <c r="B346" s="27" t="n">
        <f aca="false">IF(A346&gt;0,MIN('3. The decision'!$B$15,'3. The decision'!$B$29*(A346/'3. The decision'!$B$28)^$B$292),0)</f>
        <v>0.0865351303985942</v>
      </c>
      <c r="C346" s="15" t="n">
        <f aca="false">(1-'3. The decision'!$B$27-B346)*(1-'3. The decision'!$B$27)^('3. The decision'!$B$12-1)</f>
        <v>0.600394919294558</v>
      </c>
      <c r="D346" s="15" t="n">
        <f aca="false">1+(1-'3. The decision'!$B$27-B346)*(1-(1-'3. The decision'!$B$27)^('3. The decision'!$B$12-1))/'3. The decision'!$B$27</f>
        <v>4.70781880160674</v>
      </c>
      <c r="E346" s="15" t="n">
        <f aca="false">(1-'3. The decision'!$B$14)*(1-'3. The decision'!$B$27)^('3. The decision'!$B$11-1)</f>
        <v>0.690273454655712</v>
      </c>
      <c r="F346" s="15" t="n">
        <f aca="false">1+(1-'3. The decision'!$B$14)*(1-(1-'3. The decision'!$B$27)^('3. The decision'!$B$11-1))/'3. The decision'!$B$27</f>
        <v>4.28912098262087</v>
      </c>
      <c r="G346" s="15" t="n">
        <f aca="false">(1-(1-'3. The decision'!$B$9*MIN(1,('3. The decision'!$B$10/(52/12)))))+(1-(1-'3. The decision'!$B$9*MAX(0,MIN(1,('3. The decision'!$B$10/(52/12))-1))))*(1-'3. The decision'!$B$14)+(1-(1-'3. The decision'!$B$9*MAX(0,MIN(1,('3. The decision'!$B$10/(52/12))-2))))*(1-'3. The decision'!$B$14)*(1-'3. The decision'!$B$27)</f>
        <v>0.884576923076923</v>
      </c>
      <c r="H346" s="15" t="n">
        <f aca="false">IF(A346&lt;=0,0,MAX(0,ROUNDUP(LN('3. The decision'!$B$13)/LN(1+A346)-0.000000000001,0)-1))</f>
        <v>4</v>
      </c>
      <c r="I346" s="15" t="n">
        <f aca="false">IF(A346&lt;=0,1/(1-C346),(1+A346)*(1-(C346*(1+A346))^H346)/(1-C346*(1+A346))+'3. The decision'!$B$13*C346^H346/(1-C346))</f>
        <v>3.2839872607343</v>
      </c>
      <c r="J346" s="17" t="n">
        <f aca="false">F346+E346*D346/(1-C346)</f>
        <v>12.4213557939035</v>
      </c>
      <c r="K346" s="15" t="n">
        <f aca="false">F346-G346+E346*D346*I346</f>
        <v>14.0764594920659</v>
      </c>
      <c r="L346" s="17" t="n">
        <f aca="false">'3. The decision'!$B$8*'3. The decision'!$B$5/J346</f>
        <v>37.8090771886998</v>
      </c>
      <c r="M346" s="31" t="n">
        <f aca="false">L346*'3. The decision'!$B$6*'3. The decision'!$B$7*K346</f>
        <v>1020806.64449331</v>
      </c>
      <c r="N346" s="31" t="n">
        <f aca="false">M346*(1+'3. The decision'!$B$19+'3. The decision'!$B$20+'3. The decision'!$B$22)</f>
        <v>1129012.14880961</v>
      </c>
      <c r="O346" s="31" t="n">
        <f aca="false">'3. The decision'!$B$17+'3. The decision'!$B$18*L346*12+M346*('3. The decision'!$B$20*(1-'3. The decision'!$B$21)+'3. The decision'!$B$23)+N346*('3. The decision'!$B$24+'3. The decision'!$B$25)</f>
        <v>595040.772662876</v>
      </c>
      <c r="P346" s="31" t="n">
        <f aca="false">N346-O346</f>
        <v>533971.37614673</v>
      </c>
    </row>
    <row r="347" customFormat="false" ht="15" hidden="false" customHeight="false" outlineLevel="0" collapsed="false">
      <c r="A347" s="27" t="n">
        <f aca="false">52*0.0025</f>
        <v>0.13</v>
      </c>
      <c r="B347" s="27" t="n">
        <f aca="false">IF(A347&gt;0,MIN('3. The decision'!$B$15,'3. The decision'!$B$29*(A347/'3. The decision'!$B$28)^$B$292),0)</f>
        <v>0.0906634110386593</v>
      </c>
      <c r="C347" s="15" t="n">
        <f aca="false">(1-'3. The decision'!$B$27-B347)*(1-'3. The decision'!$B$27)^('3. The decision'!$B$12-1)</f>
        <v>0.597468471208365</v>
      </c>
      <c r="D347" s="15" t="n">
        <f aca="false">1+(1-'3. The decision'!$B$27-B347)*(1-(1-'3. The decision'!$B$27)^('3. The decision'!$B$12-1))/'3. The decision'!$B$27</f>
        <v>4.68974613162369</v>
      </c>
      <c r="E347" s="15" t="n">
        <f aca="false">(1-'3. The decision'!$B$14)*(1-'3. The decision'!$B$27)^('3. The decision'!$B$11-1)</f>
        <v>0.690273454655712</v>
      </c>
      <c r="F347" s="15" t="n">
        <f aca="false">1+(1-'3. The decision'!$B$14)*(1-(1-'3. The decision'!$B$27)^('3. The decision'!$B$11-1))/'3. The decision'!$B$27</f>
        <v>4.28912098262087</v>
      </c>
      <c r="G347" s="15" t="n">
        <f aca="false">(1-(1-'3. The decision'!$B$9*MIN(1,('3. The decision'!$B$10/(52/12)))))+(1-(1-'3. The decision'!$B$9*MAX(0,MIN(1,('3. The decision'!$B$10/(52/12))-1))))*(1-'3. The decision'!$B$14)+(1-(1-'3. The decision'!$B$9*MAX(0,MIN(1,('3. The decision'!$B$10/(52/12))-2))))*(1-'3. The decision'!$B$14)*(1-'3. The decision'!$B$27)</f>
        <v>0.884576923076923</v>
      </c>
      <c r="H347" s="15" t="n">
        <f aca="false">IF(A347&lt;=0,0,MAX(0,ROUNDUP(LN('3. The decision'!$B$13)/LN(1+A347)-0.000000000001,0)-1))</f>
        <v>3</v>
      </c>
      <c r="I347" s="15" t="n">
        <f aca="false">IF(A347&lt;=0,1/(1-C347),(1+A347)*(1-(C347*(1+A347))^H347)/(1-C347*(1+A347))+'3. The decision'!$B$13*C347^H347/(1-C347))</f>
        <v>3.26631783159003</v>
      </c>
      <c r="J347" s="17" t="n">
        <f aca="false">F347+E347*D347/(1-C347)</f>
        <v>12.3312419897677</v>
      </c>
      <c r="K347" s="15" t="n">
        <f aca="false">F347-G347+E347*D347*I347</f>
        <v>13.9782918696316</v>
      </c>
      <c r="L347" s="17" t="n">
        <f aca="false">'3. The decision'!$B$8*'3. The decision'!$B$5/J347</f>
        <v>38.0853769952532</v>
      </c>
      <c r="M347" s="31" t="n">
        <f aca="false">L347*'3. The decision'!$B$6*'3. The decision'!$B$7*K347</f>
        <v>1021095.44540288</v>
      </c>
      <c r="N347" s="31" t="n">
        <f aca="false">M347*(1+'3. The decision'!$B$19+'3. The decision'!$B$20+'3. The decision'!$B$22)</f>
        <v>1129331.56261558</v>
      </c>
      <c r="O347" s="31" t="n">
        <f aca="false">'3. The decision'!$B$17+'3. The decision'!$B$18*L347*12+M347*('3. The decision'!$B$20*(1-'3. The decision'!$B$21)+'3. The decision'!$B$23)+N347*('3. The decision'!$B$24+'3. The decision'!$B$25)</f>
        <v>595490.40334327</v>
      </c>
      <c r="P347" s="31" t="n">
        <f aca="false">N347-O347</f>
        <v>533841.159272309</v>
      </c>
    </row>
    <row r="348" customFormat="false" ht="15" hidden="false" customHeight="false" outlineLevel="0" collapsed="false">
      <c r="A348" s="27" t="n">
        <f aca="false">53*0.0025</f>
        <v>0.1325</v>
      </c>
      <c r="B348" s="27" t="n">
        <f aca="false">IF(A348&gt;0,MIN('3. The decision'!$B$15,'3. The decision'!$B$29*(A348/'3. The decision'!$B$28)^$B$292),0)</f>
        <v>0.094904349521846</v>
      </c>
      <c r="C348" s="15" t="n">
        <f aca="false">(1-'3. The decision'!$B$27-B348)*(1-'3. The decision'!$B$27)^('3. The decision'!$B$12-1)</f>
        <v>0.594462162434845</v>
      </c>
      <c r="D348" s="15" t="n">
        <f aca="false">1+(1-'3. The decision'!$B$27-B348)*(1-(1-'3. The decision'!$B$27)^('3. The decision'!$B$12-1))/'3. The decision'!$B$27</f>
        <v>4.67118027132795</v>
      </c>
      <c r="E348" s="15" t="n">
        <f aca="false">(1-'3. The decision'!$B$14)*(1-'3. The decision'!$B$27)^('3. The decision'!$B$11-1)</f>
        <v>0.690273454655712</v>
      </c>
      <c r="F348" s="15" t="n">
        <f aca="false">1+(1-'3. The decision'!$B$14)*(1-(1-'3. The decision'!$B$27)^('3. The decision'!$B$11-1))/'3. The decision'!$B$27</f>
        <v>4.28912098262087</v>
      </c>
      <c r="G348" s="15" t="n">
        <f aca="false">(1-(1-'3. The decision'!$B$9*MIN(1,('3. The decision'!$B$10/(52/12)))))+(1-(1-'3. The decision'!$B$9*MAX(0,MIN(1,('3. The decision'!$B$10/(52/12))-1))))*(1-'3. The decision'!$B$14)+(1-(1-'3. The decision'!$B$9*MAX(0,MIN(1,('3. The decision'!$B$10/(52/12))-2))))*(1-'3. The decision'!$B$14)*(1-'3. The decision'!$B$27)</f>
        <v>0.884576923076923</v>
      </c>
      <c r="H348" s="15" t="n">
        <f aca="false">IF(A348&lt;=0,0,MAX(0,ROUNDUP(LN('3. The decision'!$B$13)/LN(1+A348)-0.000000000001,0)-1))</f>
        <v>3</v>
      </c>
      <c r="I348" s="15" t="n">
        <f aca="false">IF(A348&lt;=0,1/(1-C348),(1+A348)*(1-(C348*(1+A348))^H348)/(1-C348*(1+A348))+'3. The decision'!$B$13*C348^H348/(1-C348))</f>
        <v>3.24740371266808</v>
      </c>
      <c r="J348" s="17" t="n">
        <f aca="false">F348+E348*D348/(1-C348)</f>
        <v>12.2400233264524</v>
      </c>
      <c r="K348" s="15" t="n">
        <f aca="false">F348-G348+E348*D348*I348</f>
        <v>13.8754457775377</v>
      </c>
      <c r="L348" s="17" t="n">
        <f aca="false">'3. The decision'!$B$8*'3. The decision'!$B$5/J348</f>
        <v>38.3692079234067</v>
      </c>
      <c r="M348" s="31" t="n">
        <f aca="false">L348*'3. The decision'!$B$6*'3. The decision'!$B$7*K348</f>
        <v>1021136.39226282</v>
      </c>
      <c r="N348" s="31" t="n">
        <f aca="false">M348*(1+'3. The decision'!$B$19+'3. The decision'!$B$20+'3. The decision'!$B$22)</f>
        <v>1129376.84984268</v>
      </c>
      <c r="O348" s="31" t="n">
        <f aca="false">'3. The decision'!$B$17+'3. The decision'!$B$18*L348*12+M348*('3. The decision'!$B$20*(1-'3. The decision'!$B$21)+'3. The decision'!$B$23)+N348*('3. The decision'!$B$24+'3. The decision'!$B$25)</f>
        <v>595924.766623034</v>
      </c>
      <c r="P348" s="31" t="n">
        <f aca="false">N348-O348</f>
        <v>533452.083219647</v>
      </c>
    </row>
    <row r="349" customFormat="false" ht="15" hidden="false" customHeight="false" outlineLevel="0" collapsed="false">
      <c r="A349" s="27" t="n">
        <f aca="false">54*0.0025</f>
        <v>0.135</v>
      </c>
      <c r="B349" s="27" t="n">
        <f aca="false">IF(A349&gt;0,MIN('3. The decision'!$B$15,'3. The decision'!$B$29*(A349/'3. The decision'!$B$28)^$B$292),0)</f>
        <v>0.0992588075293739</v>
      </c>
      <c r="C349" s="15" t="n">
        <f aca="false">(1-'3. The decision'!$B$27-B349)*(1-'3. The decision'!$B$27)^('3. The decision'!$B$12-1)</f>
        <v>0.591375382146979</v>
      </c>
      <c r="D349" s="15" t="n">
        <f aca="false">1+(1-'3. The decision'!$B$27-B349)*(1-(1-'3. The decision'!$B$27)^('3. The decision'!$B$12-1))/'3. The decision'!$B$27</f>
        <v>4.6521174484759</v>
      </c>
      <c r="E349" s="15" t="n">
        <f aca="false">(1-'3. The decision'!$B$14)*(1-'3. The decision'!$B$27)^('3. The decision'!$B$11-1)</f>
        <v>0.690273454655712</v>
      </c>
      <c r="F349" s="15" t="n">
        <f aca="false">1+(1-'3. The decision'!$B$14)*(1-(1-'3. The decision'!$B$27)^('3. The decision'!$B$11-1))/'3. The decision'!$B$27</f>
        <v>4.28912098262087</v>
      </c>
      <c r="G349" s="15" t="n">
        <f aca="false">(1-(1-'3. The decision'!$B$9*MIN(1,('3. The decision'!$B$10/(52/12)))))+(1-(1-'3. The decision'!$B$9*MAX(0,MIN(1,('3. The decision'!$B$10/(52/12))-1))))*(1-'3. The decision'!$B$14)+(1-(1-'3. The decision'!$B$9*MAX(0,MIN(1,('3. The decision'!$B$10/(52/12))-2))))*(1-'3. The decision'!$B$14)*(1-'3. The decision'!$B$27)</f>
        <v>0.884576923076923</v>
      </c>
      <c r="H349" s="15" t="n">
        <f aca="false">IF(A349&lt;=0,0,MAX(0,ROUNDUP(LN('3. The decision'!$B$13)/LN(1+A349)-0.000000000001,0)-1))</f>
        <v>3</v>
      </c>
      <c r="I349" s="15" t="n">
        <f aca="false">IF(A349&lt;=0,1/(1-C349),(1+A349)*(1-(C349*(1+A349))^H349)/(1-C349*(1+A349))+'3. The decision'!$B$13*C349^H349/(1-C349))</f>
        <v>3.22810610132834</v>
      </c>
      <c r="J349" s="17" t="n">
        <f aca="false">F349+E349*D349/(1-C349)</f>
        <v>12.1477595528957</v>
      </c>
      <c r="K349" s="15" t="n">
        <f aca="false">F349-G349+E349*D349*I349</f>
        <v>13.7707454891592</v>
      </c>
      <c r="L349" s="17" t="n">
        <f aca="false">'3. The decision'!$B$8*'3. The decision'!$B$5/J349</f>
        <v>38.6606269209576</v>
      </c>
      <c r="M349" s="31" t="n">
        <f aca="false">L349*'3. The decision'!$B$6*'3. The decision'!$B$7*K349</f>
        <v>1021128.31682966</v>
      </c>
      <c r="N349" s="31" t="n">
        <f aca="false">M349*(1+'3. The decision'!$B$19+'3. The decision'!$B$20+'3. The decision'!$B$22)</f>
        <v>1129367.9184136</v>
      </c>
      <c r="O349" s="31" t="n">
        <f aca="false">'3. The decision'!$B$17+'3. The decision'!$B$18*L349*12+M349*('3. The decision'!$B$20*(1-'3. The decision'!$B$21)+'3. The decision'!$B$23)+N349*('3. The decision'!$B$24+'3. The decision'!$B$25)</f>
        <v>596365.348433993</v>
      </c>
      <c r="P349" s="31" t="n">
        <f aca="false">N349-O349</f>
        <v>533002.569979607</v>
      </c>
    </row>
    <row r="350" customFormat="false" ht="15" hidden="false" customHeight="false" outlineLevel="0" collapsed="false">
      <c r="A350" s="27" t="n">
        <f aca="false">55*0.0025</f>
        <v>0.1375</v>
      </c>
      <c r="B350" s="27" t="n">
        <f aca="false">IF(A350&gt;0,MIN('3. The decision'!$B$15,'3. The decision'!$B$29*(A350/'3. The decision'!$B$28)^$B$292),0)</f>
        <v>0.103727637040929</v>
      </c>
      <c r="C350" s="15" t="n">
        <f aca="false">(1-'3. The decision'!$B$27-B350)*(1-'3. The decision'!$B$27)^('3. The decision'!$B$12-1)</f>
        <v>0.588207526394952</v>
      </c>
      <c r="D350" s="15" t="n">
        <f aca="false">1+(1-'3. The decision'!$B$27-B350)*(1-(1-'3. The decision'!$B$27)^('3. The decision'!$B$12-1))/'3. The decision'!$B$27</f>
        <v>4.63255393329502</v>
      </c>
      <c r="E350" s="15" t="n">
        <f aca="false">(1-'3. The decision'!$B$14)*(1-'3. The decision'!$B$27)^('3. The decision'!$B$11-1)</f>
        <v>0.690273454655712</v>
      </c>
      <c r="F350" s="15" t="n">
        <f aca="false">1+(1-'3. The decision'!$B$14)*(1-(1-'3. The decision'!$B$27)^('3. The decision'!$B$11-1))/'3. The decision'!$B$27</f>
        <v>4.28912098262087</v>
      </c>
      <c r="G350" s="15" t="n">
        <f aca="false">(1-(1-'3. The decision'!$B$9*MIN(1,('3. The decision'!$B$10/(52/12)))))+(1-(1-'3. The decision'!$B$9*MAX(0,MIN(1,('3. The decision'!$B$10/(52/12))-1))))*(1-'3. The decision'!$B$14)+(1-(1-'3. The decision'!$B$9*MAX(0,MIN(1,('3. The decision'!$B$10/(52/12))-2))))*(1-'3. The decision'!$B$14)*(1-'3. The decision'!$B$27)</f>
        <v>0.884576923076923</v>
      </c>
      <c r="H350" s="15" t="n">
        <f aca="false">IF(A350&lt;=0,0,MAX(0,ROUNDUP(LN('3. The decision'!$B$13)/LN(1+A350)-0.000000000001,0)-1))</f>
        <v>3</v>
      </c>
      <c r="I350" s="15" t="n">
        <f aca="false">IF(A350&lt;=0,1/(1-C350),(1+A350)*(1-(C350*(1+A350))^H350)/(1-C350*(1+A350))+'3. The decision'!$B$13*C350^H350/(1-C350))</f>
        <v>3.20844053860409</v>
      </c>
      <c r="J350" s="17" t="n">
        <f aca="false">F350+E350*D350/(1-C350)</f>
        <v>12.0545106203184</v>
      </c>
      <c r="K350" s="15" t="n">
        <f aca="false">F350-G350+E350*D350*I350</f>
        <v>13.6642674384027</v>
      </c>
      <c r="L350" s="17" t="n">
        <f aca="false">'3. The decision'!$B$8*'3. The decision'!$B$5/J350</f>
        <v>38.959690259711</v>
      </c>
      <c r="M350" s="31" t="n">
        <f aca="false">L350*'3. The decision'!$B$6*'3. The decision'!$B$7*K350</f>
        <v>1021070.72480334</v>
      </c>
      <c r="N350" s="31" t="n">
        <f aca="false">M350*(1+'3. The decision'!$B$19+'3. The decision'!$B$20+'3. The decision'!$B$22)</f>
        <v>1129304.22163249</v>
      </c>
      <c r="O350" s="31" t="n">
        <f aca="false">'3. The decision'!$B$17+'3. The decision'!$B$18*L350*12+M350*('3. The decision'!$B$20*(1-'3. The decision'!$B$21)+'3. The decision'!$B$23)+N350*('3. The decision'!$B$24+'3. The decision'!$B$25)</f>
        <v>596812.180818472</v>
      </c>
      <c r="P350" s="31" t="n">
        <f aca="false">N350-O350</f>
        <v>532492.040814018</v>
      </c>
    </row>
    <row r="351" customFormat="false" ht="15" hidden="false" customHeight="false" outlineLevel="0" collapsed="false">
      <c r="A351" s="27" t="n">
        <f aca="false">56*0.0025</f>
        <v>0.14</v>
      </c>
      <c r="B351" s="27" t="n">
        <f aca="false">IF(A351&gt;0,MIN('3. The decision'!$B$15,'3. The decision'!$B$29*(A351/'3. The decision'!$B$28)^$B$292),0)</f>
        <v>0.108311680620602</v>
      </c>
      <c r="C351" s="15" t="n">
        <f aca="false">(1-'3. The decision'!$B$27-B351)*(1-'3. The decision'!$B$27)^('3. The decision'!$B$12-1)</f>
        <v>0.584957997903462</v>
      </c>
      <c r="D351" s="15" t="n">
        <f aca="false">1+(1-'3. The decision'!$B$27-B351)*(1-(1-'3. The decision'!$B$27)^('3. The decision'!$B$12-1))/'3. The decision'!$B$27</f>
        <v>4.61248603723211</v>
      </c>
      <c r="E351" s="15" t="n">
        <f aca="false">(1-'3. The decision'!$B$14)*(1-'3. The decision'!$B$27)^('3. The decision'!$B$11-1)</f>
        <v>0.690273454655712</v>
      </c>
      <c r="F351" s="15" t="n">
        <f aca="false">1+(1-'3. The decision'!$B$14)*(1-(1-'3. The decision'!$B$27)^('3. The decision'!$B$11-1))/'3. The decision'!$B$27</f>
        <v>4.28912098262087</v>
      </c>
      <c r="G351" s="15" t="n">
        <f aca="false">(1-(1-'3. The decision'!$B$9*MIN(1,('3. The decision'!$B$10/(52/12)))))+(1-(1-'3. The decision'!$B$9*MAX(0,MIN(1,('3. The decision'!$B$10/(52/12))-1))))*(1-'3. The decision'!$B$14)+(1-(1-'3. The decision'!$B$9*MAX(0,MIN(1,('3. The decision'!$B$10/(52/12))-2))))*(1-'3. The decision'!$B$14)*(1-'3. The decision'!$B$27)</f>
        <v>0.884576923076923</v>
      </c>
      <c r="H351" s="15" t="n">
        <f aca="false">IF(A351&lt;=0,0,MAX(0,ROUNDUP(LN('3. The decision'!$B$13)/LN(1+A351)-0.000000000001,0)-1))</f>
        <v>3</v>
      </c>
      <c r="I351" s="15" t="n">
        <f aca="false">IF(A351&lt;=0,1/(1-C351),(1+A351)*(1-(C351*(1+A351))^H351)/(1-C351*(1+A351))+'3. The decision'!$B$13*C351^H351/(1-C351))</f>
        <v>3.18842257019225</v>
      </c>
      <c r="J351" s="17" t="n">
        <f aca="false">F351+E351*D351/(1-C351)</f>
        <v>11.9603365593299</v>
      </c>
      <c r="K351" s="15" t="n">
        <f aca="false">F351-G351+E351*D351*I351</f>
        <v>13.5560882995721</v>
      </c>
      <c r="L351" s="17" t="n">
        <f aca="false">'3. The decision'!$B$8*'3. The decision'!$B$5/J351</f>
        <v>39.2664535542396</v>
      </c>
      <c r="M351" s="31" t="n">
        <f aca="false">L351*'3. The decision'!$B$6*'3. The decision'!$B$7*K351</f>
        <v>1020963.09406994</v>
      </c>
      <c r="N351" s="31" t="n">
        <f aca="false">M351*(1+'3. The decision'!$B$19+'3. The decision'!$B$20+'3. The decision'!$B$22)</f>
        <v>1129185.18204135</v>
      </c>
      <c r="O351" s="31" t="n">
        <f aca="false">'3. The decision'!$B$17+'3. The decision'!$B$18*L351*12+M351*('3. The decision'!$B$20*(1-'3. The decision'!$B$21)+'3. The decision'!$B$23)+N351*('3. The decision'!$B$24+'3. The decision'!$B$25)</f>
        <v>597265.291829673</v>
      </c>
      <c r="P351" s="31" t="n">
        <f aca="false">N351-O351</f>
        <v>531919.890211675</v>
      </c>
    </row>
    <row r="352" customFormat="false" ht="15" hidden="false" customHeight="false" outlineLevel="0" collapsed="false">
      <c r="A352" s="27" t="n">
        <f aca="false">57*0.0025</f>
        <v>0.1425</v>
      </c>
      <c r="B352" s="27" t="n">
        <f aca="false">IF(A352&gt;0,MIN('3. The decision'!$B$15,'3. The decision'!$B$29*(A352/'3. The decision'!$B$28)^$B$292),0)</f>
        <v>0.113011771689375</v>
      </c>
      <c r="C352" s="15" t="n">
        <f aca="false">(1-'3. The decision'!$B$27-B352)*(1-'3. The decision'!$B$27)^('3. The decision'!$B$12-1)</f>
        <v>0.581626205878557</v>
      </c>
      <c r="D352" s="15" t="n">
        <f aca="false">1+(1-'3. The decision'!$B$27-B352)*(1-(1-'3. The decision'!$B$27)^('3. The decision'!$B$12-1))/'3. The decision'!$B$27</f>
        <v>4.59191011176042</v>
      </c>
      <c r="E352" s="15" t="n">
        <f aca="false">(1-'3. The decision'!$B$14)*(1-'3. The decision'!$B$27)^('3. The decision'!$B$11-1)</f>
        <v>0.690273454655712</v>
      </c>
      <c r="F352" s="15" t="n">
        <f aca="false">1+(1-'3. The decision'!$B$14)*(1-(1-'3. The decision'!$B$27)^('3. The decision'!$B$11-1))/'3. The decision'!$B$27</f>
        <v>4.28912098262087</v>
      </c>
      <c r="G352" s="15" t="n">
        <f aca="false">(1-(1-'3. The decision'!$B$9*MIN(1,('3. The decision'!$B$10/(52/12)))))+(1-(1-'3. The decision'!$B$9*MAX(0,MIN(1,('3. The decision'!$B$10/(52/12))-1))))*(1-'3. The decision'!$B$14)+(1-(1-'3. The decision'!$B$9*MAX(0,MIN(1,('3. The decision'!$B$10/(52/12))-2))))*(1-'3. The decision'!$B$14)*(1-'3. The decision'!$B$27)</f>
        <v>0.884576923076923</v>
      </c>
      <c r="H352" s="15" t="n">
        <f aca="false">IF(A352&lt;=0,0,MAX(0,ROUNDUP(LN('3. The decision'!$B$13)/LN(1+A352)-0.000000000001,0)-1))</f>
        <v>3</v>
      </c>
      <c r="I352" s="15" t="n">
        <f aca="false">IF(A352&lt;=0,1/(1-C352),(1+A352)*(1-(C352*(1+A352))^H352)/(1-C352*(1+A352))+'3. The decision'!$B$13*C352^H352/(1-C352))</f>
        <v>3.16806771093648</v>
      </c>
      <c r="J352" s="17" t="n">
        <f aca="false">F352+E352*D352/(1-C352)</f>
        <v>11.8652973608987</v>
      </c>
      <c r="K352" s="15" t="n">
        <f aca="false">F352-G352+E352*D352*I352</f>
        <v>13.4462848243163</v>
      </c>
      <c r="L352" s="17" t="n">
        <f aca="false">'3. The decision'!$B$8*'3. The decision'!$B$5/J352</f>
        <v>39.5809717797437</v>
      </c>
      <c r="M352" s="31" t="n">
        <f aca="false">L352*'3. The decision'!$B$6*'3. The decision'!$B$7*K352</f>
        <v>1020804.87357152</v>
      </c>
      <c r="N352" s="31" t="n">
        <f aca="false">M352*(1+'3. The decision'!$B$19+'3. The decision'!$B$20+'3. The decision'!$B$22)</f>
        <v>1129010.19017011</v>
      </c>
      <c r="O352" s="31" t="n">
        <f aca="false">'3. The decision'!$B$17+'3. The decision'!$B$18*L352*12+M352*('3. The decision'!$B$20*(1-'3. The decision'!$B$21)+'3. The decision'!$B$23)+N352*('3. The decision'!$B$24+'3. The decision'!$B$25)</f>
        <v>597724.7054371</v>
      </c>
      <c r="P352" s="31" t="n">
        <f aca="false">N352-O352</f>
        <v>531285.484733006</v>
      </c>
    </row>
    <row r="353" customFormat="false" ht="15" hidden="false" customHeight="false" outlineLevel="0" collapsed="false">
      <c r="A353" s="27" t="n">
        <f aca="false">58*0.0025</f>
        <v>0.145</v>
      </c>
      <c r="B353" s="27" t="n">
        <f aca="false">IF(A353&gt;0,MIN('3. The decision'!$B$15,'3. The decision'!$B$29*(A353/'3. The decision'!$B$28)^$B$292),0)</f>
        <v>0.117828734785025</v>
      </c>
      <c r="C353" s="15" t="n">
        <f aca="false">(1-'3. The decision'!$B$27-B353)*(1-'3. The decision'!$B$27)^('3. The decision'!$B$12-1)</f>
        <v>0.578211565823393</v>
      </c>
      <c r="D353" s="15" t="n">
        <f aca="false">1+(1-'3. The decision'!$B$27-B353)*(1-(1-'3. The decision'!$B$27)^('3. The decision'!$B$12-1))/'3. The decision'!$B$27</f>
        <v>4.57082254724184</v>
      </c>
      <c r="E353" s="15" t="n">
        <f aca="false">(1-'3. The decision'!$B$14)*(1-'3. The decision'!$B$27)^('3. The decision'!$B$11-1)</f>
        <v>0.690273454655712</v>
      </c>
      <c r="F353" s="15" t="n">
        <f aca="false">1+(1-'3. The decision'!$B$14)*(1-(1-'3. The decision'!$B$27)^('3. The decision'!$B$11-1))/'3. The decision'!$B$27</f>
        <v>4.28912098262087</v>
      </c>
      <c r="G353" s="15" t="n">
        <f aca="false">(1-(1-'3. The decision'!$B$9*MIN(1,('3. The decision'!$B$10/(52/12)))))+(1-(1-'3. The decision'!$B$9*MAX(0,MIN(1,('3. The decision'!$B$10/(52/12))-1))))*(1-'3. The decision'!$B$14)+(1-(1-'3. The decision'!$B$9*MAX(0,MIN(1,('3. The decision'!$B$10/(52/12))-2))))*(1-'3. The decision'!$B$14)*(1-'3. The decision'!$B$27)</f>
        <v>0.884576923076923</v>
      </c>
      <c r="H353" s="15" t="n">
        <f aca="false">IF(A353&lt;=0,0,MAX(0,ROUNDUP(LN('3. The decision'!$B$13)/LN(1+A353)-0.000000000001,0)-1))</f>
        <v>3</v>
      </c>
      <c r="I353" s="15" t="n">
        <f aca="false">IF(A353&lt;=0,1/(1-C353),(1+A353)*(1-(C353*(1+A353))^H353)/(1-C353*(1+A353))+'3. The decision'!$B$13*C353^H353/(1-C353))</f>
        <v>3.14739141073201</v>
      </c>
      <c r="J353" s="17" t="n">
        <f aca="false">F353+E353*D353/(1-C353)</f>
        <v>11.7694528614741</v>
      </c>
      <c r="K353" s="15" t="n">
        <f aca="false">F353-G353+E353*D353*I353</f>
        <v>13.3349336854256</v>
      </c>
      <c r="L353" s="17" t="n">
        <f aca="false">'3. The decision'!$B$8*'3. The decision'!$B$5/J353</f>
        <v>39.9032992890699</v>
      </c>
      <c r="M353" s="31" t="n">
        <f aca="false">L353*'3. The decision'!$B$6*'3. The decision'!$B$7*K353</f>
        <v>1020595.48229919</v>
      </c>
      <c r="N353" s="31" t="n">
        <f aca="false">M353*(1+'3. The decision'!$B$19+'3. The decision'!$B$20+'3. The decision'!$B$22)</f>
        <v>1128778.6034229</v>
      </c>
      <c r="O353" s="31" t="n">
        <f aca="false">'3. The decision'!$B$17+'3. The decision'!$B$18*L353*12+M353*('3. The decision'!$B$20*(1-'3. The decision'!$B$21)+'3. The decision'!$B$23)+N353*('3. The decision'!$B$24+'3. The decision'!$B$25)</f>
        <v>598190.44144396</v>
      </c>
      <c r="P353" s="31" t="n">
        <f aca="false">N353-O353</f>
        <v>530588.161978939</v>
      </c>
    </row>
    <row r="354" customFormat="false" ht="15" hidden="false" customHeight="false" outlineLevel="0" collapsed="false">
      <c r="A354" s="27" t="n">
        <f aca="false">59*0.0025</f>
        <v>0.1475</v>
      </c>
      <c r="B354" s="27" t="n">
        <f aca="false">IF(A354&gt;0,MIN('3. The decision'!$B$15,'3. The decision'!$B$29*(A354/'3. The decision'!$B$28)^$B$292),0)</f>
        <v>0.122763385810225</v>
      </c>
      <c r="C354" s="15" t="n">
        <f aca="false">(1-'3. The decision'!$B$27-B354)*(1-'3. The decision'!$B$27)^('3. The decision'!$B$12-1)</f>
        <v>0.574713499362365</v>
      </c>
      <c r="D354" s="15" t="n">
        <f aca="false">1+(1-'3. The decision'!$B$27-B354)*(1-(1-'3. The decision'!$B$27)^('3. The decision'!$B$12-1))/'3. The decision'!$B$27</f>
        <v>4.54921977184075</v>
      </c>
      <c r="E354" s="15" t="n">
        <f aca="false">(1-'3. The decision'!$B$14)*(1-'3. The decision'!$B$27)^('3. The decision'!$B$11-1)</f>
        <v>0.690273454655712</v>
      </c>
      <c r="F354" s="15" t="n">
        <f aca="false">1+(1-'3. The decision'!$B$14)*(1-(1-'3. The decision'!$B$27)^('3. The decision'!$B$11-1))/'3. The decision'!$B$27</f>
        <v>4.28912098262087</v>
      </c>
      <c r="G354" s="15" t="n">
        <f aca="false">(1-(1-'3. The decision'!$B$9*MIN(1,('3. The decision'!$B$10/(52/12)))))+(1-(1-'3. The decision'!$B$9*MAX(0,MIN(1,('3. The decision'!$B$10/(52/12))-1))))*(1-'3. The decision'!$B$14)+(1-(1-'3. The decision'!$B$9*MAX(0,MIN(1,('3. The decision'!$B$10/(52/12))-2))))*(1-'3. The decision'!$B$14)*(1-'3. The decision'!$B$27)</f>
        <v>0.884576923076923</v>
      </c>
      <c r="H354" s="15" t="n">
        <f aca="false">IF(A354&lt;=0,0,MAX(0,ROUNDUP(LN('3. The decision'!$B$13)/LN(1+A354)-0.000000000001,0)-1))</f>
        <v>3</v>
      </c>
      <c r="I354" s="15" t="n">
        <f aca="false">IF(A354&lt;=0,1/(1-C354),(1+A354)*(1-(C354*(1+A354))^H354)/(1-C354*(1+A354))+'3. The decision'!$B$13*C354^H354/(1-C354))</f>
        <v>3.12640902193841</v>
      </c>
      <c r="J354" s="17" t="n">
        <f aca="false">F354+E354*D354/(1-C354)</f>
        <v>11.6728626325168</v>
      </c>
      <c r="K354" s="15" t="n">
        <f aca="false">F354-G354+E354*D354*I354</f>
        <v>13.2221113278698</v>
      </c>
      <c r="L354" s="17" t="n">
        <f aca="false">'3. The decision'!$B$8*'3. The decision'!$B$5/J354</f>
        <v>40.2334898289419</v>
      </c>
      <c r="M354" s="31" t="n">
        <f aca="false">L354*'3. The decision'!$B$6*'3. The decision'!$B$7*K354</f>
        <v>1020334.30841741</v>
      </c>
      <c r="N354" s="31" t="n">
        <f aca="false">M354*(1+'3. The decision'!$B$19+'3. The decision'!$B$20+'3. The decision'!$B$22)</f>
        <v>1128489.74510966</v>
      </c>
      <c r="O354" s="31" t="n">
        <f aca="false">'3. The decision'!$B$17+'3. The decision'!$B$18*L354*12+M354*('3. The decision'!$B$20*(1-'3. The decision'!$B$21)+'3. The decision'!$B$23)+N354*('3. The decision'!$B$24+'3. The decision'!$B$25)</f>
        <v>598662.515417514</v>
      </c>
      <c r="P354" s="31" t="n">
        <f aca="false">N354-O354</f>
        <v>529827.229692144</v>
      </c>
    </row>
    <row r="355" customFormat="false" ht="15" hidden="false" customHeight="false" outlineLevel="0" collapsed="false">
      <c r="A355" s="27" t="n">
        <f aca="false">60*0.0025</f>
        <v>0.15</v>
      </c>
      <c r="B355" s="27" t="n">
        <f aca="false">IF(A355&gt;0,MIN('3. The decision'!$B$15,'3. The decision'!$B$29*(A355/'3. The decision'!$B$28)^$B$292),0)</f>
        <v>0.127816532269583</v>
      </c>
      <c r="C355" s="15" t="n">
        <f aca="false">(1-'3. The decision'!$B$27-B355)*(1-'3. The decision'!$B$27)^('3. The decision'!$B$12-1)</f>
        <v>0.571131434073072</v>
      </c>
      <c r="D355" s="15" t="n">
        <f aca="false">1+(1-'3. The decision'!$B$27-B355)*(1-(1-'3. The decision'!$B$27)^('3. The decision'!$B$12-1))/'3. The decision'!$B$27</f>
        <v>4.52709825048639</v>
      </c>
      <c r="E355" s="15" t="n">
        <f aca="false">(1-'3. The decision'!$B$14)*(1-'3. The decision'!$B$27)^('3. The decision'!$B$11-1)</f>
        <v>0.690273454655712</v>
      </c>
      <c r="F355" s="15" t="n">
        <f aca="false">1+(1-'3. The decision'!$B$14)*(1-(1-'3. The decision'!$B$27)^('3. The decision'!$B$11-1))/'3. The decision'!$B$27</f>
        <v>4.28912098262087</v>
      </c>
      <c r="G355" s="15" t="n">
        <f aca="false">(1-(1-'3. The decision'!$B$9*MIN(1,('3. The decision'!$B$10/(52/12)))))+(1-(1-'3. The decision'!$B$9*MAX(0,MIN(1,('3. The decision'!$B$10/(52/12))-1))))*(1-'3. The decision'!$B$14)+(1-(1-'3. The decision'!$B$9*MAX(0,MIN(1,('3. The decision'!$B$10/(52/12))-2))))*(1-'3. The decision'!$B$14)*(1-'3. The decision'!$B$27)</f>
        <v>0.884576923076923</v>
      </c>
      <c r="H355" s="15" t="n">
        <f aca="false">IF(A355&lt;=0,0,MAX(0,ROUNDUP(LN('3. The decision'!$B$13)/LN(1+A355)-0.000000000001,0)-1))</f>
        <v>3</v>
      </c>
      <c r="I355" s="15" t="n">
        <f aca="false">IF(A355&lt;=0,1/(1-C355),(1+A355)*(1-(C355*(1+A355))^H355)/(1-C355*(1+A355))+'3. The decision'!$B$13*C355^H355/(1-C355))</f>
        <v>3.10513576837654</v>
      </c>
      <c r="J355" s="17" t="n">
        <f aca="false">F355+E355*D355/(1-C355)</f>
        <v>11.5755858746678</v>
      </c>
      <c r="K355" s="15" t="n">
        <f aca="false">F355-G355+E355*D355*I355</f>
        <v>13.1078938274221</v>
      </c>
      <c r="L355" s="17" t="n">
        <f aca="false">'3. The decision'!$B$8*'3. The decision'!$B$5/J355</f>
        <v>40.5715965554511</v>
      </c>
      <c r="M355" s="31" t="n">
        <f aca="false">L355*'3. The decision'!$B$6*'3. The decision'!$B$7*K355</f>
        <v>1020020.70852813</v>
      </c>
      <c r="N355" s="31" t="n">
        <f aca="false">M355*(1+'3. The decision'!$B$19+'3. The decision'!$B$20+'3. The decision'!$B$22)</f>
        <v>1128142.90363211</v>
      </c>
      <c r="O355" s="31" t="n">
        <f aca="false">'3. The decision'!$B$17+'3. The decision'!$B$18*L355*12+M355*('3. The decision'!$B$20*(1-'3. The decision'!$B$21)+'3. The decision'!$B$23)+N355*('3. The decision'!$B$24+'3. The decision'!$B$25)</f>
        <v>599140.938633326</v>
      </c>
      <c r="P355" s="31" t="n">
        <f aca="false">N355-O355</f>
        <v>529001.964998782</v>
      </c>
    </row>
    <row r="356" customFormat="false" ht="15" hidden="false" customHeight="false" outlineLevel="0" collapsed="false">
      <c r="A356" s="27" t="n">
        <f aca="false">61*0.0025</f>
        <v>0.1525</v>
      </c>
      <c r="B356" s="27" t="n">
        <f aca="false">IF(A356&gt;0,MIN('3. The decision'!$B$15,'3. The decision'!$B$29*(A356/'3. The decision'!$B$28)^$B$292),0)</f>
        <v>0.132988973496282</v>
      </c>
      <c r="C356" s="15" t="n">
        <f aca="false">(1-'3. The decision'!$B$27-B356)*(1-'3. The decision'!$B$27)^('3. The decision'!$B$12-1)</f>
        <v>0.567464803325658</v>
      </c>
      <c r="D356" s="15" t="n">
        <f aca="false">1+(1-'3. The decision'!$B$27-B356)*(1-(1-'3. The decision'!$B$27)^('3. The decision'!$B$12-1))/'3. The decision'!$B$27</f>
        <v>4.5044544838806</v>
      </c>
      <c r="E356" s="15" t="n">
        <f aca="false">(1-'3. The decision'!$B$14)*(1-'3. The decision'!$B$27)^('3. The decision'!$B$11-1)</f>
        <v>0.690273454655712</v>
      </c>
      <c r="F356" s="15" t="n">
        <f aca="false">1+(1-'3. The decision'!$B$14)*(1-(1-'3. The decision'!$B$27)^('3. The decision'!$B$11-1))/'3. The decision'!$B$27</f>
        <v>4.28912098262087</v>
      </c>
      <c r="G356" s="15" t="n">
        <f aca="false">(1-(1-'3. The decision'!$B$9*MIN(1,('3. The decision'!$B$10/(52/12)))))+(1-(1-'3. The decision'!$B$9*MAX(0,MIN(1,('3. The decision'!$B$10/(52/12))-1))))*(1-'3. The decision'!$B$14)+(1-(1-'3. The decision'!$B$9*MAX(0,MIN(1,('3. The decision'!$B$10/(52/12))-2))))*(1-'3. The decision'!$B$14)*(1-'3. The decision'!$B$27)</f>
        <v>0.884576923076923</v>
      </c>
      <c r="H356" s="15" t="n">
        <f aca="false">IF(A356&lt;=0,0,MAX(0,ROUNDUP(LN('3. The decision'!$B$13)/LN(1+A356)-0.000000000001,0)-1))</f>
        <v>3</v>
      </c>
      <c r="I356" s="15" t="n">
        <f aca="false">IF(A356&lt;=0,1/(1-C356),(1+A356)*(1-(C356*(1+A356))^H356)/(1-C356*(1+A356))+'3. The decision'!$B$13*C356^H356/(1-C356))</f>
        <v>3.08358671597542</v>
      </c>
      <c r="J356" s="17" t="n">
        <f aca="false">F356+E356*D356/(1-C356)</f>
        <v>11.4776813167494</v>
      </c>
      <c r="K356" s="15" t="n">
        <f aca="false">F356-G356+E356*D356*I356</f>
        <v>12.9923567571609</v>
      </c>
      <c r="L356" s="17" t="n">
        <f aca="false">'3. The decision'!$B$8*'3. The decision'!$B$5/J356</f>
        <v>40.9176720488529</v>
      </c>
      <c r="M356" s="31" t="n">
        <f aca="false">L356*'3. The decision'!$B$6*'3. The decision'!$B$7*K356</f>
        <v>1019654.00708257</v>
      </c>
      <c r="N356" s="31" t="n">
        <f aca="false">M356*(1+'3. The decision'!$B$19+'3. The decision'!$B$20+'3. The decision'!$B$22)</f>
        <v>1127737.33183332</v>
      </c>
      <c r="O356" s="31" t="n">
        <f aca="false">'3. The decision'!$B$17+'3. The decision'!$B$18*L356*12+M356*('3. The decision'!$B$20*(1-'3. The decision'!$B$21)+'3. The decision'!$B$23)+N356*('3. The decision'!$B$24+'3. The decision'!$B$25)</f>
        <v>599625.718034386</v>
      </c>
      <c r="P356" s="31" t="n">
        <f aca="false">N356-O356</f>
        <v>528111.613798935</v>
      </c>
    </row>
    <row r="357" customFormat="false" ht="15" hidden="false" customHeight="false" outlineLevel="0" collapsed="false">
      <c r="A357" s="27" t="n">
        <f aca="false">62*0.0025</f>
        <v>0.155</v>
      </c>
      <c r="B357" s="27" t="n">
        <f aca="false">IF(A357&gt;0,MIN('3. The decision'!$B$15,'3. The decision'!$B$29*(A357/'3. The decision'!$B$28)^$B$292),0)</f>
        <v>0.138281500868942</v>
      </c>
      <c r="C357" s="15" t="n">
        <f aca="false">(1-'3. The decision'!$B$27-B357)*(1-'3. The decision'!$B$27)^('3. The decision'!$B$12-1)</f>
        <v>0.563713046129084</v>
      </c>
      <c r="D357" s="15" t="n">
        <f aca="false">1+(1-'3. The decision'!$B$27-B357)*(1-(1-'3. The decision'!$B$27)^('3. The decision'!$B$12-1))/'3. The decision'!$B$27</f>
        <v>4.48128500754848</v>
      </c>
      <c r="E357" s="15" t="n">
        <f aca="false">(1-'3. The decision'!$B$14)*(1-'3. The decision'!$B$27)^('3. The decision'!$B$11-1)</f>
        <v>0.690273454655712</v>
      </c>
      <c r="F357" s="15" t="n">
        <f aca="false">1+(1-'3. The decision'!$B$14)*(1-(1-'3. The decision'!$B$27)^('3. The decision'!$B$11-1))/'3. The decision'!$B$27</f>
        <v>4.28912098262087</v>
      </c>
      <c r="G357" s="15" t="n">
        <f aca="false">(1-(1-'3. The decision'!$B$9*MIN(1,('3. The decision'!$B$10/(52/12)))))+(1-(1-'3. The decision'!$B$9*MAX(0,MIN(1,('3. The decision'!$B$10/(52/12))-1))))*(1-'3. The decision'!$B$14)+(1-(1-'3. The decision'!$B$9*MAX(0,MIN(1,('3. The decision'!$B$10/(52/12))-2))))*(1-'3. The decision'!$B$14)*(1-'3. The decision'!$B$27)</f>
        <v>0.884576923076923</v>
      </c>
      <c r="H357" s="15" t="n">
        <f aca="false">IF(A357&lt;=0,0,MAX(0,ROUNDUP(LN('3. The decision'!$B$13)/LN(1+A357)-0.000000000001,0)-1))</f>
        <v>3</v>
      </c>
      <c r="I357" s="15" t="n">
        <f aca="false">IF(A357&lt;=0,1/(1-C357),(1+A357)*(1-(C357*(1+A357))^H357)/(1-C357*(1+A357))+'3. The decision'!$B$13*C357^H357/(1-C357))</f>
        <v>3.06177674512491</v>
      </c>
      <c r="J357" s="17" t="n">
        <f aca="false">F357+E357*D357/(1-C357)</f>
        <v>11.3792071197657</v>
      </c>
      <c r="K357" s="15" t="n">
        <f aca="false">F357-G357+E357*D357*I357</f>
        <v>12.8755750620875</v>
      </c>
      <c r="L357" s="17" t="n">
        <f aca="false">'3. The decision'!$B$8*'3. The decision'!$B$5/J357</f>
        <v>41.2717683277101</v>
      </c>
      <c r="M357" s="31" t="n">
        <f aca="false">L357*'3. The decision'!$B$6*'3. The decision'!$B$7*K357</f>
        <v>1019233.49594922</v>
      </c>
      <c r="N357" s="31" t="n">
        <f aca="false">M357*(1+'3. The decision'!$B$19+'3. The decision'!$B$20+'3. The decision'!$B$22)</f>
        <v>1127272.24651983</v>
      </c>
      <c r="O357" s="31" t="n">
        <f aca="false">'3. The decision'!$B$17+'3. The decision'!$B$18*L357*12+M357*('3. The decision'!$B$20*(1-'3. The decision'!$B$21)+'3. The decision'!$B$23)+N357*('3. The decision'!$B$24+'3. The decision'!$B$25)</f>
        <v>600116.856206028</v>
      </c>
      <c r="P357" s="31" t="n">
        <f aca="false">N357-O357</f>
        <v>527155.390313805</v>
      </c>
    </row>
    <row r="358" customFormat="false" ht="15" hidden="false" customHeight="false" outlineLevel="0" collapsed="false">
      <c r="A358" s="27" t="n">
        <f aca="false">63*0.0025</f>
        <v>0.1575</v>
      </c>
      <c r="B358" s="27" t="n">
        <f aca="false">IF(A358&gt;0,MIN('3. The decision'!$B$15,'3. The decision'!$B$29*(A358/'3. The decision'!$B$28)^$B$292),0)</f>
        <v>0.143694898019288</v>
      </c>
      <c r="C358" s="15" t="n">
        <f aca="false">(1-'3. The decision'!$B$27-B358)*(1-'3. The decision'!$B$27)^('3. The decision'!$B$12-1)</f>
        <v>0.559875606983915</v>
      </c>
      <c r="D358" s="15" t="n">
        <f aca="false">1+(1-'3. The decision'!$B$27-B358)*(1-(1-'3. The decision'!$B$27)^('3. The decision'!$B$12-1))/'3. The decision'!$B$27</f>
        <v>4.45758639092927</v>
      </c>
      <c r="E358" s="15" t="n">
        <f aca="false">(1-'3. The decision'!$B$14)*(1-'3. The decision'!$B$27)^('3. The decision'!$B$11-1)</f>
        <v>0.690273454655712</v>
      </c>
      <c r="F358" s="15" t="n">
        <f aca="false">1+(1-'3. The decision'!$B$14)*(1-(1-'3. The decision'!$B$27)^('3. The decision'!$B$11-1))/'3. The decision'!$B$27</f>
        <v>4.28912098262087</v>
      </c>
      <c r="G358" s="15" t="n">
        <f aca="false">(1-(1-'3. The decision'!$B$9*MIN(1,('3. The decision'!$B$10/(52/12)))))+(1-(1-'3. The decision'!$B$9*MAX(0,MIN(1,('3. The decision'!$B$10/(52/12))-1))))*(1-'3. The decision'!$B$14)+(1-(1-'3. The decision'!$B$9*MAX(0,MIN(1,('3. The decision'!$B$10/(52/12))-2))))*(1-'3. The decision'!$B$14)*(1-'3. The decision'!$B$27)</f>
        <v>0.884576923076923</v>
      </c>
      <c r="H358" s="15" t="n">
        <f aca="false">IF(A358&lt;=0,0,MAX(0,ROUNDUP(LN('3. The decision'!$B$13)/LN(1+A358)-0.000000000001,0)-1))</f>
        <v>3</v>
      </c>
      <c r="I358" s="15" t="n">
        <f aca="false">IF(A358&lt;=0,1/(1-C358),(1+A358)*(1-(C358*(1+A358))^H358)/(1-C358*(1+A358))+'3. The decision'!$B$13*C358^H358/(1-C358))</f>
        <v>3.03972052477987</v>
      </c>
      <c r="J358" s="17" t="n">
        <f aca="false">F358+E358*D358/(1-C358)</f>
        <v>11.2802207860362</v>
      </c>
      <c r="K358" s="15" t="n">
        <f aca="false">F358-G358+E358*D358*I358</f>
        <v>12.75762294205</v>
      </c>
      <c r="L358" s="17" t="n">
        <f aca="false">'3. The decision'!$B$8*'3. The decision'!$B$5/J358</f>
        <v>41.633936862421</v>
      </c>
      <c r="M358" s="31" t="n">
        <f aca="false">L358*'3. The decision'!$B$6*'3. The decision'!$B$7*K358</f>
        <v>1018758.43414583</v>
      </c>
      <c r="N358" s="31" t="n">
        <f aca="false">M358*(1+'3. The decision'!$B$19+'3. The decision'!$B$20+'3. The decision'!$B$22)</f>
        <v>1126746.82816528</v>
      </c>
      <c r="O358" s="31" t="n">
        <f aca="false">'3. The decision'!$B$17+'3. The decision'!$B$18*L358*12+M358*('3. The decision'!$B$20*(1-'3. The decision'!$B$21)+'3. The decision'!$B$23)+N358*('3. The decision'!$B$24+'3. The decision'!$B$25)</f>
        <v>600614.351367584</v>
      </c>
      <c r="P358" s="31" t="n">
        <f aca="false">N358-O358</f>
        <v>526132.476797699</v>
      </c>
    </row>
    <row r="359" customFormat="false" ht="15" hidden="false" customHeight="false" outlineLevel="0" collapsed="false">
      <c r="A359" s="27" t="n">
        <f aca="false">64*0.0025</f>
        <v>0.16</v>
      </c>
      <c r="B359" s="27" t="n">
        <f aca="false">IF(A359&gt;0,MIN('3. The decision'!$B$15,'3. The decision'!$B$29*(A359/'3. The decision'!$B$28)^$B$292),0)</f>
        <v>0.149229941031144</v>
      </c>
      <c r="C359" s="15" t="n">
        <f aca="false">(1-'3. The decision'!$B$27-B359)*(1-'3. The decision'!$B$27)^('3. The decision'!$B$12-1)</f>
        <v>0.555951935741259</v>
      </c>
      <c r="D359" s="15" t="n">
        <f aca="false">1+(1-'3. The decision'!$B$27-B359)*(1-(1-'3. The decision'!$B$27)^('3. The decision'!$B$12-1))/'3. The decision'!$B$27</f>
        <v>4.43335523650522</v>
      </c>
      <c r="E359" s="15" t="n">
        <f aca="false">(1-'3. The decision'!$B$14)*(1-'3. The decision'!$B$27)^('3. The decision'!$B$11-1)</f>
        <v>0.690273454655712</v>
      </c>
      <c r="F359" s="15" t="n">
        <f aca="false">1+(1-'3. The decision'!$B$14)*(1-(1-'3. The decision'!$B$27)^('3. The decision'!$B$11-1))/'3. The decision'!$B$27</f>
        <v>4.28912098262087</v>
      </c>
      <c r="G359" s="15" t="n">
        <f aca="false">(1-(1-'3. The decision'!$B$9*MIN(1,('3. The decision'!$B$10/(52/12)))))+(1-(1-'3. The decision'!$B$9*MAX(0,MIN(1,('3. The decision'!$B$10/(52/12))-1))))*(1-'3. The decision'!$B$14)+(1-(1-'3. The decision'!$B$9*MAX(0,MIN(1,('3. The decision'!$B$10/(52/12))-2))))*(1-'3. The decision'!$B$14)*(1-'3. The decision'!$B$27)</f>
        <v>0.884576923076923</v>
      </c>
      <c r="H359" s="15" t="n">
        <f aca="false">IF(A359&lt;=0,0,MAX(0,ROUNDUP(LN('3. The decision'!$B$13)/LN(1+A359)-0.000000000001,0)-1))</f>
        <v>3</v>
      </c>
      <c r="I359" s="15" t="n">
        <f aca="false">IF(A359&lt;=0,1/(1-C359),(1+A359)*(1-(C359*(1+A359))^H359)/(1-C359*(1+A359))+'3. The decision'!$B$13*C359^H359/(1-C359))</f>
        <v>3.01743248835169</v>
      </c>
      <c r="J359" s="17" t="n">
        <f aca="false">F359+E359*D359/(1-C359)</f>
        <v>11.1807790735687</v>
      </c>
      <c r="K359" s="15" t="n">
        <f aca="false">F359-G359+E359*D359*I359</f>
        <v>12.6385737431103</v>
      </c>
      <c r="L359" s="17" t="n">
        <f aca="false">'3. The decision'!$B$8*'3. The decision'!$B$5/J359</f>
        <v>42.0042285881695</v>
      </c>
      <c r="M359" s="31" t="n">
        <f aca="false">L359*'3. The decision'!$B$6*'3. The decision'!$B$7*K359</f>
        <v>1018228.04774356</v>
      </c>
      <c r="N359" s="31" t="n">
        <f aca="false">M359*(1+'3. The decision'!$B$19+'3. The decision'!$B$20+'3. The decision'!$B$22)</f>
        <v>1126160.22080438</v>
      </c>
      <c r="O359" s="31" t="n">
        <f aca="false">'3. The decision'!$B$17+'3. The decision'!$B$18*L359*12+M359*('3. The decision'!$B$20*(1-'3. The decision'!$B$21)+'3. The decision'!$B$23)+N359*('3. The decision'!$B$24+'3. The decision'!$B$25)</f>
        <v>601118.197381684</v>
      </c>
      <c r="P359" s="31" t="n">
        <f aca="false">N359-O359</f>
        <v>525042.023422695</v>
      </c>
    </row>
    <row r="360" customFormat="false" ht="15" hidden="false" customHeight="false" outlineLevel="0" collapsed="false">
      <c r="A360" s="27" t="n">
        <f aca="false">65*0.0025</f>
        <v>0.1625</v>
      </c>
      <c r="B360" s="27" t="n">
        <f aca="false">IF(A360&gt;0,MIN('3. The decision'!$B$15,'3. The decision'!$B$29*(A360/'3. The decision'!$B$28)^$B$292),0)</f>
        <v>0.154887398631251</v>
      </c>
      <c r="C360" s="15" t="n">
        <f aca="false">(1-'3. The decision'!$B$27-B360)*(1-'3. The decision'!$B$27)^('3. The decision'!$B$12-1)</f>
        <v>0.551941487467499</v>
      </c>
      <c r="D360" s="15" t="n">
        <f aca="false">1+(1-'3. The decision'!$B$27-B360)*(1-(1-'3. The decision'!$B$27)^('3. The decision'!$B$12-1))/'3. The decision'!$B$27</f>
        <v>4.40858817896618</v>
      </c>
      <c r="E360" s="15" t="n">
        <f aca="false">(1-'3. The decision'!$B$14)*(1-'3. The decision'!$B$27)^('3. The decision'!$B$11-1)</f>
        <v>0.690273454655712</v>
      </c>
      <c r="F360" s="15" t="n">
        <f aca="false">1+(1-'3. The decision'!$B$14)*(1-(1-'3. The decision'!$B$27)^('3. The decision'!$B$11-1))/'3. The decision'!$B$27</f>
        <v>4.28912098262087</v>
      </c>
      <c r="G360" s="15" t="n">
        <f aca="false">(1-(1-'3. The decision'!$B$9*MIN(1,('3. The decision'!$B$10/(52/12)))))+(1-(1-'3. The decision'!$B$9*MAX(0,MIN(1,('3. The decision'!$B$10/(52/12))-1))))*(1-'3. The decision'!$B$14)+(1-(1-'3. The decision'!$B$9*MAX(0,MIN(1,('3. The decision'!$B$10/(52/12))-2))))*(1-'3. The decision'!$B$14)*(1-'3. The decision'!$B$27)</f>
        <v>0.884576923076923</v>
      </c>
      <c r="H360" s="15" t="n">
        <f aca="false">IF(A360&lt;=0,0,MAX(0,ROUNDUP(LN('3. The decision'!$B$13)/LN(1+A360)-0.000000000001,0)-1))</f>
        <v>3</v>
      </c>
      <c r="I360" s="15" t="n">
        <f aca="false">IF(A360&lt;=0,1/(1-C360),(1+A360)*(1-(C360*(1+A360))^H360)/(1-C360*(1+A360))+'3. The decision'!$B$13*C360^H360/(1-C360))</f>
        <v>2.99492681141339</v>
      </c>
      <c r="J360" s="17" t="n">
        <f aca="false">F360+E360*D360/(1-C360)</f>
        <v>11.0809379157465</v>
      </c>
      <c r="K360" s="15" t="n">
        <f aca="false">F360-G360+E360*D360*I360</f>
        <v>12.5184998574442</v>
      </c>
      <c r="L360" s="17" t="n">
        <f aca="false">'3. The decision'!$B$8*'3. The decision'!$B$5/J360</f>
        <v>42.3826939173282</v>
      </c>
      <c r="M360" s="31" t="n">
        <f aca="false">L360*'3. The decision'!$B$6*'3. The decision'!$B$7*K360</f>
        <v>1017641.52995102</v>
      </c>
      <c r="N360" s="31" t="n">
        <f aca="false">M360*(1+'3. The decision'!$B$19+'3. The decision'!$B$20+'3. The decision'!$B$22)</f>
        <v>1125511.53212582</v>
      </c>
      <c r="O360" s="31" t="n">
        <f aca="false">'3. The decision'!$B$17+'3. The decision'!$B$18*L360*12+M360*('3. The decision'!$B$20*(1-'3. The decision'!$B$21)+'3. The decision'!$B$23)+N360*('3. The decision'!$B$24+'3. The decision'!$B$25)</f>
        <v>601628.383782084</v>
      </c>
      <c r="P360" s="31" t="n">
        <f aca="false">N360-O360</f>
        <v>523883.14834374</v>
      </c>
    </row>
    <row r="361" customFormat="false" ht="15" hidden="false" customHeight="false" outlineLevel="0" collapsed="false">
      <c r="A361" s="27" t="n">
        <f aca="false">66*0.0025</f>
        <v>0.165</v>
      </c>
      <c r="B361" s="27" t="n">
        <f aca="false">IF(A361&gt;0,MIN('3. The decision'!$B$15,'3. The decision'!$B$29*(A361/'3. The decision'!$B$28)^$B$292),0)</f>
        <v>0.160668032372372</v>
      </c>
      <c r="C361" s="15" t="n">
        <f aca="false">(1-'3. The decision'!$B$27-B361)*(1-'3. The decision'!$B$27)^('3. The decision'!$B$12-1)</f>
        <v>0.547843722314494</v>
      </c>
      <c r="D361" s="15" t="n">
        <f aca="false">1+(1-'3. The decision'!$B$27-B361)*(1-(1-'3. The decision'!$B$27)^('3. The decision'!$B$12-1))/'3. The decision'!$B$27</f>
        <v>4.38328188440804</v>
      </c>
      <c r="E361" s="15" t="n">
        <f aca="false">(1-'3. The decision'!$B$14)*(1-'3. The decision'!$B$27)^('3. The decision'!$B$11-1)</f>
        <v>0.690273454655712</v>
      </c>
      <c r="F361" s="15" t="n">
        <f aca="false">1+(1-'3. The decision'!$B$14)*(1-(1-'3. The decision'!$B$27)^('3. The decision'!$B$11-1))/'3. The decision'!$B$27</f>
        <v>4.28912098262087</v>
      </c>
      <c r="G361" s="15" t="n">
        <f aca="false">(1-(1-'3. The decision'!$B$9*MIN(1,('3. The decision'!$B$10/(52/12)))))+(1-(1-'3. The decision'!$B$9*MAX(0,MIN(1,('3. The decision'!$B$10/(52/12))-1))))*(1-'3. The decision'!$B$14)+(1-(1-'3. The decision'!$B$9*MAX(0,MIN(1,('3. The decision'!$B$10/(52/12))-2))))*(1-'3. The decision'!$B$14)*(1-'3. The decision'!$B$27)</f>
        <v>0.884576923076923</v>
      </c>
      <c r="H361" s="15" t="n">
        <f aca="false">IF(A361&lt;=0,0,MAX(0,ROUNDUP(LN('3. The decision'!$B$13)/LN(1+A361)-0.000000000001,0)-1))</f>
        <v>3</v>
      </c>
      <c r="I361" s="15" t="n">
        <f aca="false">IF(A361&lt;=0,1/(1-C361),(1+A361)*(1-(C361*(1+A361))^H361)/(1-C361*(1+A361))+'3. The decision'!$B$13*C361^H361/(1-C361))</f>
        <v>2.97221739123547</v>
      </c>
      <c r="J361" s="17" t="n">
        <f aca="false">F361+E361*D361/(1-C361)</f>
        <v>10.9807523463783</v>
      </c>
      <c r="K361" s="15" t="n">
        <f aca="false">F361-G361+E361*D361*I361</f>
        <v>12.3974726318159</v>
      </c>
      <c r="L361" s="17" t="n">
        <f aca="false">'3. The decision'!$B$8*'3. The decision'!$B$5/J361</f>
        <v>42.7693827513466</v>
      </c>
      <c r="M361" s="31" t="n">
        <f aca="false">L361*'3. The decision'!$B$6*'3. The decision'!$B$7*K361</f>
        <v>1016998.04138577</v>
      </c>
      <c r="N361" s="31" t="n">
        <f aca="false">M361*(1+'3. The decision'!$B$19+'3. The decision'!$B$20+'3. The decision'!$B$22)</f>
        <v>1124799.83377266</v>
      </c>
      <c r="O361" s="31" t="n">
        <f aca="false">'3. The decision'!$B$17+'3. The decision'!$B$18*L361*12+M361*('3. The decision'!$B$20*(1-'3. The decision'!$B$21)+'3. The decision'!$B$23)+N361*('3. The decision'!$B$24+'3. The decision'!$B$25)</f>
        <v>602144.895820907</v>
      </c>
      <c r="P361" s="31" t="n">
        <f aca="false">N361-O361</f>
        <v>522654.937951756</v>
      </c>
    </row>
    <row r="362" customFormat="false" ht="15" hidden="false" customHeight="false" outlineLevel="0" collapsed="false">
      <c r="A362" s="27" t="n">
        <f aca="false">67*0.0025</f>
        <v>0.1675</v>
      </c>
      <c r="B362" s="27" t="n">
        <f aca="false">IF(A362&gt;0,MIN('3. The decision'!$B$15,'3. The decision'!$B$29*(A362/'3. The decision'!$B$28)^$B$292),0)</f>
        <v>0.166572596809101</v>
      </c>
      <c r="C362" s="15" t="n">
        <f aca="false">(1-'3. The decision'!$B$27-B362)*(1-'3. The decision'!$B$27)^('3. The decision'!$B$12-1)</f>
        <v>0.543658105394954</v>
      </c>
      <c r="D362" s="15" t="n">
        <f aca="false">1+(1-'3. The decision'!$B$27-B362)*(1-(1-'3. The decision'!$B$27)^('3. The decision'!$B$12-1))/'3. The decision'!$B$27</f>
        <v>4.35743304956308</v>
      </c>
      <c r="E362" s="15" t="n">
        <f aca="false">(1-'3. The decision'!$B$14)*(1-'3. The decision'!$B$27)^('3. The decision'!$B$11-1)</f>
        <v>0.690273454655712</v>
      </c>
      <c r="F362" s="15" t="n">
        <f aca="false">1+(1-'3. The decision'!$B$14)*(1-(1-'3. The decision'!$B$27)^('3. The decision'!$B$11-1))/'3. The decision'!$B$27</f>
        <v>4.28912098262087</v>
      </c>
      <c r="G362" s="15" t="n">
        <f aca="false">(1-(1-'3. The decision'!$B$9*MIN(1,('3. The decision'!$B$10/(52/12)))))+(1-(1-'3. The decision'!$B$9*MAX(0,MIN(1,('3. The decision'!$B$10/(52/12))-1))))*(1-'3. The decision'!$B$14)+(1-(1-'3. The decision'!$B$9*MAX(0,MIN(1,('3. The decision'!$B$10/(52/12))-2))))*(1-'3. The decision'!$B$14)*(1-'3. The decision'!$B$27)</f>
        <v>0.884576923076923</v>
      </c>
      <c r="H362" s="15" t="n">
        <f aca="false">IF(A362&lt;=0,0,MAX(0,ROUNDUP(LN('3. The decision'!$B$13)/LN(1+A362)-0.000000000001,0)-1))</f>
        <v>3</v>
      </c>
      <c r="I362" s="15" t="n">
        <f aca="false">IF(A362&lt;=0,1/(1-C362),(1+A362)*(1-(C362*(1+A362))^H362)/(1-C362*(1+A362))+'3. The decision'!$B$13*C362^H362/(1-C362))</f>
        <v>2.94931782816049</v>
      </c>
      <c r="J362" s="17" t="n">
        <f aca="false">F362+E362*D362/(1-C362)</f>
        <v>10.8802764301304</v>
      </c>
      <c r="K362" s="15" t="n">
        <f aca="false">F362-G362+E362*D362*I362</f>
        <v>12.2755622846239</v>
      </c>
      <c r="L362" s="17" t="n">
        <f aca="false">'3. The decision'!$B$8*'3. The decision'!$B$5/J362</f>
        <v>43.1643444921527</v>
      </c>
      <c r="M362" s="31" t="n">
        <f aca="false">L362*'3. The decision'!$B$6*'3. The decision'!$B$7*K362</f>
        <v>1016296.71054087</v>
      </c>
      <c r="N362" s="31" t="n">
        <f aca="false">M362*(1+'3. The decision'!$B$19+'3. The decision'!$B$20+'3. The decision'!$B$22)</f>
        <v>1124024.1618582</v>
      </c>
      <c r="O362" s="31" t="n">
        <f aca="false">'3. The decision'!$B$17+'3. The decision'!$B$18*L362*12+M362*('3. The decision'!$B$20*(1-'3. The decision'!$B$21)+'3. The decision'!$B$23)+N362*('3. The decision'!$B$24+'3. The decision'!$B$25)</f>
        <v>602667.714536117</v>
      </c>
      <c r="P362" s="31" t="n">
        <f aca="false">N362-O362</f>
        <v>521356.447322084</v>
      </c>
    </row>
    <row r="363" customFormat="false" ht="15" hidden="false" customHeight="false" outlineLevel="0" collapsed="false">
      <c r="A363" s="27" t="n">
        <f aca="false">68*0.0025</f>
        <v>0.17</v>
      </c>
      <c r="B363" s="27" t="n">
        <f aca="false">IF(A363&gt;0,MIN('3. The decision'!$B$15,'3. The decision'!$B$29*(A363/'3. The decision'!$B$28)^$B$292),0)</f>
        <v>0.172601839666774</v>
      </c>
      <c r="C363" s="15" t="n">
        <f aca="false">(1-'3. The decision'!$B$27-B363)*(1-'3. The decision'!$B$27)^('3. The decision'!$B$12-1)</f>
        <v>0.5393841066627</v>
      </c>
      <c r="D363" s="15" t="n">
        <f aca="false">1+(1-'3. The decision'!$B$27-B363)*(1-(1-'3. The decision'!$B$27)^('3. The decision'!$B$12-1))/'3. The decision'!$B$27</f>
        <v>4.33103840106054</v>
      </c>
      <c r="E363" s="15" t="n">
        <f aca="false">(1-'3. The decision'!$B$14)*(1-'3. The decision'!$B$27)^('3. The decision'!$B$11-1)</f>
        <v>0.690273454655712</v>
      </c>
      <c r="F363" s="15" t="n">
        <f aca="false">1+(1-'3. The decision'!$B$14)*(1-(1-'3. The decision'!$B$27)^('3. The decision'!$B$11-1))/'3. The decision'!$B$27</f>
        <v>4.28912098262087</v>
      </c>
      <c r="G363" s="15" t="n">
        <f aca="false">(1-(1-'3. The decision'!$B$9*MIN(1,('3. The decision'!$B$10/(52/12)))))+(1-(1-'3. The decision'!$B$9*MAX(0,MIN(1,('3. The decision'!$B$10/(52/12))-1))))*(1-'3. The decision'!$B$14)+(1-(1-'3. The decision'!$B$9*MAX(0,MIN(1,('3. The decision'!$B$10/(52/12))-2))))*(1-'3. The decision'!$B$14)*(1-'3. The decision'!$B$27)</f>
        <v>0.884576923076923</v>
      </c>
      <c r="H363" s="15" t="n">
        <f aca="false">IF(A363&lt;=0,0,MAX(0,ROUNDUP(LN('3. The decision'!$B$13)/LN(1+A363)-0.000000000001,0)-1))</f>
        <v>3</v>
      </c>
      <c r="I363" s="15" t="n">
        <f aca="false">IF(A363&lt;=0,1/(1-C363),(1+A363)*(1-(C363*(1+A363))^H363)/(1-C363*(1+A363))+'3. The decision'!$B$13*C363^H363/(1-C363))</f>
        <v>2.92624140881614</v>
      </c>
      <c r="J363" s="17" t="n">
        <f aca="false">F363+E363*D363/(1-C363)</f>
        <v>10.7795631983379</v>
      </c>
      <c r="K363" s="15" t="n">
        <f aca="false">F363-G363+E363*D363*I363</f>
        <v>12.1528378314715</v>
      </c>
      <c r="L363" s="17" t="n">
        <f aca="false">'3. The decision'!$B$8*'3. The decision'!$B$5/J363</f>
        <v>43.5676280530936</v>
      </c>
      <c r="M363" s="31" t="n">
        <f aca="false">L363*'3. The decision'!$B$6*'3. The decision'!$B$7*K363</f>
        <v>1015536.63445335</v>
      </c>
      <c r="N363" s="31" t="n">
        <f aca="false">M363*(1+'3. The decision'!$B$19+'3. The decision'!$B$20+'3. The decision'!$B$22)</f>
        <v>1123183.5177054</v>
      </c>
      <c r="O363" s="31" t="n">
        <f aca="false">'3. The decision'!$B$17+'3. The decision'!$B$18*L363*12+M363*('3. The decision'!$B$20*(1-'3. The decision'!$B$21)+'3. The decision'!$B$23)+N363*('3. The decision'!$B$24+'3. The decision'!$B$25)</f>
        <v>603196.816840041</v>
      </c>
      <c r="P363" s="31" t="n">
        <f aca="false">N363-O363</f>
        <v>519986.700865361</v>
      </c>
    </row>
    <row r="364" customFormat="false" ht="15" hidden="false" customHeight="false" outlineLevel="0" collapsed="false">
      <c r="A364" s="27" t="n">
        <f aca="false">69*0.0025</f>
        <v>0.1725</v>
      </c>
      <c r="B364" s="27" t="n">
        <f aca="false">IF(A364&gt;0,MIN('3. The decision'!$B$15,'3. The decision'!$B$29*(A364/'3. The decision'!$B$28)^$B$292),0)</f>
        <v>0.178756502003861</v>
      </c>
      <c r="C364" s="15" t="n">
        <f aca="false">(1-'3. The decision'!$B$27-B364)*(1-'3. The decision'!$B$27)^('3. The decision'!$B$12-1)</f>
        <v>0.53502120079755</v>
      </c>
      <c r="D364" s="15" t="n">
        <f aca="false">1+(1-'3. The decision'!$B$27-B364)*(1-(1-'3. The decision'!$B$27)^('3. The decision'!$B$12-1))/'3. The decision'!$B$27</f>
        <v>4.30409469471563</v>
      </c>
      <c r="E364" s="15" t="n">
        <f aca="false">(1-'3. The decision'!$B$14)*(1-'3. The decision'!$B$27)^('3. The decision'!$B$11-1)</f>
        <v>0.690273454655712</v>
      </c>
      <c r="F364" s="15" t="n">
        <f aca="false">1+(1-'3. The decision'!$B$14)*(1-(1-'3. The decision'!$B$27)^('3. The decision'!$B$11-1))/'3. The decision'!$B$27</f>
        <v>4.28912098262087</v>
      </c>
      <c r="G364" s="15" t="n">
        <f aca="false">(1-(1-'3. The decision'!$B$9*MIN(1,('3. The decision'!$B$10/(52/12)))))+(1-(1-'3. The decision'!$B$9*MAX(0,MIN(1,('3. The decision'!$B$10/(52/12))-1))))*(1-'3. The decision'!$B$14)+(1-(1-'3. The decision'!$B$9*MAX(0,MIN(1,('3. The decision'!$B$10/(52/12))-2))))*(1-'3. The decision'!$B$14)*(1-'3. The decision'!$B$27)</f>
        <v>0.884576923076923</v>
      </c>
      <c r="H364" s="15" t="n">
        <f aca="false">IF(A364&lt;=0,0,MAX(0,ROUNDUP(LN('3. The decision'!$B$13)/LN(1+A364)-0.000000000001,0)-1))</f>
        <v>3</v>
      </c>
      <c r="I364" s="15" t="n">
        <f aca="false">IF(A364&lt;=0,1/(1-C364),(1+A364)*(1-(C364*(1+A364))^H364)/(1-C364*(1+A364))+'3. The decision'!$B$13*C364^H364/(1-C364))</f>
        <v>2.90300109115859</v>
      </c>
      <c r="J364" s="17" t="n">
        <f aca="false">F364+E364*D364/(1-C364)</f>
        <v>10.6786645901631</v>
      </c>
      <c r="K364" s="15" t="n">
        <f aca="false">F364-G364+E364*D364*I364</f>
        <v>12.0293670191723</v>
      </c>
      <c r="L364" s="17" t="n">
        <f aca="false">'3. The decision'!$B$8*'3. The decision'!$B$5/J364</f>
        <v>43.9792818694408</v>
      </c>
      <c r="M364" s="31" t="n">
        <f aca="false">L364*'3. The decision'!$B$6*'3. The decision'!$B$7*K364</f>
        <v>1014716.87958168</v>
      </c>
      <c r="N364" s="31" t="n">
        <f aca="false">M364*(1+'3. The decision'!$B$19+'3. The decision'!$B$20+'3. The decision'!$B$22)</f>
        <v>1122276.86881734</v>
      </c>
      <c r="O364" s="31" t="n">
        <f aca="false">'3. The decision'!$B$17+'3. The decision'!$B$18*L364*12+M364*('3. The decision'!$B$20*(1-'3. The decision'!$B$21)+'3. The decision'!$B$23)+N364*('3. The decision'!$B$24+'3. The decision'!$B$25)</f>
        <v>603732.175629726</v>
      </c>
      <c r="P364" s="31" t="n">
        <f aca="false">N364-O364</f>
        <v>518544.693187614</v>
      </c>
    </row>
    <row r="365" customFormat="false" ht="15" hidden="false" customHeight="false" outlineLevel="0" collapsed="false">
      <c r="A365" s="27" t="n">
        <f aca="false">70*0.0025</f>
        <v>0.175</v>
      </c>
      <c r="B365" s="27" t="n">
        <f aca="false">IF(A365&gt;0,MIN('3. The decision'!$B$15,'3. The decision'!$B$29*(A365/'3. The decision'!$B$28)^$B$292),0)</f>
        <v>0.185037318368162</v>
      </c>
      <c r="C365" s="15" t="n">
        <f aca="false">(1-'3. The decision'!$B$27-B365)*(1-'3. The decision'!$B$27)^('3. The decision'!$B$12-1)</f>
        <v>0.530568867094591</v>
      </c>
      <c r="D365" s="15" t="n">
        <f aca="false">1+(1-'3. The decision'!$B$27-B365)*(1-(1-'3. The decision'!$B$27)^('3. The decision'!$B$12-1))/'3. The decision'!$B$27</f>
        <v>4.27659871484582</v>
      </c>
      <c r="E365" s="15" t="n">
        <f aca="false">(1-'3. The decision'!$B$14)*(1-'3. The decision'!$B$27)^('3. The decision'!$B$11-1)</f>
        <v>0.690273454655712</v>
      </c>
      <c r="F365" s="15" t="n">
        <f aca="false">1+(1-'3. The decision'!$B$14)*(1-(1-'3. The decision'!$B$27)^('3. The decision'!$B$11-1))/'3. The decision'!$B$27</f>
        <v>4.28912098262087</v>
      </c>
      <c r="G365" s="15" t="n">
        <f aca="false">(1-(1-'3. The decision'!$B$9*MIN(1,('3. The decision'!$B$10/(52/12)))))+(1-(1-'3. The decision'!$B$9*MAX(0,MIN(1,('3. The decision'!$B$10/(52/12))-1))))*(1-'3. The decision'!$B$14)+(1-(1-'3. The decision'!$B$9*MAX(0,MIN(1,('3. The decision'!$B$10/(52/12))-2))))*(1-'3. The decision'!$B$14)*(1-'3. The decision'!$B$27)</f>
        <v>0.884576923076923</v>
      </c>
      <c r="H365" s="15" t="n">
        <f aca="false">IF(A365&lt;=0,0,MAX(0,ROUNDUP(LN('3. The decision'!$B$13)/LN(1+A365)-0.000000000001,0)-1))</f>
        <v>2</v>
      </c>
      <c r="I365" s="15" t="n">
        <f aca="false">IF(A365&lt;=0,1/(1-C365),(1+A365)*(1-(C365*(1+A365))^H365)/(1-C365*(1+A365))+'3. The decision'!$B$13*C365^H365/(1-C365))</f>
        <v>2.87898050734346</v>
      </c>
      <c r="J365" s="17" t="n">
        <f aca="false">F365+E365*D365/(1-C365)</f>
        <v>10.5776313990522</v>
      </c>
      <c r="K365" s="15" t="n">
        <f aca="false">F365-G365+E365*D365*I365</f>
        <v>11.9033594931425</v>
      </c>
      <c r="L365" s="17" t="n">
        <f aca="false">'3. The decision'!$B$8*'3. The decision'!$B$5/J365</f>
        <v>44.3993539084831</v>
      </c>
      <c r="M365" s="31" t="n">
        <f aca="false">L365*'3. The decision'!$B$6*'3. The decision'!$B$7*K365</f>
        <v>1013678.36177619</v>
      </c>
      <c r="N365" s="31" t="n">
        <f aca="false">M365*(1+'3. The decision'!$B$19+'3. The decision'!$B$20+'3. The decision'!$B$22)</f>
        <v>1121128.26812447</v>
      </c>
      <c r="O365" s="31" t="n">
        <f aca="false">'3. The decision'!$B$17+'3. The decision'!$B$18*L365*12+M365*('3. The decision'!$B$20*(1-'3. The decision'!$B$21)+'3. The decision'!$B$23)+N365*('3. The decision'!$B$24+'3. The decision'!$B$25)</f>
        <v>604256.741817799</v>
      </c>
      <c r="P365" s="31" t="n">
        <f aca="false">N365-O365</f>
        <v>516871.526306671</v>
      </c>
    </row>
    <row r="366" customFormat="false" ht="15" hidden="false" customHeight="false" outlineLevel="0" collapsed="false">
      <c r="A366" s="27" t="n">
        <f aca="false">71*0.0025</f>
        <v>0.1775</v>
      </c>
      <c r="B366" s="27" t="n">
        <f aca="false">IF(A366&gt;0,MIN('3. The decision'!$B$15,'3. The decision'!$B$29*(A366/'3. The decision'!$B$28)^$B$292),0)</f>
        <v>0.191445016947155</v>
      </c>
      <c r="C366" s="15" t="n">
        <f aca="false">(1-'3. The decision'!$B$27-B366)*(1-'3. The decision'!$B$27)^('3. The decision'!$B$12-1)</f>
        <v>0.526026589357606</v>
      </c>
      <c r="D366" s="15" t="n">
        <f aca="false">1+(1-'3. The decision'!$B$27-B366)*(1-(1-'3. The decision'!$B$27)^('3. The decision'!$B$12-1))/'3. The decision'!$B$27</f>
        <v>4.24854727361261</v>
      </c>
      <c r="E366" s="15" t="n">
        <f aca="false">(1-'3. The decision'!$B$14)*(1-'3. The decision'!$B$27)^('3. The decision'!$B$11-1)</f>
        <v>0.690273454655712</v>
      </c>
      <c r="F366" s="15" t="n">
        <f aca="false">1+(1-'3. The decision'!$B$14)*(1-(1-'3. The decision'!$B$27)^('3. The decision'!$B$11-1))/'3. The decision'!$B$27</f>
        <v>4.28912098262087</v>
      </c>
      <c r="G366" s="15" t="n">
        <f aca="false">(1-(1-'3. The decision'!$B$9*MIN(1,('3. The decision'!$B$10/(52/12)))))+(1-(1-'3. The decision'!$B$9*MAX(0,MIN(1,('3. The decision'!$B$10/(52/12))-1))))*(1-'3. The decision'!$B$14)+(1-(1-'3. The decision'!$B$9*MAX(0,MIN(1,('3. The decision'!$B$10/(52/12))-2))))*(1-'3. The decision'!$B$14)*(1-'3. The decision'!$B$27)</f>
        <v>0.884576923076923</v>
      </c>
      <c r="H366" s="15" t="n">
        <f aca="false">IF(A366&lt;=0,0,MAX(0,ROUNDUP(LN('3. The decision'!$B$13)/LN(1+A366)-0.000000000001,0)-1))</f>
        <v>2</v>
      </c>
      <c r="I366" s="15" t="n">
        <f aca="false">IF(A366&lt;=0,1/(1-C366),(1+A366)*(1-(C366*(1+A366))^H366)/(1-C366*(1+A366))+'3. The decision'!$B$13*C366^H366/(1-C366))</f>
        <v>2.85258932824454</v>
      </c>
      <c r="J366" s="17" t="n">
        <f aca="false">F366+E366*D366/(1-C366)</f>
        <v>10.4765132244134</v>
      </c>
      <c r="K366" s="15" t="n">
        <f aca="false">F366-G366+E366*D366*I366</f>
        <v>11.7702169782702</v>
      </c>
      <c r="L366" s="17" t="n">
        <f aca="false">'3. The decision'!$B$8*'3. The decision'!$B$5/J366</f>
        <v>44.8278916792277</v>
      </c>
      <c r="M366" s="31" t="n">
        <f aca="false">L366*'3. The decision'!$B$6*'3. The decision'!$B$7*K366</f>
        <v>1012014.55465198</v>
      </c>
      <c r="N366" s="31" t="n">
        <f aca="false">M366*(1+'3. The decision'!$B$19+'3. The decision'!$B$20+'3. The decision'!$B$22)</f>
        <v>1119288.09744509</v>
      </c>
      <c r="O366" s="31" t="n">
        <f aca="false">'3. The decision'!$B$17+'3. The decision'!$B$18*L366*12+M366*('3. The decision'!$B$20*(1-'3. The decision'!$B$21)+'3. The decision'!$B$23)+N366*('3. The decision'!$B$24+'3. The decision'!$B$25)</f>
        <v>604726.834157216</v>
      </c>
      <c r="P366" s="31" t="n">
        <f aca="false">N366-O366</f>
        <v>514561.263287878</v>
      </c>
    </row>
    <row r="367" customFormat="false" ht="15" hidden="false" customHeight="false" outlineLevel="0" collapsed="false">
      <c r="A367" s="27" t="n">
        <f aca="false">72*0.0025</f>
        <v>0.18</v>
      </c>
      <c r="B367" s="27" t="n">
        <f aca="false">IF(A367&gt;0,MIN('3. The decision'!$B$15,'3. The decision'!$B$29*(A367/'3. The decision'!$B$28)^$B$292),0)</f>
        <v>0.197980319712773</v>
      </c>
      <c r="C367" s="15" t="n">
        <f aca="false">(1-'3. The decision'!$B$27-B367)*(1-'3. The decision'!$B$27)^('3. The decision'!$B$12-1)</f>
        <v>0.521393855796443</v>
      </c>
      <c r="D367" s="15" t="n">
        <f aca="false">1+(1-'3. The decision'!$B$27-B367)*(1-(1-'3. The decision'!$B$27)^('3. The decision'!$B$12-1))/'3. The decision'!$B$27</f>
        <v>4.21993721038773</v>
      </c>
      <c r="E367" s="15" t="n">
        <f aca="false">(1-'3. The decision'!$B$14)*(1-'3. The decision'!$B$27)^('3. The decision'!$B$11-1)</f>
        <v>0.690273454655712</v>
      </c>
      <c r="F367" s="15" t="n">
        <f aca="false">1+(1-'3. The decision'!$B$14)*(1-(1-'3. The decision'!$B$27)^('3. The decision'!$B$11-1))/'3. The decision'!$B$27</f>
        <v>4.28912098262087</v>
      </c>
      <c r="G367" s="15" t="n">
        <f aca="false">(1-(1-'3. The decision'!$B$9*MIN(1,('3. The decision'!$B$10/(52/12)))))+(1-(1-'3. The decision'!$B$9*MAX(0,MIN(1,('3. The decision'!$B$10/(52/12))-1))))*(1-'3. The decision'!$B$14)+(1-(1-'3. The decision'!$B$9*MAX(0,MIN(1,('3. The decision'!$B$10/(52/12))-2))))*(1-'3. The decision'!$B$14)*(1-'3. The decision'!$B$27)</f>
        <v>0.884576923076923</v>
      </c>
      <c r="H367" s="15" t="n">
        <f aca="false">IF(A367&lt;=0,0,MAX(0,ROUNDUP(LN('3. The decision'!$B$13)/LN(1+A367)-0.000000000001,0)-1))</f>
        <v>2</v>
      </c>
      <c r="I367" s="15" t="n">
        <f aca="false">IF(A367&lt;=0,1/(1-C367),(1+A367)*(1-(C367*(1+A367))^H367)/(1-C367*(1+A367))+'3. The decision'!$B$13*C367^H367/(1-C367))</f>
        <v>2.82615984935483</v>
      </c>
      <c r="J367" s="17" t="n">
        <f aca="false">F367+E367*D367/(1-C367)</f>
        <v>10.3753584284269</v>
      </c>
      <c r="K367" s="15" t="n">
        <f aca="false">F367-G367+E367*D367*I367</f>
        <v>11.6368951455873</v>
      </c>
      <c r="L367" s="17" t="n">
        <f aca="false">'3. The decision'!$B$8*'3. The decision'!$B$5/J367</f>
        <v>45.264942241731</v>
      </c>
      <c r="M367" s="31" t="n">
        <f aca="false">L367*'3. The decision'!$B$6*'3. The decision'!$B$7*K367</f>
        <v>1010306.31456747</v>
      </c>
      <c r="N367" s="31" t="n">
        <f aca="false">M367*(1+'3. The decision'!$B$19+'3. The decision'!$B$20+'3. The decision'!$B$22)</f>
        <v>1117398.78391162</v>
      </c>
      <c r="O367" s="31" t="n">
        <f aca="false">'3. The decision'!$B$17+'3. The decision'!$B$18*L367*12+M367*('3. The decision'!$B$20*(1-'3. The decision'!$B$21)+'3. The decision'!$B$23)+N367*('3. The decision'!$B$24+'3. The decision'!$B$25)</f>
        <v>605205.039763365</v>
      </c>
      <c r="P367" s="31" t="n">
        <f aca="false">N367-O367</f>
        <v>512193.744148258</v>
      </c>
    </row>
    <row r="368" customFormat="false" ht="15" hidden="false" customHeight="false" outlineLevel="0" collapsed="false">
      <c r="A368" s="27" t="n">
        <f aca="false">73*0.0025</f>
        <v>0.1825</v>
      </c>
      <c r="B368" s="27" t="n">
        <f aca="false">IF(A368&gt;0,MIN('3. The decision'!$B$15,'3. The decision'!$B$29*(A368/'3. The decision'!$B$28)^$B$292),0)</f>
        <v>0.204643942560906</v>
      </c>
      <c r="C368" s="15" t="n">
        <f aca="false">(1-'3. The decision'!$B$27-B368)*(1-'3. The decision'!$B$27)^('3. The decision'!$B$12-1)</f>
        <v>0.516670158928122</v>
      </c>
      <c r="D368" s="15" t="n">
        <f aca="false">1+(1-'3. The decision'!$B$27-B368)*(1-(1-'3. The decision'!$B$27)^('3. The decision'!$B$12-1))/'3. The decision'!$B$27</f>
        <v>4.19076539114244</v>
      </c>
      <c r="E368" s="15" t="n">
        <f aca="false">(1-'3. The decision'!$B$14)*(1-'3. The decision'!$B$27)^('3. The decision'!$B$11-1)</f>
        <v>0.690273454655712</v>
      </c>
      <c r="F368" s="15" t="n">
        <f aca="false">1+(1-'3. The decision'!$B$14)*(1-(1-'3. The decision'!$B$27)^('3. The decision'!$B$11-1))/'3. The decision'!$B$27</f>
        <v>4.28912098262087</v>
      </c>
      <c r="G368" s="15" t="n">
        <f aca="false">(1-(1-'3. The decision'!$B$9*MIN(1,('3. The decision'!$B$10/(52/12)))))+(1-(1-'3. The decision'!$B$9*MAX(0,MIN(1,('3. The decision'!$B$10/(52/12))-1))))*(1-'3. The decision'!$B$14)+(1-(1-'3. The decision'!$B$9*MAX(0,MIN(1,('3. The decision'!$B$10/(52/12))-2))))*(1-'3. The decision'!$B$14)*(1-'3. The decision'!$B$27)</f>
        <v>0.884576923076923</v>
      </c>
      <c r="H368" s="15" t="n">
        <f aca="false">IF(A368&lt;=0,0,MAX(0,ROUNDUP(LN('3. The decision'!$B$13)/LN(1+A368)-0.000000000001,0)-1))</f>
        <v>2</v>
      </c>
      <c r="I368" s="15" t="n">
        <f aca="false">IF(A368&lt;=0,1/(1-C368),(1+A368)*(1-(C368*(1+A368))^H368)/(1-C368*(1+A368))+'3. The decision'!$B$13*C368^H368/(1-C368))</f>
        <v>2.79970581050225</v>
      </c>
      <c r="J368" s="17" t="n">
        <f aca="false">F368+E368*D368/(1-C368)</f>
        <v>10.2742140978736</v>
      </c>
      <c r="K368" s="15" t="n">
        <f aca="false">F368-G368+E368*D368*I368</f>
        <v>11.5034605275305</v>
      </c>
      <c r="L368" s="17" t="n">
        <f aca="false">'3. The decision'!$B$8*'3. The decision'!$B$5/J368</f>
        <v>45.7105522160765</v>
      </c>
      <c r="M368" s="31" t="n">
        <f aca="false">L368*'3. The decision'!$B$6*'3. The decision'!$B$7*K368</f>
        <v>1008553.52181451</v>
      </c>
      <c r="N368" s="31" t="n">
        <f aca="false">M368*(1+'3. The decision'!$B$19+'3. The decision'!$B$20+'3. The decision'!$B$22)</f>
        <v>1115460.19512685</v>
      </c>
      <c r="O368" s="31" t="n">
        <f aca="false">'3. The decision'!$B$17+'3. The decision'!$B$18*L368*12+M368*('3. The decision'!$B$20*(1-'3. The decision'!$B$21)+'3. The decision'!$B$23)+N368*('3. The decision'!$B$24+'3. The decision'!$B$25)</f>
        <v>605691.416374031</v>
      </c>
      <c r="P368" s="31" t="n">
        <f aca="false">N368-O368</f>
        <v>509768.778752818</v>
      </c>
    </row>
    <row r="369" customFormat="false" ht="15" hidden="false" customHeight="false" outlineLevel="0" collapsed="false">
      <c r="A369" s="27" t="n">
        <f aca="false">74*0.0025</f>
        <v>0.185</v>
      </c>
      <c r="B369" s="27" t="n">
        <f aca="false">IF(A369&gt;0,MIN('3. The decision'!$B$15,'3. The decision'!$B$29*(A369/'3. The decision'!$B$28)^$B$292),0)</f>
        <v>0.21143659544588</v>
      </c>
      <c r="C369" s="15" t="n">
        <f aca="false">(1-'3. The decision'!$B$27-B369)*(1-'3. The decision'!$B$27)^('3. The decision'!$B$12-1)</f>
        <v>0.511854995481509</v>
      </c>
      <c r="D369" s="15" t="n">
        <f aca="false">1+(1-'3. The decision'!$B$27-B369)*(1-(1-'3. The decision'!$B$27)^('3. The decision'!$B$12-1))/'3. The decision'!$B$27</f>
        <v>4.16102870785881</v>
      </c>
      <c r="E369" s="15" t="n">
        <f aca="false">(1-'3. The decision'!$B$14)*(1-'3. The decision'!$B$27)^('3. The decision'!$B$11-1)</f>
        <v>0.690273454655712</v>
      </c>
      <c r="F369" s="15" t="n">
        <f aca="false">1+(1-'3. The decision'!$B$14)*(1-(1-'3. The decision'!$B$27)^('3. The decision'!$B$11-1))/'3. The decision'!$B$27</f>
        <v>4.28912098262087</v>
      </c>
      <c r="G369" s="15" t="n">
        <f aca="false">(1-(1-'3. The decision'!$B$9*MIN(1,('3. The decision'!$B$10/(52/12)))))+(1-(1-'3. The decision'!$B$9*MAX(0,MIN(1,('3. The decision'!$B$10/(52/12))-1))))*(1-'3. The decision'!$B$14)+(1-(1-'3. The decision'!$B$9*MAX(0,MIN(1,('3. The decision'!$B$10/(52/12))-2))))*(1-'3. The decision'!$B$14)*(1-'3. The decision'!$B$27)</f>
        <v>0.884576923076923</v>
      </c>
      <c r="H369" s="15" t="n">
        <f aca="false">IF(A369&lt;=0,0,MAX(0,ROUNDUP(LN('3. The decision'!$B$13)/LN(1+A369)-0.000000000001,0)-1))</f>
        <v>2</v>
      </c>
      <c r="I369" s="15" t="n">
        <f aca="false">IF(A369&lt;=0,1/(1-C369),(1+A369)*(1-(C369*(1+A369))^H369)/(1-C369*(1+A369))+'3. The decision'!$B$13*C369^H369/(1-C369))</f>
        <v>2.77324050378504</v>
      </c>
      <c r="J369" s="17" t="n">
        <f aca="false">F369+E369*D369/(1-C369)</f>
        <v>10.1731260108573</v>
      </c>
      <c r="K369" s="15" t="n">
        <f aca="false">F369-G369+E369*D369*I369</f>
        <v>11.3699776101953</v>
      </c>
      <c r="L369" s="17" t="n">
        <f aca="false">'3. The decision'!$B$8*'3. The decision'!$B$5/J369</f>
        <v>46.1647677910188</v>
      </c>
      <c r="M369" s="31" t="n">
        <f aca="false">L369*'3. The decision'!$B$6*'3. The decision'!$B$7*K369</f>
        <v>1006756.0325554</v>
      </c>
      <c r="N369" s="31" t="n">
        <f aca="false">M369*(1+'3. The decision'!$B$19+'3. The decision'!$B$20+'3. The decision'!$B$22)</f>
        <v>1113472.17200627</v>
      </c>
      <c r="O369" s="31" t="n">
        <f aca="false">'3. The decision'!$B$17+'3. The decision'!$B$18*L369*12+M369*('3. The decision'!$B$20*(1-'3. The decision'!$B$21)+'3. The decision'!$B$23)+N369*('3. The decision'!$B$24+'3. The decision'!$B$25)</f>
        <v>606186.018476615</v>
      </c>
      <c r="P369" s="31" t="n">
        <f aca="false">N369-O369</f>
        <v>507286.153529655</v>
      </c>
    </row>
    <row r="370" customFormat="false" ht="15" hidden="false" customHeight="false" outlineLevel="0" collapsed="false">
      <c r="A370" s="27" t="n">
        <f aca="false">75*0.0025</f>
        <v>0.1875</v>
      </c>
      <c r="B370" s="27" t="n">
        <f aca="false">IF(A370&gt;0,MIN('3. The decision'!$B$15,'3. The decision'!$B$29*(A370/'3. The decision'!$B$28)^$B$292),0)</f>
        <v>0.218358982510171</v>
      </c>
      <c r="C370" s="15" t="n">
        <f aca="false">(1-'3. The decision'!$B$27-B370)*(1-'3. The decision'!$B$27)^('3. The decision'!$B$12-1)</f>
        <v>0.506947866305364</v>
      </c>
      <c r="D370" s="15" t="n">
        <f aca="false">1+(1-'3. The decision'!$B$27-B370)*(1-(1-'3. The decision'!$B$27)^('3. The decision'!$B$12-1))/'3. The decision'!$B$27</f>
        <v>4.13072407796187</v>
      </c>
      <c r="E370" s="15" t="n">
        <f aca="false">(1-'3. The decision'!$B$14)*(1-'3. The decision'!$B$27)^('3. The decision'!$B$11-1)</f>
        <v>0.690273454655712</v>
      </c>
      <c r="F370" s="15" t="n">
        <f aca="false">1+(1-'3. The decision'!$B$14)*(1-(1-'3. The decision'!$B$27)^('3. The decision'!$B$11-1))/'3. The decision'!$B$27</f>
        <v>4.28912098262087</v>
      </c>
      <c r="G370" s="15" t="n">
        <f aca="false">(1-(1-'3. The decision'!$B$9*MIN(1,('3. The decision'!$B$10/(52/12)))))+(1-(1-'3. The decision'!$B$9*MAX(0,MIN(1,('3. The decision'!$B$10/(52/12))-1))))*(1-'3. The decision'!$B$14)+(1-(1-'3. The decision'!$B$9*MAX(0,MIN(1,('3. The decision'!$B$10/(52/12))-2))))*(1-'3. The decision'!$B$14)*(1-'3. The decision'!$B$27)</f>
        <v>0.884576923076923</v>
      </c>
      <c r="H370" s="15" t="n">
        <f aca="false">IF(A370&lt;=0,0,MAX(0,ROUNDUP(LN('3. The decision'!$B$13)/LN(1+A370)-0.000000000001,0)-1))</f>
        <v>2</v>
      </c>
      <c r="I370" s="15" t="n">
        <f aca="false">IF(A370&lt;=0,1/(1-C370),(1+A370)*(1-(C370*(1+A370))^H370)/(1-C370*(1+A370))+'3. The decision'!$B$13*C370^H370/(1-C370))</f>
        <v>2.74677676432267</v>
      </c>
      <c r="J370" s="17" t="n">
        <f aca="false">F370+E370*D370/(1-C370)</f>
        <v>10.0721386082787</v>
      </c>
      <c r="K370" s="15" t="n">
        <f aca="false">F370-G370+E370*D370*I370</f>
        <v>11.2365087972964</v>
      </c>
      <c r="L370" s="17" t="n">
        <f aca="false">'3. The decision'!$B$8*'3. The decision'!$B$5/J370</f>
        <v>46.6276347323084</v>
      </c>
      <c r="M370" s="31" t="n">
        <f aca="false">L370*'3. The decision'!$B$6*'3. The decision'!$B$7*K370</f>
        <v>1004913.67812901</v>
      </c>
      <c r="N370" s="31" t="n">
        <f aca="false">M370*(1+'3. The decision'!$B$19+'3. The decision'!$B$20+'3. The decision'!$B$22)</f>
        <v>1111434.52801068</v>
      </c>
      <c r="O370" s="31" t="n">
        <f aca="false">'3. The decision'!$B$17+'3. The decision'!$B$18*L370*12+M370*('3. The decision'!$B$20*(1-'3. The decision'!$B$21)+'3. The decision'!$B$23)+N370*('3. The decision'!$B$24+'3. The decision'!$B$25)</f>
        <v>606688.897246071</v>
      </c>
      <c r="P370" s="31" t="n">
        <f aca="false">N370-O370</f>
        <v>504745.630764612</v>
      </c>
    </row>
    <row r="371" customFormat="false" ht="15" hidden="false" customHeight="false" outlineLevel="0" collapsed="false">
      <c r="A371" s="27" t="n">
        <f aca="false">76*0.0025</f>
        <v>0.19</v>
      </c>
      <c r="B371" s="27" t="n">
        <f aca="false">IF(A371&gt;0,MIN('3. The decision'!$B$15,'3. The decision'!$B$29*(A371/'3. The decision'!$B$28)^$B$292),0)</f>
        <v>0.225411802209575</v>
      </c>
      <c r="C371" s="15" t="n">
        <f aca="false">(1-'3. The decision'!$B$27-B371)*(1-'3. The decision'!$B$27)^('3. The decision'!$B$12-1)</f>
        <v>0.501948276279611</v>
      </c>
      <c r="D371" s="15" t="n">
        <f aca="false">1+(1-'3. The decision'!$B$27-B371)*(1-(1-'3. The decision'!$B$27)^('3. The decision'!$B$12-1))/'3. The decision'!$B$27</f>
        <v>4.09984844377164</v>
      </c>
      <c r="E371" s="15" t="n">
        <f aca="false">(1-'3. The decision'!$B$14)*(1-'3. The decision'!$B$27)^('3. The decision'!$B$11-1)</f>
        <v>0.690273454655712</v>
      </c>
      <c r="F371" s="15" t="n">
        <f aca="false">1+(1-'3. The decision'!$B$14)*(1-(1-'3. The decision'!$B$27)^('3. The decision'!$B$11-1))/'3. The decision'!$B$27</f>
        <v>4.28912098262087</v>
      </c>
      <c r="G371" s="15" t="n">
        <f aca="false">(1-(1-'3. The decision'!$B$9*MIN(1,('3. The decision'!$B$10/(52/12)))))+(1-(1-'3. The decision'!$B$9*MAX(0,MIN(1,('3. The decision'!$B$10/(52/12))-1))))*(1-'3. The decision'!$B$14)+(1-(1-'3. The decision'!$B$9*MAX(0,MIN(1,('3. The decision'!$B$10/(52/12))-2))))*(1-'3. The decision'!$B$14)*(1-'3. The decision'!$B$27)</f>
        <v>0.884576923076923</v>
      </c>
      <c r="H371" s="15" t="n">
        <f aca="false">IF(A371&lt;=0,0,MAX(0,ROUNDUP(LN('3. The decision'!$B$13)/LN(1+A371)-0.000000000001,0)-1))</f>
        <v>2</v>
      </c>
      <c r="I371" s="15" t="n">
        <f aca="false">IF(A371&lt;=0,1/(1-C371),(1+A371)*(1-(C371*(1+A371))^H371)/(1-C371*(1+A371))+'3. The decision'!$B$13*C371^H371/(1-C371))</f>
        <v>2.72032696250742</v>
      </c>
      <c r="J371" s="17" t="n">
        <f aca="false">F371+E371*D371/(1-C371)</f>
        <v>9.97129496990717</v>
      </c>
      <c r="K371" s="15" t="n">
        <f aca="false">F371-G371+E371*D371*I371</f>
        <v>11.1031143817149</v>
      </c>
      <c r="L371" s="17" t="n">
        <f aca="false">'3. The decision'!$B$8*'3. The decision'!$B$5/J371</f>
        <v>47.0991983907154</v>
      </c>
      <c r="M371" s="31" t="n">
        <f aca="false">L371*'3. The decision'!$B$6*'3. The decision'!$B$7*K371</f>
        <v>1003026.26443336</v>
      </c>
      <c r="N371" s="31" t="n">
        <f aca="false">M371*(1+'3. The decision'!$B$19+'3. The decision'!$B$20+'3. The decision'!$B$22)</f>
        <v>1109347.04846329</v>
      </c>
      <c r="O371" s="31" t="n">
        <f aca="false">'3. The decision'!$B$17+'3. The decision'!$B$18*L371*12+M371*('3. The decision'!$B$20*(1-'3. The decision'!$B$21)+'3. The decision'!$B$23)+N371*('3. The decision'!$B$24+'3. The decision'!$B$25)</f>
        <v>607200.1004906</v>
      </c>
      <c r="P371" s="31" t="n">
        <f aca="false">N371-O371</f>
        <v>502146.947972691</v>
      </c>
    </row>
    <row r="372" customFormat="false" ht="15" hidden="false" customHeight="false" outlineLevel="0" collapsed="false">
      <c r="A372" s="27" t="n">
        <f aca="false">77*0.0025</f>
        <v>0.1925</v>
      </c>
      <c r="B372" s="27" t="n">
        <f aca="false">IF(A372&gt;0,MIN('3. The decision'!$B$15,'3. The decision'!$B$29*(A372/'3. The decision'!$B$28)^$B$292),0)</f>
        <v>0.232595747434055</v>
      </c>
      <c r="C372" s="15" t="n">
        <f aca="false">(1-'3. The decision'!$B$27-B372)*(1-'3. The decision'!$B$27)^('3. The decision'!$B$12-1)</f>
        <v>0.49685573422967</v>
      </c>
      <c r="D372" s="15" t="n">
        <f aca="false">1+(1-'3. The decision'!$B$27-B372)*(1-(1-'3. The decision'!$B$27)^('3. The decision'!$B$12-1))/'3. The decision'!$B$27</f>
        <v>4.06839877197407</v>
      </c>
      <c r="E372" s="15" t="n">
        <f aca="false">(1-'3. The decision'!$B$14)*(1-'3. The decision'!$B$27)^('3. The decision'!$B$11-1)</f>
        <v>0.690273454655712</v>
      </c>
      <c r="F372" s="15" t="n">
        <f aca="false">1+(1-'3. The decision'!$B$14)*(1-(1-'3. The decision'!$B$27)^('3. The decision'!$B$11-1))/'3. The decision'!$B$27</f>
        <v>4.28912098262087</v>
      </c>
      <c r="G372" s="15" t="n">
        <f aca="false">(1-(1-'3. The decision'!$B$9*MIN(1,('3. The decision'!$B$10/(52/12)))))+(1-(1-'3. The decision'!$B$9*MAX(0,MIN(1,('3. The decision'!$B$10/(52/12))-1))))*(1-'3. The decision'!$B$14)+(1-(1-'3. The decision'!$B$9*MAX(0,MIN(1,('3. The decision'!$B$10/(52/12))-2))))*(1-'3. The decision'!$B$14)*(1-'3. The decision'!$B$27)</f>
        <v>0.884576923076923</v>
      </c>
      <c r="H372" s="15" t="n">
        <f aca="false">IF(A372&lt;=0,0,MAX(0,ROUNDUP(LN('3. The decision'!$B$13)/LN(1+A372)-0.000000000001,0)-1))</f>
        <v>2</v>
      </c>
      <c r="I372" s="15" t="n">
        <f aca="false">IF(A372&lt;=0,1/(1-C372),(1+A372)*(1-(C372*(1+A372))^H372)/(1-C372*(1+A372))+'3. The decision'!$B$13*C372^H372/(1-C372))</f>
        <v>2.69390299770288</v>
      </c>
      <c r="J372" s="17" t="n">
        <f aca="false">F372+E372*D372/(1-C372)</f>
        <v>9.87063679488594</v>
      </c>
      <c r="K372" s="15" t="n">
        <f aca="false">F372-G372+E372*D372*I372</f>
        <v>10.9698525243654</v>
      </c>
      <c r="L372" s="17" t="n">
        <f aca="false">'3. The decision'!$B$8*'3. The decision'!$B$5/J372</f>
        <v>47.5795037097631</v>
      </c>
      <c r="M372" s="31" t="n">
        <f aca="false">L372*'3. The decision'!$B$6*'3. The decision'!$B$7*K372</f>
        <v>1001093.5713894</v>
      </c>
      <c r="N372" s="31" t="n">
        <f aca="false">M372*(1+'3. The decision'!$B$19+'3. The decision'!$B$20+'3. The decision'!$B$22)</f>
        <v>1107209.48995668</v>
      </c>
      <c r="O372" s="31" t="n">
        <f aca="false">'3. The decision'!$B$17+'3. The decision'!$B$18*L372*12+M372*('3. The decision'!$B$20*(1-'3. The decision'!$B$21)+'3. The decision'!$B$23)+N372*('3. The decision'!$B$24+'3. The decision'!$B$25)</f>
        <v>607719.672605662</v>
      </c>
      <c r="P372" s="31" t="n">
        <f aca="false">N372-O372</f>
        <v>499489.817351014</v>
      </c>
    </row>
    <row r="373" customFormat="false" ht="15" hidden="false" customHeight="false" outlineLevel="0" collapsed="false">
      <c r="A373" s="27" t="n">
        <f aca="false">78*0.0025</f>
        <v>0.195</v>
      </c>
      <c r="B373" s="27" t="n">
        <f aca="false">IF(A373&gt;0,MIN('3. The decision'!$B$15,'3. The decision'!$B$29*(A373/'3. The decision'!$B$28)^$B$292),0)</f>
        <v>0.239911505624473</v>
      </c>
      <c r="C373" s="15" t="n">
        <f aca="false">(1-'3. The decision'!$B$27-B373)*(1-'3. The decision'!$B$27)^('3. The decision'!$B$12-1)</f>
        <v>0.49166975284371</v>
      </c>
      <c r="D373" s="15" t="n">
        <f aca="false">1+(1-'3. The decision'!$B$27-B373)*(1-(1-'3. The decision'!$B$27)^('3. The decision'!$B$12-1))/'3. The decision'!$B$27</f>
        <v>4.03637205311003</v>
      </c>
      <c r="E373" s="15" t="n">
        <f aca="false">(1-'3. The decision'!$B$14)*(1-'3. The decision'!$B$27)^('3. The decision'!$B$11-1)</f>
        <v>0.690273454655712</v>
      </c>
      <c r="F373" s="15" t="n">
        <f aca="false">1+(1-'3. The decision'!$B$14)*(1-(1-'3. The decision'!$B$27)^('3. The decision'!$B$11-1))/'3. The decision'!$B$27</f>
        <v>4.28912098262087</v>
      </c>
      <c r="G373" s="15" t="n">
        <f aca="false">(1-(1-'3. The decision'!$B$9*MIN(1,('3. The decision'!$B$10/(52/12)))))+(1-(1-'3. The decision'!$B$9*MAX(0,MIN(1,('3. The decision'!$B$10/(52/12))-1))))*(1-'3. The decision'!$B$14)+(1-(1-'3. The decision'!$B$9*MAX(0,MIN(1,('3. The decision'!$B$10/(52/12))-2))))*(1-'3. The decision'!$B$14)*(1-'3. The decision'!$B$27)</f>
        <v>0.884576923076923</v>
      </c>
      <c r="H373" s="15" t="n">
        <f aca="false">IF(A373&lt;=0,0,MAX(0,ROUNDUP(LN('3. The decision'!$B$13)/LN(1+A373)-0.000000000001,0)-1))</f>
        <v>2</v>
      </c>
      <c r="I373" s="15" t="n">
        <f aca="false">IF(A373&lt;=0,1/(1-C373),(1+A373)*(1-(C373*(1+A373))^H373)/(1-C373*(1+A373))+'3. The decision'!$B$13*C373^H373/(1-C373))</f>
        <v>2.66751629333251</v>
      </c>
      <c r="J373" s="17" t="n">
        <f aca="false">F373+E373*D373/(1-C373)</f>
        <v>9.7702043864959</v>
      </c>
      <c r="K373" s="15" t="n">
        <f aca="false">F373-G373+E373*D373*I373</f>
        <v>10.8367792401054</v>
      </c>
      <c r="L373" s="17" t="n">
        <f aca="false">'3. The decision'!$B$8*'3. The decision'!$B$5/J373</f>
        <v>48.0685952331891</v>
      </c>
      <c r="M373" s="31" t="n">
        <f aca="false">L373*'3. The decision'!$B$6*'3. The decision'!$B$7*K373</f>
        <v>999115.352491061</v>
      </c>
      <c r="N373" s="31" t="n">
        <f aca="false">M373*(1+'3. The decision'!$B$19+'3. The decision'!$B$20+'3. The decision'!$B$22)</f>
        <v>1105021.57985511</v>
      </c>
      <c r="O373" s="31" t="n">
        <f aca="false">'3. The decision'!$B$17+'3. The decision'!$B$18*L373*12+M373*('3. The decision'!$B$20*(1-'3. The decision'!$B$21)+'3. The decision'!$B$23)+N373*('3. The decision'!$B$24+'3. The decision'!$B$25)</f>
        <v>608247.654536844</v>
      </c>
      <c r="P373" s="31" t="n">
        <f aca="false">N373-O373</f>
        <v>496773.92531827</v>
      </c>
    </row>
    <row r="374" customFormat="false" ht="15" hidden="false" customHeight="false" outlineLevel="0" collapsed="false">
      <c r="A374" s="27" t="n">
        <f aca="false">79*0.0025</f>
        <v>0.1975</v>
      </c>
      <c r="B374" s="27" t="n">
        <f aca="false">IF(A374&gt;0,MIN('3. The decision'!$B$15,'3. The decision'!$B$29*(A374/'3. The decision'!$B$28)^$B$292),0)</f>
        <v>0.247359758885392</v>
      </c>
      <c r="C374" s="15" t="n">
        <f aca="false">(1-'3. The decision'!$B$27-B374)*(1-'3. The decision'!$B$27)^('3. The decision'!$B$12-1)</f>
        <v>0.486389848592688</v>
      </c>
      <c r="D374" s="15" t="n">
        <f aca="false">1+(1-'3. The decision'!$B$27-B374)*(1-(1-'3. The decision'!$B$27)^('3. The decision'!$B$12-1))/'3. The decision'!$B$27</f>
        <v>4.0037653010815</v>
      </c>
      <c r="E374" s="15" t="n">
        <f aca="false">(1-'3. The decision'!$B$14)*(1-'3. The decision'!$B$27)^('3. The decision'!$B$11-1)</f>
        <v>0.690273454655712</v>
      </c>
      <c r="F374" s="15" t="n">
        <f aca="false">1+(1-'3. The decision'!$B$14)*(1-(1-'3. The decision'!$B$27)^('3. The decision'!$B$11-1))/'3. The decision'!$B$27</f>
        <v>4.28912098262087</v>
      </c>
      <c r="G374" s="15" t="n">
        <f aca="false">(1-(1-'3. The decision'!$B$9*MIN(1,('3. The decision'!$B$10/(52/12)))))+(1-(1-'3. The decision'!$B$9*MAX(0,MIN(1,('3. The decision'!$B$10/(52/12))-1))))*(1-'3. The decision'!$B$14)+(1-(1-'3. The decision'!$B$9*MAX(0,MIN(1,('3. The decision'!$B$10/(52/12))-2))))*(1-'3. The decision'!$B$14)*(1-'3. The decision'!$B$27)</f>
        <v>0.884576923076923</v>
      </c>
      <c r="H374" s="15" t="n">
        <f aca="false">IF(A374&lt;=0,0,MAX(0,ROUNDUP(LN('3. The decision'!$B$13)/LN(1+A374)-0.000000000001,0)-1))</f>
        <v>2</v>
      </c>
      <c r="I374" s="15" t="n">
        <f aca="false">IF(A374&lt;=0,1/(1-C374),(1+A374)*(1-(C374*(1+A374))^H374)/(1-C374*(1+A374))+'3. The decision'!$B$13*C374^H374/(1-C374))</f>
        <v>2.64117779329885</v>
      </c>
      <c r="J374" s="17" t="n">
        <f aca="false">F374+E374*D374/(1-C374)</f>
        <v>9.67003664099633</v>
      </c>
      <c r="K374" s="15" t="n">
        <f aca="false">F374-G374+E374*D374*I374</f>
        <v>10.7039483903904</v>
      </c>
      <c r="L374" s="17" t="n">
        <f aca="false">'3. The decision'!$B$8*'3. The decision'!$B$5/J374</f>
        <v>48.5665171121432</v>
      </c>
      <c r="M374" s="31" t="n">
        <f aca="false">L374*'3. The decision'!$B$6*'3. The decision'!$B$7*K374</f>
        <v>997091.334446498</v>
      </c>
      <c r="N374" s="31" t="n">
        <f aca="false">M374*(1+'3. The decision'!$B$19+'3. The decision'!$B$20+'3. The decision'!$B$22)</f>
        <v>1102783.01589783</v>
      </c>
      <c r="O374" s="31" t="n">
        <f aca="false">'3. The decision'!$B$17+'3. The decision'!$B$18*L374*12+M374*('3. The decision'!$B$20*(1-'3. The decision'!$B$21)+'3. The decision'!$B$23)+N374*('3. The decision'!$B$24+'3. The decision'!$B$25)</f>
        <v>608784.083752159</v>
      </c>
      <c r="P374" s="31" t="n">
        <f aca="false">N374-O374</f>
        <v>493998.932145667</v>
      </c>
    </row>
    <row r="375" customFormat="false" ht="15" hidden="false" customHeight="false" outlineLevel="0" collapsed="false">
      <c r="A375" s="27" t="n">
        <f aca="false">80*0.0025</f>
        <v>0.2</v>
      </c>
      <c r="B375" s="27" t="n">
        <f aca="false">IF(A375&gt;0,MIN('3. The decision'!$B$15,'3. The decision'!$B$29*(A375/'3. The decision'!$B$28)^$B$292),0)</f>
        <v>0.254941184094132</v>
      </c>
      <c r="C375" s="15" t="n">
        <f aca="false">(1-'3. The decision'!$B$27-B375)*(1-'3. The decision'!$B$27)^('3. The decision'!$B$12-1)</f>
        <v>0.481015541653037</v>
      </c>
      <c r="D375" s="15" t="n">
        <f aca="false">1+(1-'3. The decision'!$B$27-B375)*(1-(1-'3. The decision'!$B$27)^('3. The decision'!$B$12-1))/'3. The decision'!$B$27</f>
        <v>3.97057555267415</v>
      </c>
      <c r="E375" s="15" t="n">
        <f aca="false">(1-'3. The decision'!$B$14)*(1-'3. The decision'!$B$27)^('3. The decision'!$B$11-1)</f>
        <v>0.690273454655712</v>
      </c>
      <c r="F375" s="15" t="n">
        <f aca="false">1+(1-'3. The decision'!$B$14)*(1-(1-'3. The decision'!$B$27)^('3. The decision'!$B$11-1))/'3. The decision'!$B$27</f>
        <v>4.28912098262087</v>
      </c>
      <c r="G375" s="15" t="n">
        <f aca="false">(1-(1-'3. The decision'!$B$9*MIN(1,('3. The decision'!$B$10/(52/12)))))+(1-(1-'3. The decision'!$B$9*MAX(0,MIN(1,('3. The decision'!$B$10/(52/12))-1))))*(1-'3. The decision'!$B$14)+(1-(1-'3. The decision'!$B$9*MAX(0,MIN(1,('3. The decision'!$B$10/(52/12))-2))))*(1-'3. The decision'!$B$14)*(1-'3. The decision'!$B$27)</f>
        <v>0.884576923076923</v>
      </c>
      <c r="H375" s="15" t="n">
        <f aca="false">IF(A375&lt;=0,0,MAX(0,ROUNDUP(LN('3. The decision'!$B$13)/LN(1+A375)-0.000000000001,0)-1))</f>
        <v>2</v>
      </c>
      <c r="I375" s="15" t="n">
        <f aca="false">IF(A375&lt;=0,1/(1-C375),(1+A375)*(1-(C375*(1+A375))^H375)/(1-C375*(1+A375))+'3. The decision'!$B$13*C375^H375/(1-C375))</f>
        <v>2.6148979596718</v>
      </c>
      <c r="J375" s="17" t="n">
        <f aca="false">F375+E375*D375/(1-C375)</f>
        <v>9.57017104035414</v>
      </c>
      <c r="K375" s="15" t="n">
        <f aca="false">F375-G375+E375*D375*I375</f>
        <v>10.571411682374</v>
      </c>
      <c r="L375" s="17" t="n">
        <f aca="false">'3. The decision'!$B$8*'3. The decision'!$B$5/J375</f>
        <v>49.0733131121365</v>
      </c>
      <c r="M375" s="31" t="n">
        <f aca="false">L375*'3. The decision'!$B$6*'3. The decision'!$B$7*K375</f>
        <v>995021.216915872</v>
      </c>
      <c r="N375" s="31" t="n">
        <f aca="false">M375*(1+'3. The decision'!$B$19+'3. The decision'!$B$20+'3. The decision'!$B$22)</f>
        <v>1100493.46590895</v>
      </c>
      <c r="O375" s="31" t="n">
        <f aca="false">'3. The decision'!$B$17+'3. The decision'!$B$18*L375*12+M375*('3. The decision'!$B$20*(1-'3. The decision'!$B$21)+'3. The decision'!$B$23)+N375*('3. The decision'!$B$24+'3. The decision'!$B$25)</f>
        <v>609328.994224347</v>
      </c>
      <c r="P375" s="31" t="n">
        <f aca="false">N375-O375</f>
        <v>491164.471684607</v>
      </c>
    </row>
    <row r="376" customFormat="false" ht="15" hidden="false" customHeight="false" outlineLevel="0" collapsed="false">
      <c r="A376" s="27" t="n">
        <f aca="false">81*0.0025</f>
        <v>0.2025</v>
      </c>
      <c r="B376" s="27" t="n">
        <f aca="false">IF(A376&gt;0,MIN('3. The decision'!$B$15,'3. The decision'!$B$29*(A376/'3. The decision'!$B$28)^$B$292),0)</f>
        <v>0.262656453006249</v>
      </c>
      <c r="C376" s="15" t="n">
        <f aca="false">(1-'3. The decision'!$B$27-B376)*(1-'3. The decision'!$B$27)^('3. The decision'!$B$12-1)</f>
        <v>0.475546355831899</v>
      </c>
      <c r="D376" s="15" t="n">
        <f aca="false">1+(1-'3. The decision'!$B$27-B376)*(1-(1-'3. The decision'!$B$27)^('3. The decision'!$B$12-1))/'3. The decision'!$B$27</f>
        <v>3.93679986709552</v>
      </c>
      <c r="E376" s="15" t="n">
        <f aca="false">(1-'3. The decision'!$B$14)*(1-'3. The decision'!$B$27)^('3. The decision'!$B$11-1)</f>
        <v>0.690273454655712</v>
      </c>
      <c r="F376" s="15" t="n">
        <f aca="false">1+(1-'3. The decision'!$B$14)*(1-(1-'3. The decision'!$B$27)^('3. The decision'!$B$11-1))/'3. The decision'!$B$27</f>
        <v>4.28912098262087</v>
      </c>
      <c r="G376" s="15" t="n">
        <f aca="false">(1-(1-'3. The decision'!$B$9*MIN(1,('3. The decision'!$B$10/(52/12)))))+(1-(1-'3. The decision'!$B$9*MAX(0,MIN(1,('3. The decision'!$B$10/(52/12))-1))))*(1-'3. The decision'!$B$14)+(1-(1-'3. The decision'!$B$9*MAX(0,MIN(1,('3. The decision'!$B$10/(52/12))-2))))*(1-'3. The decision'!$B$14)*(1-'3. The decision'!$B$27)</f>
        <v>0.884576923076923</v>
      </c>
      <c r="H376" s="15" t="n">
        <f aca="false">IF(A376&lt;=0,0,MAX(0,ROUNDUP(LN('3. The decision'!$B$13)/LN(1+A376)-0.000000000001,0)-1))</f>
        <v>2</v>
      </c>
      <c r="I376" s="15" t="n">
        <f aca="false">IF(A376&lt;=0,1/(1-C376),(1+A376)*(1-(C376*(1+A376))^H376)/(1-C376*(1+A376))+'3. The decision'!$B$13*C376^H376/(1-C376))</f>
        <v>2.58868677158311</v>
      </c>
      <c r="J376" s="17" t="n">
        <f aca="false">F376+E376*D376/(1-C376)</f>
        <v>9.47064364866827</v>
      </c>
      <c r="K376" s="15" t="n">
        <f aca="false">F376-G376+E376*D376*I376</f>
        <v>10.4392186741403</v>
      </c>
      <c r="L376" s="17" t="n">
        <f aca="false">'3. The decision'!$B$8*'3. The decision'!$B$5/J376</f>
        <v>49.5890266197524</v>
      </c>
      <c r="M376" s="31" t="n">
        <f aca="false">L376*'3. The decision'!$B$6*'3. The decision'!$B$7*K376</f>
        <v>992904.672350924</v>
      </c>
      <c r="N376" s="31" t="n">
        <f aca="false">M376*(1+'3. The decision'!$B$19+'3. The decision'!$B$20+'3. The decision'!$B$22)</f>
        <v>1098152.56762012</v>
      </c>
      <c r="O376" s="31" t="n">
        <f aca="false">'3. The decision'!$B$17+'3. The decision'!$B$18*L376*12+M376*('3. The decision'!$B$20*(1-'3. The decision'!$B$21)+'3. The decision'!$B$23)+N376*('3. The decision'!$B$24+'3. The decision'!$B$25)</f>
        <v>609882.416423773</v>
      </c>
      <c r="P376" s="31" t="n">
        <f aca="false">N376-O376</f>
        <v>488270.151196349</v>
      </c>
    </row>
    <row r="377" customFormat="false" ht="15" hidden="false" customHeight="false" outlineLevel="0" collapsed="false">
      <c r="A377" s="27" t="n">
        <f aca="false">82*0.0025</f>
        <v>0.205</v>
      </c>
      <c r="B377" s="27" t="n">
        <f aca="false">IF(A377&gt;0,MIN('3. The decision'!$B$15,'3. The decision'!$B$29*(A377/'3. The decision'!$B$28)^$B$292),0)</f>
        <v>0.270506232357603</v>
      </c>
      <c r="C377" s="15" t="n">
        <f aca="false">(1-'3. The decision'!$B$27-B377)*(1-'3. The decision'!$B$27)^('3. The decision'!$B$12-1)</f>
        <v>0.469981818494767</v>
      </c>
      <c r="D377" s="15" t="n">
        <f aca="false">1+(1-'3. The decision'!$B$27-B377)*(1-(1-'3. The decision'!$B$27)^('3. The decision'!$B$12-1))/'3. The decision'!$B$27</f>
        <v>3.90243532552828</v>
      </c>
      <c r="E377" s="15" t="n">
        <f aca="false">(1-'3. The decision'!$B$14)*(1-'3. The decision'!$B$27)^('3. The decision'!$B$11-1)</f>
        <v>0.690273454655712</v>
      </c>
      <c r="F377" s="15" t="n">
        <f aca="false">1+(1-'3. The decision'!$B$14)*(1-(1-'3. The decision'!$B$27)^('3. The decision'!$B$11-1))/'3. The decision'!$B$27</f>
        <v>4.28912098262087</v>
      </c>
      <c r="G377" s="15" t="n">
        <f aca="false">(1-(1-'3. The decision'!$B$9*MIN(1,('3. The decision'!$B$10/(52/12)))))+(1-(1-'3. The decision'!$B$9*MAX(0,MIN(1,('3. The decision'!$B$10/(52/12))-1))))*(1-'3. The decision'!$B$14)+(1-(1-'3. The decision'!$B$9*MAX(0,MIN(1,('3. The decision'!$B$10/(52/12))-2))))*(1-'3. The decision'!$B$14)*(1-'3. The decision'!$B$27)</f>
        <v>0.884576923076923</v>
      </c>
      <c r="H377" s="15" t="n">
        <f aca="false">IF(A377&lt;=0,0,MAX(0,ROUNDUP(LN('3. The decision'!$B$13)/LN(1+A377)-0.000000000001,0)-1))</f>
        <v>2</v>
      </c>
      <c r="I377" s="15" t="n">
        <f aca="false">IF(A377&lt;=0,1/(1-C377),(1+A377)*(1-(C377*(1+A377))^H377)/(1-C377*(1+A377))+'3. The decision'!$B$13*C377^H377/(1-C377))</f>
        <v>2.56255372526262</v>
      </c>
      <c r="J377" s="17" t="n">
        <f aca="false">F377+E377*D377/(1-C377)</f>
        <v>9.37148911209285</v>
      </c>
      <c r="K377" s="15" t="n">
        <f aca="false">F377-G377+E377*D377*I377</f>
        <v>10.3074167857515</v>
      </c>
      <c r="L377" s="17" t="n">
        <f aca="false">'3. The decision'!$B$8*'3. The decision'!$B$5/J377</f>
        <v>50.1137006491298</v>
      </c>
      <c r="M377" s="31" t="n">
        <f aca="false">L377*'3. The decision'!$B$6*'3. The decision'!$B$7*K377</f>
        <v>990741.345941818</v>
      </c>
      <c r="N377" s="31" t="n">
        <f aca="false">M377*(1+'3. The decision'!$B$19+'3. The decision'!$B$20+'3. The decision'!$B$22)</f>
        <v>1095759.92861165</v>
      </c>
      <c r="O377" s="31" t="n">
        <f aca="false">'3. The decision'!$B$17+'3. The decision'!$B$18*L377*12+M377*('3. The decision'!$B$20*(1-'3. The decision'!$B$21)+'3. The decision'!$B$23)+N377*('3. The decision'!$B$24+'3. The decision'!$B$25)</f>
        <v>610444.377322531</v>
      </c>
      <c r="P377" s="31" t="n">
        <f aca="false">N377-O377</f>
        <v>485315.551289119</v>
      </c>
    </row>
    <row r="378" customFormat="false" ht="15" hidden="false" customHeight="false" outlineLevel="0" collapsed="false">
      <c r="A378" s="27" t="n">
        <f aca="false">83*0.0025</f>
        <v>0.2075</v>
      </c>
      <c r="B378" s="27" t="n">
        <f aca="false">IF(A378&gt;0,MIN('3. The decision'!$B$15,'3. The decision'!$B$29*(A378/'3. The decision'!$B$28)^$B$292),0)</f>
        <v>0.278491183963152</v>
      </c>
      <c r="C378" s="15" t="n">
        <f aca="false">(1-'3. The decision'!$B$27-B378)*(1-'3. The decision'!$B$27)^('3. The decision'!$B$12-1)</f>
        <v>0.464321460495455</v>
      </c>
      <c r="D378" s="15" t="n">
        <f aca="false">1+(1-'3. The decision'!$B$27-B378)*(1-(1-'3. The decision'!$B$27)^('3. The decision'!$B$12-1))/'3. The decision'!$B$27</f>
        <v>3.86747903069764</v>
      </c>
      <c r="E378" s="15" t="n">
        <f aca="false">(1-'3. The decision'!$B$14)*(1-'3. The decision'!$B$27)^('3. The decision'!$B$11-1)</f>
        <v>0.690273454655712</v>
      </c>
      <c r="F378" s="15" t="n">
        <f aca="false">1+(1-'3. The decision'!$B$14)*(1-(1-'3. The decision'!$B$27)^('3. The decision'!$B$11-1))/'3. The decision'!$B$27</f>
        <v>4.28912098262087</v>
      </c>
      <c r="G378" s="15" t="n">
        <f aca="false">(1-(1-'3. The decision'!$B$9*MIN(1,('3. The decision'!$B$10/(52/12)))))+(1-(1-'3. The decision'!$B$9*MAX(0,MIN(1,('3. The decision'!$B$10/(52/12))-1))))*(1-'3. The decision'!$B$14)+(1-(1-'3. The decision'!$B$9*MAX(0,MIN(1,('3. The decision'!$B$10/(52/12))-2))))*(1-'3. The decision'!$B$14)*(1-'3. The decision'!$B$27)</f>
        <v>0.884576923076923</v>
      </c>
      <c r="H378" s="15" t="n">
        <f aca="false">IF(A378&lt;=0,0,MAX(0,ROUNDUP(LN('3. The decision'!$B$13)/LN(1+A378)-0.000000000001,0)-1))</f>
        <v>2</v>
      </c>
      <c r="I378" s="15" t="n">
        <f aca="false">IF(A378&lt;=0,1/(1-C378),(1+A378)*(1-(C378*(1+A378))^H378)/(1-C378*(1+A378))+'3. The decision'!$B$13*C378^H378/(1-C378))</f>
        <v>2.53650783515157</v>
      </c>
      <c r="J378" s="17" t="n">
        <f aca="false">F378+E378*D378/(1-C378)</f>
        <v>9.27274066206024</v>
      </c>
      <c r="K378" s="15" t="n">
        <f aca="false">F378-G378+E378*D378*I378</f>
        <v>10.1760513157904</v>
      </c>
      <c r="L378" s="17" t="n">
        <f aca="false">'3. The decision'!$B$8*'3. The decision'!$B$5/J378</f>
        <v>50.6473778482288</v>
      </c>
      <c r="M378" s="31" t="n">
        <f aca="false">L378*'3. The decision'!$B$6*'3. The decision'!$B$7*K378</f>
        <v>988530.855676835</v>
      </c>
      <c r="N378" s="31" t="n">
        <f aca="false">M378*(1+'3. The decision'!$B$19+'3. The decision'!$B$20+'3. The decision'!$B$22)</f>
        <v>1093315.12637858</v>
      </c>
      <c r="O378" s="31" t="n">
        <f aca="false">'3. The decision'!$B$17+'3. The decision'!$B$18*L378*12+M378*('3. The decision'!$B$20*(1-'3. The decision'!$B$21)+'3. The decision'!$B$23)+N378*('3. The decision'!$B$24+'3. The decision'!$B$25)</f>
        <v>611014.90041036</v>
      </c>
      <c r="P378" s="31" t="n">
        <f aca="false">N378-O378</f>
        <v>482300.225968218</v>
      </c>
    </row>
    <row r="379" customFormat="false" ht="15" hidden="false" customHeight="false" outlineLevel="0" collapsed="false">
      <c r="A379" s="27" t="n">
        <f aca="false">84*0.0025</f>
        <v>0.21</v>
      </c>
      <c r="B379" s="27" t="n">
        <f aca="false">IF(A379&gt;0,MIN('3. The decision'!$B$15,'3. The decision'!$B$29*(A379/'3. The decision'!$B$28)^$B$292),0)</f>
        <v>0.286611964812636</v>
      </c>
      <c r="C379" s="15" t="n">
        <f aca="false">(1-'3. The decision'!$B$27-B379)*(1-'3. The decision'!$B$27)^('3. The decision'!$B$12-1)</f>
        <v>0.458564816108269</v>
      </c>
      <c r="D379" s="15" t="n">
        <f aca="false">1+(1-'3. The decision'!$B$27-B379)*(1-(1-'3. The decision'!$B$27)^('3. The decision'!$B$12-1))/'3. The decision'!$B$27</f>
        <v>3.83192810645256</v>
      </c>
      <c r="E379" s="15" t="n">
        <f aca="false">(1-'3. The decision'!$B$14)*(1-'3. The decision'!$B$27)^('3. The decision'!$B$11-1)</f>
        <v>0.690273454655712</v>
      </c>
      <c r="F379" s="15" t="n">
        <f aca="false">1+(1-'3. The decision'!$B$14)*(1-(1-'3. The decision'!$B$27)^('3. The decision'!$B$11-1))/'3. The decision'!$B$27</f>
        <v>4.28912098262087</v>
      </c>
      <c r="G379" s="15" t="n">
        <f aca="false">(1-(1-'3. The decision'!$B$9*MIN(1,('3. The decision'!$B$10/(52/12)))))+(1-(1-'3. The decision'!$B$9*MAX(0,MIN(1,('3. The decision'!$B$10/(52/12))-1))))*(1-'3. The decision'!$B$14)+(1-(1-'3. The decision'!$B$9*MAX(0,MIN(1,('3. The decision'!$B$10/(52/12))-2))))*(1-'3. The decision'!$B$14)*(1-'3. The decision'!$B$27)</f>
        <v>0.884576923076923</v>
      </c>
      <c r="H379" s="15" t="n">
        <f aca="false">IF(A379&lt;=0,0,MAX(0,ROUNDUP(LN('3. The decision'!$B$13)/LN(1+A379)-0.000000000001,0)-1))</f>
        <v>2</v>
      </c>
      <c r="I379" s="15" t="n">
        <f aca="false">IF(A379&lt;=0,1/(1-C379),(1+A379)*(1-(C379*(1+A379))^H379)/(1-C379*(1+A379))+'3. The decision'!$B$13*C379^H379/(1-C379))</f>
        <v>2.51055763602752</v>
      </c>
      <c r="J379" s="17" t="n">
        <f aca="false">F379+E379*D379/(1-C379)</f>
        <v>9.17443012160409</v>
      </c>
      <c r="K379" s="15" t="n">
        <f aca="false">F379-G379+E379*D379*I379</f>
        <v>10.0451654630766</v>
      </c>
      <c r="L379" s="17" t="n">
        <f aca="false">'3. The decision'!$B$8*'3. The decision'!$B$5/J379</f>
        <v>51.1901005048896</v>
      </c>
      <c r="M379" s="31" t="n">
        <f aca="false">L379*'3. The decision'!$B$6*'3. The decision'!$B$7*K379</f>
        <v>986272.792520643</v>
      </c>
      <c r="N379" s="31" t="n">
        <f aca="false">M379*(1+'3. The decision'!$B$19+'3. The decision'!$B$20+'3. The decision'!$B$22)</f>
        <v>1090817.70852783</v>
      </c>
      <c r="O379" s="31" t="n">
        <f aca="false">'3. The decision'!$B$17+'3. The decision'!$B$18*L379*12+M379*('3. The decision'!$B$20*(1-'3. The decision'!$B$21)+'3. The decision'!$B$23)+N379*('3. The decision'!$B$24+'3. The decision'!$B$25)</f>
        <v>611594.005723006</v>
      </c>
      <c r="P379" s="31" t="n">
        <f aca="false">N379-O379</f>
        <v>479223.702804826</v>
      </c>
    </row>
    <row r="380" customFormat="false" ht="15" hidden="false" customHeight="false" outlineLevel="0" collapsed="false">
      <c r="A380" s="27" t="n">
        <f aca="false">85*0.0025</f>
        <v>0.2125</v>
      </c>
      <c r="B380" s="27" t="n">
        <f aca="false">IF(A380&gt;0,MIN('3. The decision'!$B$15,'3. The decision'!$B$29*(A380/'3. The decision'!$B$28)^$B$292),0)</f>
        <v>0.294869227163265</v>
      </c>
      <c r="C380" s="15" t="n">
        <f aca="false">(1-'3. The decision'!$B$27-B380)*(1-'3. The decision'!$B$27)^('3. The decision'!$B$12-1)</f>
        <v>0.452711422962302</v>
      </c>
      <c r="D380" s="15" t="n">
        <f aca="false">1+(1-'3. The decision'!$B$27-B380)*(1-(1-'3. The decision'!$B$27)^('3. The decision'!$B$12-1))/'3. The decision'!$B$27</f>
        <v>3.7957796973599</v>
      </c>
      <c r="E380" s="15" t="n">
        <f aca="false">(1-'3. The decision'!$B$14)*(1-'3. The decision'!$B$27)^('3. The decision'!$B$11-1)</f>
        <v>0.690273454655712</v>
      </c>
      <c r="F380" s="15" t="n">
        <f aca="false">1+(1-'3. The decision'!$B$14)*(1-(1-'3. The decision'!$B$27)^('3. The decision'!$B$11-1))/'3. The decision'!$B$27</f>
        <v>4.28912098262087</v>
      </c>
      <c r="G380" s="15" t="n">
        <f aca="false">(1-(1-'3. The decision'!$B$9*MIN(1,('3. The decision'!$B$10/(52/12)))))+(1-(1-'3. The decision'!$B$9*MAX(0,MIN(1,('3. The decision'!$B$10/(52/12))-1))))*(1-'3. The decision'!$B$14)+(1-(1-'3. The decision'!$B$9*MAX(0,MIN(1,('3. The decision'!$B$10/(52/12))-2))))*(1-'3. The decision'!$B$14)*(1-'3. The decision'!$B$27)</f>
        <v>0.884576923076923</v>
      </c>
      <c r="H380" s="15" t="n">
        <f aca="false">IF(A380&lt;=0,0,MAX(0,ROUNDUP(LN('3. The decision'!$B$13)/LN(1+A380)-0.000000000001,0)-1))</f>
        <v>2</v>
      </c>
      <c r="I380" s="15" t="n">
        <f aca="false">IF(A380&lt;=0,1/(1-C380),(1+A380)*(1-(C380*(1+A380))^H380)/(1-C380*(1+A380))+'3. The decision'!$B$13*C380^H380/(1-C380))</f>
        <v>2.48471118607591</v>
      </c>
      <c r="J380" s="17" t="n">
        <f aca="false">F380+E380*D380/(1-C380)</f>
        <v>9.07658791458308</v>
      </c>
      <c r="K380" s="15" t="n">
        <f aca="false">F380-G380+E380*D380*I380</f>
        <v>9.9148003532319</v>
      </c>
      <c r="L380" s="17" t="n">
        <f aca="false">'3. The decision'!$B$8*'3. The decision'!$B$5/J380</f>
        <v>51.7419105526917</v>
      </c>
      <c r="M380" s="31" t="n">
        <f aca="false">L380*'3. The decision'!$B$6*'3. The decision'!$B$7*K380</f>
        <v>983966.720716978</v>
      </c>
      <c r="N380" s="31" t="n">
        <f aca="false">M380*(1+'3. The decision'!$B$19+'3. The decision'!$B$20+'3. The decision'!$B$22)</f>
        <v>1088267.19311298</v>
      </c>
      <c r="O380" s="31" t="n">
        <f aca="false">'3. The decision'!$B$17+'3. The decision'!$B$18*L380*12+M380*('3. The decision'!$B$20*(1-'3. The decision'!$B$21)+'3. The decision'!$B$23)+N380*('3. The decision'!$B$24+'3. The decision'!$B$25)</f>
        <v>612181.709883672</v>
      </c>
      <c r="P380" s="31" t="n">
        <f aca="false">N380-O380</f>
        <v>476085.483229305</v>
      </c>
    </row>
    <row r="381" customFormat="false" ht="15" hidden="false" customHeight="false" outlineLevel="0" collapsed="false">
      <c r="A381" s="27" t="n">
        <f aca="false">86*0.0025</f>
        <v>0.215</v>
      </c>
      <c r="B381" s="27" t="n">
        <f aca="false">IF(A381&gt;0,MIN('3. The decision'!$B$15,'3. The decision'!$B$29*(A381/'3. The decision'!$B$28)^$B$292),0)</f>
        <v>0.303263618629552</v>
      </c>
      <c r="C381" s="15" t="n">
        <f aca="false">(1-'3. The decision'!$B$27-B381)*(1-'3. The decision'!$B$27)^('3. The decision'!$B$12-1)</f>
        <v>0.446760821977753</v>
      </c>
      <c r="D381" s="15" t="n">
        <f aca="false">1+(1-'3. The decision'!$B$27-B381)*(1-(1-'3. The decision'!$B$27)^('3. The decision'!$B$12-1))/'3. The decision'!$B$27</f>
        <v>3.75903096831121</v>
      </c>
      <c r="E381" s="15" t="n">
        <f aca="false">(1-'3. The decision'!$B$14)*(1-'3. The decision'!$B$27)^('3. The decision'!$B$11-1)</f>
        <v>0.690273454655712</v>
      </c>
      <c r="F381" s="15" t="n">
        <f aca="false">1+(1-'3. The decision'!$B$14)*(1-(1-'3. The decision'!$B$27)^('3. The decision'!$B$11-1))/'3. The decision'!$B$27</f>
        <v>4.28912098262087</v>
      </c>
      <c r="G381" s="15" t="n">
        <f aca="false">(1-(1-'3. The decision'!$B$9*MIN(1,('3. The decision'!$B$10/(52/12)))))+(1-(1-'3. The decision'!$B$9*MAX(0,MIN(1,('3. The decision'!$B$10/(52/12))-1))))*(1-'3. The decision'!$B$14)+(1-(1-'3. The decision'!$B$9*MAX(0,MIN(1,('3. The decision'!$B$10/(52/12))-2))))*(1-'3. The decision'!$B$14)*(1-'3. The decision'!$B$27)</f>
        <v>0.884576923076923</v>
      </c>
      <c r="H381" s="15" t="n">
        <f aca="false">IF(A381&lt;=0,0,MAX(0,ROUNDUP(LN('3. The decision'!$B$13)/LN(1+A381)-0.000000000001,0)-1))</f>
        <v>2</v>
      </c>
      <c r="I381" s="15" t="n">
        <f aca="false">IF(A381&lt;=0,1/(1-C381),(1+A381)*(1-(C381*(1+A381))^H381)/(1-C381*(1+A381))+'3. The decision'!$B$13*C381^H381/(1-C381))</f>
        <v>2.45897607084333</v>
      </c>
      <c r="J381" s="17" t="n">
        <f aca="false">F381+E381*D381/(1-C381)</f>
        <v>8.97924307760679</v>
      </c>
      <c r="K381" s="15" t="n">
        <f aca="false">F381-G381+E381*D381*I381</f>
        <v>9.78499506977845</v>
      </c>
      <c r="L381" s="17" t="n">
        <f aca="false">'3. The decision'!$B$8*'3. The decision'!$B$5/J381</f>
        <v>52.3028495766229</v>
      </c>
      <c r="M381" s="31" t="n">
        <f aca="false">L381*'3. The decision'!$B$6*'3. The decision'!$B$7*K381</f>
        <v>981612.178221705</v>
      </c>
      <c r="N381" s="31" t="n">
        <f aca="false">M381*(1+'3. The decision'!$B$19+'3. The decision'!$B$20+'3. The decision'!$B$22)</f>
        <v>1085663.06911321</v>
      </c>
      <c r="O381" s="31" t="n">
        <f aca="false">'3. The decision'!$B$17+'3. The decision'!$B$18*L381*12+M381*('3. The decision'!$B$20*(1-'3. The decision'!$B$21)+'3. The decision'!$B$23)+N381*('3. The decision'!$B$24+'3. The decision'!$B$25)</f>
        <v>612778.026158225</v>
      </c>
      <c r="P381" s="31" t="n">
        <f aca="false">N381-O381</f>
        <v>472885.042954981</v>
      </c>
    </row>
    <row r="382" customFormat="false" ht="15" hidden="false" customHeight="false" outlineLevel="0" collapsed="false">
      <c r="A382" s="27" t="n">
        <f aca="false">87*0.0025</f>
        <v>0.2175</v>
      </c>
      <c r="B382" s="27" t="n">
        <f aca="false">IF(A382&gt;0,MIN('3. The decision'!$B$15,'3. The decision'!$B$29*(A382/'3. The decision'!$B$28)^$B$292),0)</f>
        <v>0.311795782270405</v>
      </c>
      <c r="C382" s="15" t="n">
        <f aca="false">(1-'3. The decision'!$B$27-B382)*(1-'3. The decision'!$B$27)^('3. The decision'!$B$12-1)</f>
        <v>0.440712557304191</v>
      </c>
      <c r="D382" s="15" t="n">
        <f aca="false">1+(1-'3. The decision'!$B$27-B382)*(1-(1-'3. The decision'!$B$27)^('3. The decision'!$B$12-1))/'3. The decision'!$B$27</f>
        <v>3.72167910414141</v>
      </c>
      <c r="E382" s="15" t="n">
        <f aca="false">(1-'3. The decision'!$B$14)*(1-'3. The decision'!$B$27)^('3. The decision'!$B$11-1)</f>
        <v>0.690273454655712</v>
      </c>
      <c r="F382" s="15" t="n">
        <f aca="false">1+(1-'3. The decision'!$B$14)*(1-(1-'3. The decision'!$B$27)^('3. The decision'!$B$11-1))/'3. The decision'!$B$27</f>
        <v>4.28912098262087</v>
      </c>
      <c r="G382" s="15" t="n">
        <f aca="false">(1-(1-'3. The decision'!$B$9*MIN(1,('3. The decision'!$B$10/(52/12)))))+(1-(1-'3. The decision'!$B$9*MAX(0,MIN(1,('3. The decision'!$B$10/(52/12))-1))))*(1-'3. The decision'!$B$14)+(1-(1-'3. The decision'!$B$9*MAX(0,MIN(1,('3. The decision'!$B$10/(52/12))-2))))*(1-'3. The decision'!$B$14)*(1-'3. The decision'!$B$27)</f>
        <v>0.884576923076923</v>
      </c>
      <c r="H382" s="15" t="n">
        <f aca="false">IF(A382&lt;=0,0,MAX(0,ROUNDUP(LN('3. The decision'!$B$13)/LN(1+A382)-0.000000000001,0)-1))</f>
        <v>2</v>
      </c>
      <c r="I382" s="15" t="n">
        <f aca="false">IF(A382&lt;=0,1/(1-C382),(1+A382)*(1-(C382*(1+A382))^H382)/(1-C382*(1+A382))+'3. The decision'!$B$13*C382^H382/(1-C382))</f>
        <v>2.43335940800839</v>
      </c>
      <c r="J382" s="17" t="n">
        <f aca="false">F382+E382*D382/(1-C382)</f>
        <v>8.88242327446745</v>
      </c>
      <c r="K382" s="15" t="n">
        <f aca="false">F382-G382+E382*D382*I382</f>
        <v>9.65578668944945</v>
      </c>
      <c r="L382" s="17" t="n">
        <f aca="false">'3. The decision'!$B$8*'3. The decision'!$B$5/J382</f>
        <v>52.8729588185672</v>
      </c>
      <c r="M382" s="31" t="n">
        <f aca="false">L382*'3. The decision'!$B$6*'3. The decision'!$B$7*K382</f>
        <v>979208.677272377</v>
      </c>
      <c r="N382" s="31" t="n">
        <f aca="false">M382*(1+'3. The decision'!$B$19+'3. The decision'!$B$20+'3. The decision'!$B$22)</f>
        <v>1083004.79706325</v>
      </c>
      <c r="O382" s="31" t="n">
        <f aca="false">'3. The decision'!$B$17+'3. The decision'!$B$18*L382*12+M382*('3. The decision'!$B$20*(1-'3. The decision'!$B$21)+'3. The decision'!$B$23)+N382*('3. The decision'!$B$24+'3. The decision'!$B$25)</f>
        <v>613382.964524798</v>
      </c>
      <c r="P382" s="31" t="n">
        <f aca="false">N382-O382</f>
        <v>469621.832538451</v>
      </c>
    </row>
    <row r="383" customFormat="false" ht="15" hidden="false" customHeight="false" outlineLevel="0" collapsed="false">
      <c r="A383" s="27" t="n">
        <f aca="false">88*0.0025</f>
        <v>0.22</v>
      </c>
      <c r="B383" s="27" t="n">
        <f aca="false">IF(A383&gt;0,MIN('3. The decision'!$B$15,'3. The decision'!$B$29*(A383/'3. The decision'!$B$28)^$B$292),0)</f>
        <v>0.320466356673598</v>
      </c>
      <c r="C383" s="15" t="n">
        <f aca="false">(1-'3. The decision'!$B$27-B383)*(1-'3. The decision'!$B$27)^('3. The decision'!$B$12-1)</f>
        <v>0.434566176260675</v>
      </c>
      <c r="D383" s="15" t="n">
        <f aca="false">1+(1-'3. The decision'!$B$27-B383)*(1-(1-'3. The decision'!$B$27)^('3. The decision'!$B$12-1))/'3. The decision'!$B$27</f>
        <v>3.68372130925906</v>
      </c>
      <c r="E383" s="15" t="n">
        <f aca="false">(1-'3. The decision'!$B$14)*(1-'3. The decision'!$B$27)^('3. The decision'!$B$11-1)</f>
        <v>0.690273454655712</v>
      </c>
      <c r="F383" s="15" t="n">
        <f aca="false">1+(1-'3. The decision'!$B$14)*(1-(1-'3. The decision'!$B$27)^('3. The decision'!$B$11-1))/'3. The decision'!$B$27</f>
        <v>4.28912098262087</v>
      </c>
      <c r="G383" s="15" t="n">
        <f aca="false">(1-(1-'3. The decision'!$B$9*MIN(1,('3. The decision'!$B$10/(52/12)))))+(1-(1-'3. The decision'!$B$9*MAX(0,MIN(1,('3. The decision'!$B$10/(52/12))-1))))*(1-'3. The decision'!$B$14)+(1-(1-'3. The decision'!$B$9*MAX(0,MIN(1,('3. The decision'!$B$10/(52/12))-2))))*(1-'3. The decision'!$B$14)*(1-'3. The decision'!$B$27)</f>
        <v>0.884576923076923</v>
      </c>
      <c r="H383" s="15" t="n">
        <f aca="false">IF(A383&lt;=0,0,MAX(0,ROUNDUP(LN('3. The decision'!$B$13)/LN(1+A383)-0.000000000001,0)-1))</f>
        <v>2</v>
      </c>
      <c r="I383" s="15" t="n">
        <f aca="false">IF(A383&lt;=0,1/(1-C383),(1+A383)*(1-(C383*(1+A383))^H383)/(1-C383*(1+A383))+'3. The decision'!$B$13*C383^H383/(1-C383))</f>
        <v>2.40786785290721</v>
      </c>
      <c r="J383" s="17" t="n">
        <f aca="false">F383+E383*D383/(1-C383)</f>
        <v>8.78615481288458</v>
      </c>
      <c r="K383" s="15" t="n">
        <f aca="false">F383-G383+E383*D383*I383</f>
        <v>9.52721032140328</v>
      </c>
      <c r="L383" s="17" t="n">
        <f aca="false">'3. The decision'!$B$8*'3. The decision'!$B$5/J383</f>
        <v>53.4522791826169</v>
      </c>
      <c r="M383" s="31" t="n">
        <f aca="false">L383*'3. The decision'!$B$6*'3. The decision'!$B$7*K383</f>
        <v>976755.705100508</v>
      </c>
      <c r="N383" s="31" t="n">
        <f aca="false">M383*(1+'3. The decision'!$B$19+'3. The decision'!$B$20+'3. The decision'!$B$22)</f>
        <v>1080291.80984116</v>
      </c>
      <c r="O383" s="31" t="n">
        <f aca="false">'3. The decision'!$B$17+'3. The decision'!$B$18*L383*12+M383*('3. The decision'!$B$20*(1-'3. The decision'!$B$21)+'3. The decision'!$B$23)+N383*('3. The decision'!$B$24+'3. The decision'!$B$25)</f>
        <v>613996.531758502</v>
      </c>
      <c r="P383" s="31" t="n">
        <f aca="false">N383-O383</f>
        <v>466295.27808266</v>
      </c>
    </row>
    <row r="384" customFormat="false" ht="15" hidden="false" customHeight="false" outlineLevel="0" collapsed="false">
      <c r="A384" s="27" t="n">
        <f aca="false">89*0.0025</f>
        <v>0.2225</v>
      </c>
      <c r="B384" s="27" t="n">
        <f aca="false">IF(A384&gt;0,MIN('3. The decision'!$B$15,'3. The decision'!$B$29*(A384/'3. The decision'!$B$28)^$B$292),0)</f>
        <v>0.329275976037725</v>
      </c>
      <c r="C384" s="15" t="n">
        <f aca="false">(1-'3. The decision'!$B$27-B384)*(1-'3. The decision'!$B$27)^('3. The decision'!$B$12-1)</f>
        <v>0.428321229277655</v>
      </c>
      <c r="D384" s="15" t="n">
        <f aca="false">1+(1-'3. The decision'!$B$27-B384)*(1-(1-'3. The decision'!$B$27)^('3. The decision'!$B$12-1))/'3. The decision'!$B$27</f>
        <v>3.64515480728752</v>
      </c>
      <c r="E384" s="15" t="n">
        <f aca="false">(1-'3. The decision'!$B$14)*(1-'3. The decision'!$B$27)^('3. The decision'!$B$11-1)</f>
        <v>0.690273454655712</v>
      </c>
      <c r="F384" s="15" t="n">
        <f aca="false">1+(1-'3. The decision'!$B$14)*(1-(1-'3. The decision'!$B$27)^('3. The decision'!$B$11-1))/'3. The decision'!$B$27</f>
        <v>4.28912098262087</v>
      </c>
      <c r="G384" s="15" t="n">
        <f aca="false">(1-(1-'3. The decision'!$B$9*MIN(1,('3. The decision'!$B$10/(52/12)))))+(1-(1-'3. The decision'!$B$9*MAX(0,MIN(1,('3. The decision'!$B$10/(52/12))-1))))*(1-'3. The decision'!$B$14)+(1-(1-'3. The decision'!$B$9*MAX(0,MIN(1,('3. The decision'!$B$10/(52/12))-2))))*(1-'3. The decision'!$B$14)*(1-'3. The decision'!$B$27)</f>
        <v>0.884576923076923</v>
      </c>
      <c r="H384" s="15" t="n">
        <f aca="false">IF(A384&lt;=0,0,MAX(0,ROUNDUP(LN('3. The decision'!$B$13)/LN(1+A384)-0.000000000001,0)-1))</f>
        <v>2</v>
      </c>
      <c r="I384" s="15" t="n">
        <f aca="false">IF(A384&lt;=0,1/(1-C384),(1+A384)*(1-(C384*(1+A384))^H384)/(1-C384*(1+A384))+'3. The decision'!$B$13*C384^H384/(1-C384))</f>
        <v>2.38250760475145</v>
      </c>
      <c r="J384" s="17" t="n">
        <f aca="false">F384+E384*D384/(1-C384)</f>
        <v>8.69046266337271</v>
      </c>
      <c r="K384" s="15" t="n">
        <f aca="false">F384-G384+E384*D384*I384</f>
        <v>9.39929915003399</v>
      </c>
      <c r="L384" s="17" t="n">
        <f aca="false">'3. The decision'!$B$8*'3. The decision'!$B$5/J384</f>
        <v>54.0408512402188</v>
      </c>
      <c r="M384" s="31" t="n">
        <f aca="false">L384*'3. The decision'!$B$6*'3. The decision'!$B$7*K384</f>
        <v>974252.724792949</v>
      </c>
      <c r="N384" s="31" t="n">
        <f aca="false">M384*(1+'3. The decision'!$B$19+'3. The decision'!$B$20+'3. The decision'!$B$22)</f>
        <v>1077523.513621</v>
      </c>
      <c r="O384" s="31" t="n">
        <f aca="false">'3. The decision'!$B$17+'3. The decision'!$B$18*L384*12+M384*('3. The decision'!$B$20*(1-'3. The decision'!$B$21)+'3. The decision'!$B$23)+N384*('3. The decision'!$B$24+'3. The decision'!$B$25)</f>
        <v>614618.731531929</v>
      </c>
      <c r="P384" s="31" t="n">
        <f aca="false">N384-O384</f>
        <v>462904.782089073</v>
      </c>
    </row>
    <row r="385" customFormat="false" ht="15" hidden="false" customHeight="false" outlineLevel="0" collapsed="false">
      <c r="A385" s="27" t="n">
        <f aca="false">90*0.0025</f>
        <v>0.225</v>
      </c>
      <c r="B385" s="27" t="n">
        <f aca="false">IF(A385&gt;0,MIN('3. The decision'!$B$15,'3. The decision'!$B$29*(A385/'3. The decision'!$B$28)^$B$292),0)</f>
        <v>0.338225270251736</v>
      </c>
      <c r="C385" s="15" t="n">
        <f aca="false">(1-'3. The decision'!$B$27-B385)*(1-'3. The decision'!$B$27)^('3. The decision'!$B$12-1)</f>
        <v>0.421977269840597</v>
      </c>
      <c r="D385" s="15" t="n">
        <f aca="false">1+(1-'3. The decision'!$B$27-B385)*(1-(1-'3. The decision'!$B$27)^('3. The decision'!$B$12-1))/'3. The decision'!$B$27</f>
        <v>3.60597684071679</v>
      </c>
      <c r="E385" s="15" t="n">
        <f aca="false">(1-'3. The decision'!$B$14)*(1-'3. The decision'!$B$27)^('3. The decision'!$B$11-1)</f>
        <v>0.690273454655712</v>
      </c>
      <c r="F385" s="15" t="n">
        <f aca="false">1+(1-'3. The decision'!$B$14)*(1-(1-'3. The decision'!$B$27)^('3. The decision'!$B$11-1))/'3. The decision'!$B$27</f>
        <v>4.28912098262087</v>
      </c>
      <c r="G385" s="15" t="n">
        <f aca="false">(1-(1-'3. The decision'!$B$9*MIN(1,('3. The decision'!$B$10/(52/12)))))+(1-(1-'3. The decision'!$B$9*MAX(0,MIN(1,('3. The decision'!$B$10/(52/12))-1))))*(1-'3. The decision'!$B$14)+(1-(1-'3. The decision'!$B$9*MAX(0,MIN(1,('3. The decision'!$B$10/(52/12))-2))))*(1-'3. The decision'!$B$14)*(1-'3. The decision'!$B$27)</f>
        <v>0.884576923076923</v>
      </c>
      <c r="H385" s="15" t="n">
        <f aca="false">IF(A385&lt;=0,0,MAX(0,ROUNDUP(LN('3. The decision'!$B$13)/LN(1+A385)-0.000000000001,0)-1))</f>
        <v>2</v>
      </c>
      <c r="I385" s="15" t="n">
        <f aca="false">IF(A385&lt;=0,1/(1-C385),(1+A385)*(1-(C385*(1+A385))^H385)/(1-C385*(1+A385))+'3. The decision'!$B$13*C385^H385/(1-C385))</f>
        <v>2.3572844134786</v>
      </c>
      <c r="J385" s="17" t="n">
        <f aca="false">F385+E385*D385/(1-C385)</f>
        <v>8.59537048004746</v>
      </c>
      <c r="K385" s="15" t="n">
        <f aca="false">F385-G385+E385*D385*I385</f>
        <v>9.27208448108003</v>
      </c>
      <c r="L385" s="17" t="n">
        <f aca="false">'3. The decision'!$B$8*'3. The decision'!$B$5/J385</f>
        <v>54.6387152351584</v>
      </c>
      <c r="M385" s="31" t="n">
        <f aca="false">L385*'3. The decision'!$B$6*'3. The decision'!$B$7*K385</f>
        <v>971699.176308833</v>
      </c>
      <c r="N385" s="31" t="n">
        <f aca="false">M385*(1+'3. The decision'!$B$19+'3. The decision'!$B$20+'3. The decision'!$B$22)</f>
        <v>1074699.28899757</v>
      </c>
      <c r="O385" s="31" t="n">
        <f aca="false">'3. The decision'!$B$17+'3. The decision'!$B$18*L385*12+M385*('3. The decision'!$B$20*(1-'3. The decision'!$B$21)+'3. The decision'!$B$23)+N385*('3. The decision'!$B$24+'3. The decision'!$B$25)</f>
        <v>615249.564532151</v>
      </c>
      <c r="P385" s="31" t="n">
        <f aca="false">N385-O385</f>
        <v>459449.724465418</v>
      </c>
    </row>
    <row r="386" customFormat="false" ht="15" hidden="false" customHeight="false" outlineLevel="0" collapsed="false">
      <c r="A386" s="27" t="n">
        <f aca="false">91*0.0025</f>
        <v>0.2275</v>
      </c>
      <c r="B386" s="27" t="n">
        <f aca="false">IF(A386&gt;0,MIN('3. The decision'!$B$15,'3. The decision'!$B$29*(A386/'3. The decision'!$B$28)^$B$292),0)</f>
        <v>0.347314864972165</v>
      </c>
      <c r="C386" s="15" t="n">
        <f aca="false">(1-'3. The decision'!$B$27-B386)*(1-'3. The decision'!$B$27)^('3. The decision'!$B$12-1)</f>
        <v>0.415533854435233</v>
      </c>
      <c r="D386" s="15" t="n">
        <f aca="false">1+(1-'3. The decision'!$B$27-B386)*(1-(1-'3. The decision'!$B$27)^('3. The decision'!$B$12-1))/'3. The decision'!$B$27</f>
        <v>3.56618467056545</v>
      </c>
      <c r="E386" s="15" t="n">
        <f aca="false">(1-'3. The decision'!$B$14)*(1-'3. The decision'!$B$27)^('3. The decision'!$B$11-1)</f>
        <v>0.690273454655712</v>
      </c>
      <c r="F386" s="15" t="n">
        <f aca="false">1+(1-'3. The decision'!$B$14)*(1-(1-'3. The decision'!$B$27)^('3. The decision'!$B$11-1))/'3. The decision'!$B$27</f>
        <v>4.28912098262087</v>
      </c>
      <c r="G386" s="15" t="n">
        <f aca="false">(1-(1-'3. The decision'!$B$9*MIN(1,('3. The decision'!$B$10/(52/12)))))+(1-(1-'3. The decision'!$B$9*MAX(0,MIN(1,('3. The decision'!$B$10/(52/12))-1))))*(1-'3. The decision'!$B$14)+(1-(1-'3. The decision'!$B$9*MAX(0,MIN(1,('3. The decision'!$B$10/(52/12))-2))))*(1-'3. The decision'!$B$14)*(1-'3. The decision'!$B$27)</f>
        <v>0.884576923076923</v>
      </c>
      <c r="H386" s="15" t="n">
        <f aca="false">IF(A386&lt;=0,0,MAX(0,ROUNDUP(LN('3. The decision'!$B$13)/LN(1+A386)-0.000000000001,0)-1))</f>
        <v>2</v>
      </c>
      <c r="I386" s="15" t="n">
        <f aca="false">IF(A386&lt;=0,1/(1-C386),(1+A386)*(1-(C386*(1+A386))^H386)/(1-C386*(1+A386))+'3. The decision'!$B$13*C386^H386/(1-C386))</f>
        <v>2.33220358717555</v>
      </c>
      <c r="J386" s="17" t="n">
        <f aca="false">F386+E386*D386/(1-C386)</f>
        <v>8.50090062318976</v>
      </c>
      <c r="K386" s="15" t="n">
        <f aca="false">F386-G386+E386*D386*I386</f>
        <v>9.14559579074071</v>
      </c>
      <c r="L386" s="17" t="n">
        <f aca="false">'3. The decision'!$B$8*'3. The decision'!$B$5/J386</f>
        <v>55.2459110883923</v>
      </c>
      <c r="M386" s="31" t="n">
        <f aca="false">L386*'3. The decision'!$B$6*'3. The decision'!$B$7*K386</f>
        <v>969094.477658751</v>
      </c>
      <c r="N386" s="31" t="n">
        <f aca="false">M386*(1+'3. The decision'!$B$19+'3. The decision'!$B$20+'3. The decision'!$B$22)</f>
        <v>1071818.49229058</v>
      </c>
      <c r="O386" s="31" t="n">
        <f aca="false">'3. The decision'!$B$17+'3. The decision'!$B$18*L386*12+M386*('3. The decision'!$B$20*(1-'3. The decision'!$B$21)+'3. The decision'!$B$23)+N386*('3. The decision'!$B$24+'3. The decision'!$B$25)</f>
        <v>615889.028594953</v>
      </c>
      <c r="P386" s="31" t="n">
        <f aca="false">N386-O386</f>
        <v>455929.463695626</v>
      </c>
    </row>
    <row r="387" customFormat="false" ht="15" hidden="false" customHeight="false" outlineLevel="0" collapsed="false">
      <c r="A387" s="27" t="n">
        <f aca="false">92*0.0025</f>
        <v>0.23</v>
      </c>
      <c r="B387" s="27" t="n">
        <f aca="false">IF(A387&gt;0,MIN('3. The decision'!$B$15,'3. The decision'!$B$29*(A387/'3. The decision'!$B$28)^$B$292),0)</f>
        <v>0.356545381698125</v>
      </c>
      <c r="C387" s="15" t="n">
        <f aca="false">(1-'3. The decision'!$B$27-B387)*(1-'3. The decision'!$B$27)^('3. The decision'!$B$12-1)</f>
        <v>0.408990542494398</v>
      </c>
      <c r="D387" s="15" t="n">
        <f aca="false">1+(1-'3. The decision'!$B$27-B387)*(1-(1-'3. The decision'!$B$27)^('3. The decision'!$B$12-1))/'3. The decision'!$B$27</f>
        <v>3.52577557605227</v>
      </c>
      <c r="E387" s="15" t="n">
        <f aca="false">(1-'3. The decision'!$B$14)*(1-'3. The decision'!$B$27)^('3. The decision'!$B$11-1)</f>
        <v>0.690273454655712</v>
      </c>
      <c r="F387" s="15" t="n">
        <f aca="false">1+(1-'3. The decision'!$B$14)*(1-(1-'3. The decision'!$B$27)^('3. The decision'!$B$11-1))/'3. The decision'!$B$27</f>
        <v>4.28912098262087</v>
      </c>
      <c r="G387" s="15" t="n">
        <f aca="false">(1-(1-'3. The decision'!$B$9*MIN(1,('3. The decision'!$B$10/(52/12)))))+(1-(1-'3. The decision'!$B$9*MAX(0,MIN(1,('3. The decision'!$B$10/(52/12))-1))))*(1-'3. The decision'!$B$14)+(1-(1-'3. The decision'!$B$9*MAX(0,MIN(1,('3. The decision'!$B$10/(52/12))-2))))*(1-'3. The decision'!$B$14)*(1-'3. The decision'!$B$27)</f>
        <v>0.884576923076923</v>
      </c>
      <c r="H387" s="15" t="n">
        <f aca="false">IF(A387&lt;=0,0,MAX(0,ROUNDUP(LN('3. The decision'!$B$13)/LN(1+A387)-0.000000000001,0)-1))</f>
        <v>2</v>
      </c>
      <c r="I387" s="15" t="n">
        <f aca="false">IF(A387&lt;=0,1/(1-C387),(1+A387)*(1-(C387*(1+A387))^H387)/(1-C387*(1+A387))+'3. The decision'!$B$13*C387^H387/(1-C387))</f>
        <v>2.30727000001867</v>
      </c>
      <c r="J387" s="17" t="n">
        <f aca="false">F387+E387*D387/(1-C387)</f>
        <v>8.40707418339392</v>
      </c>
      <c r="K387" s="15" t="n">
        <f aca="false">F387-G387+E387*D387*I387</f>
        <v>9.01986077751888</v>
      </c>
      <c r="L387" s="17" t="n">
        <f aca="false">'3. The decision'!$B$8*'3. The decision'!$B$5/J387</f>
        <v>55.862478402731</v>
      </c>
      <c r="M387" s="31" t="n">
        <f aca="false">L387*'3. The decision'!$B$6*'3. The decision'!$B$7*K387</f>
        <v>966438.026252909</v>
      </c>
      <c r="N387" s="31" t="n">
        <f aca="false">M387*(1+'3. The decision'!$B$19+'3. The decision'!$B$20+'3. The decision'!$B$22)</f>
        <v>1068880.45703572</v>
      </c>
      <c r="O387" s="31" t="n">
        <f aca="false">'3. The decision'!$B$17+'3. The decision'!$B$18*L387*12+M387*('3. The decision'!$B$20*(1-'3. The decision'!$B$21)+'3. The decision'!$B$23)+N387*('3. The decision'!$B$24+'3. The decision'!$B$25)</f>
        <v>616537.118857026</v>
      </c>
      <c r="P387" s="31" t="n">
        <f aca="false">N387-O387</f>
        <v>452343.338178692</v>
      </c>
    </row>
    <row r="388" customFormat="false" ht="15" hidden="false" customHeight="false" outlineLevel="0" collapsed="false">
      <c r="A388" s="27" t="n">
        <f aca="false">93*0.0025</f>
        <v>0.2325</v>
      </c>
      <c r="B388" s="27" t="n">
        <f aca="false">IF(A388&gt;0,MIN('3. The decision'!$B$15,'3. The decision'!$B$29*(A388/'3. The decision'!$B$28)^$B$292),0)</f>
        <v>0.365917437844179</v>
      </c>
      <c r="C388" s="15" t="n">
        <f aca="false">(1-'3. The decision'!$B$27-B388)*(1-'3. The decision'!$B$27)^('3. The decision'!$B$12-1)</f>
        <v>0.402346896346381</v>
      </c>
      <c r="D388" s="15" t="n">
        <f aca="false">1+(1-'3. The decision'!$B$27-B388)*(1-(1-'3. The decision'!$B$27)^('3. The decision'!$B$12-1))/'3. The decision'!$B$27</f>
        <v>3.4847468542773</v>
      </c>
      <c r="E388" s="15" t="n">
        <f aca="false">(1-'3. The decision'!$B$14)*(1-'3. The decision'!$B$27)^('3. The decision'!$B$11-1)</f>
        <v>0.690273454655712</v>
      </c>
      <c r="F388" s="15" t="n">
        <f aca="false">1+(1-'3. The decision'!$B$14)*(1-(1-'3. The decision'!$B$27)^('3. The decision'!$B$11-1))/'3. The decision'!$B$27</f>
        <v>4.28912098262087</v>
      </c>
      <c r="G388" s="15" t="n">
        <f aca="false">(1-(1-'3. The decision'!$B$9*MIN(1,('3. The decision'!$B$10/(52/12)))))+(1-(1-'3. The decision'!$B$9*MAX(0,MIN(1,('3. The decision'!$B$10/(52/12))-1))))*(1-'3. The decision'!$B$14)+(1-(1-'3. The decision'!$B$9*MAX(0,MIN(1,('3. The decision'!$B$10/(52/12))-2))))*(1-'3. The decision'!$B$14)*(1-'3. The decision'!$B$27)</f>
        <v>0.884576923076923</v>
      </c>
      <c r="H388" s="15" t="n">
        <f aca="false">IF(A388&lt;=0,0,MAX(0,ROUNDUP(LN('3. The decision'!$B$13)/LN(1+A388)-0.000000000001,0)-1))</f>
        <v>2</v>
      </c>
      <c r="I388" s="15" t="n">
        <f aca="false">IF(A388&lt;=0,1/(1-C388),(1+A388)*(1-(C388*(1+A388))^H388)/(1-C388*(1+A388))+'3. The decision'!$B$13*C388^H388/(1-C388))</f>
        <v>2.28248810067515</v>
      </c>
      <c r="J388" s="17" t="n">
        <f aca="false">F388+E388*D388/(1-C388)</f>
        <v>8.31391100713102</v>
      </c>
      <c r="K388" s="15" t="n">
        <f aca="false">F388-G388+E388*D388*I388</f>
        <v>8.89490541651802</v>
      </c>
      <c r="L388" s="17" t="n">
        <f aca="false">'3. The decision'!$B$8*'3. The decision'!$B$5/J388</f>
        <v>56.488456467381</v>
      </c>
      <c r="M388" s="31" t="n">
        <f aca="false">L388*'3. The decision'!$B$6*'3. The decision'!$B$7*K388</f>
        <v>963729.200425159</v>
      </c>
      <c r="N388" s="31" t="n">
        <f aca="false">M388*(1+'3. The decision'!$B$19+'3. The decision'!$B$20+'3. The decision'!$B$22)</f>
        <v>1065884.49567023</v>
      </c>
      <c r="O388" s="31" t="n">
        <f aca="false">'3. The decision'!$B$17+'3. The decision'!$B$18*L388*12+M388*('3. The decision'!$B$20*(1-'3. The decision'!$B$21)+'3. The decision'!$B$23)+N388*('3. The decision'!$B$24+'3. The decision'!$B$25)</f>
        <v>617193.82792687</v>
      </c>
      <c r="P388" s="31" t="n">
        <f aca="false">N388-O388</f>
        <v>448690.667743355</v>
      </c>
    </row>
    <row r="389" customFormat="false" ht="15" hidden="false" customHeight="false" outlineLevel="0" collapsed="false">
      <c r="A389" s="27" t="n">
        <f aca="false">94*0.0025</f>
        <v>0.235</v>
      </c>
      <c r="B389" s="27" t="n">
        <f aca="false">IF(A389&gt;0,MIN('3. The decision'!$B$15,'3. The decision'!$B$29*(A389/'3. The decision'!$B$28)^$B$292),0)</f>
        <v>0.375431646811142</v>
      </c>
      <c r="C389" s="15" t="n">
        <f aca="false">(1-'3. The decision'!$B$27-B389)*(1-'3. The decision'!$B$27)^('3. The decision'!$B$12-1)</f>
        <v>0.395602481164722</v>
      </c>
      <c r="D389" s="15" t="n">
        <f aca="false">1+(1-'3. The decision'!$B$27-B389)*(1-(1-'3. The decision'!$B$27)^('3. The decision'!$B$12-1))/'3. The decision'!$B$27</f>
        <v>3.44309581991182</v>
      </c>
      <c r="E389" s="15" t="n">
        <f aca="false">(1-'3. The decision'!$B$14)*(1-'3. The decision'!$B$27)^('3. The decision'!$B$11-1)</f>
        <v>0.690273454655712</v>
      </c>
      <c r="F389" s="15" t="n">
        <f aca="false">1+(1-'3. The decision'!$B$14)*(1-(1-'3. The decision'!$B$27)^('3. The decision'!$B$11-1))/'3. The decision'!$B$27</f>
        <v>4.28912098262087</v>
      </c>
      <c r="G389" s="15" t="n">
        <f aca="false">(1-(1-'3. The decision'!$B$9*MIN(1,('3. The decision'!$B$10/(52/12)))))+(1-(1-'3. The decision'!$B$9*MAX(0,MIN(1,('3. The decision'!$B$10/(52/12))-1))))*(1-'3. The decision'!$B$14)+(1-(1-'3. The decision'!$B$9*MAX(0,MIN(1,('3. The decision'!$B$10/(52/12))-2))))*(1-'3. The decision'!$B$14)*(1-'3. The decision'!$B$27)</f>
        <v>0.884576923076923</v>
      </c>
      <c r="H389" s="15" t="n">
        <f aca="false">IF(A389&lt;=0,0,MAX(0,ROUNDUP(LN('3. The decision'!$B$13)/LN(1+A389)-0.000000000001,0)-1))</f>
        <v>2</v>
      </c>
      <c r="I389" s="15" t="n">
        <f aca="false">IF(A389&lt;=0,1/(1-C389),(1+A389)*(1-(C389*(1+A389))^H389)/(1-C389*(1+A389))+'3. The decision'!$B$13*C389^H389/(1-C389))</f>
        <v>2.25786192111272</v>
      </c>
      <c r="J389" s="17" t="n">
        <f aca="false">F389+E389*D389/(1-C389)</f>
        <v>8.22142972356545</v>
      </c>
      <c r="K389" s="15" t="n">
        <f aca="false">F389-G389+E389*D389*I389</f>
        <v>8.77075401593234</v>
      </c>
      <c r="L389" s="17" t="n">
        <f aca="false">'3. The decision'!$B$8*'3. The decision'!$B$5/J389</f>
        <v>57.1238842623504</v>
      </c>
      <c r="M389" s="31" t="n">
        <f aca="false">L389*'3. The decision'!$B$6*'3. The decision'!$B$7*K389</f>
        <v>960967.361139946</v>
      </c>
      <c r="N389" s="31" t="n">
        <f aca="false">M389*(1+'3. The decision'!$B$19+'3. The decision'!$B$20+'3. The decision'!$B$22)</f>
        <v>1062829.90142078</v>
      </c>
      <c r="O389" s="31" t="n">
        <f aca="false">'3. The decision'!$B$17+'3. The decision'!$B$18*L389*12+M389*('3. The decision'!$B$20*(1-'3. The decision'!$B$21)+'3. The decision'!$B$23)+N389*('3. The decision'!$B$24+'3. The decision'!$B$25)</f>
        <v>617859.146075186</v>
      </c>
      <c r="P389" s="31" t="n">
        <f aca="false">N389-O389</f>
        <v>444970.755345594</v>
      </c>
    </row>
    <row r="390" customFormat="false" ht="15" hidden="false" customHeight="false" outlineLevel="0" collapsed="false">
      <c r="A390" s="27" t="n">
        <f aca="false">95*0.0025</f>
        <v>0.2375</v>
      </c>
      <c r="B390" s="27" t="n">
        <f aca="false">IF(A390&gt;0,MIN('3. The decision'!$B$15,'3. The decision'!$B$29*(A390/'3. The decision'!$B$28)^$B$292),0)</f>
        <v>0.385088618054926</v>
      </c>
      <c r="C390" s="15" t="n">
        <f aca="false">(1-'3. The decision'!$B$27-B390)*(1-'3. The decision'!$B$27)^('3. The decision'!$B$12-1)</f>
        <v>0.388756864919422</v>
      </c>
      <c r="D390" s="15" t="n">
        <f aca="false">1+(1-'3. The decision'!$B$27-B390)*(1-(1-'3. The decision'!$B$27)^('3. The decision'!$B$12-1))/'3. The decision'!$B$27</f>
        <v>3.40081980489702</v>
      </c>
      <c r="E390" s="15" t="n">
        <f aca="false">(1-'3. The decision'!$B$14)*(1-'3. The decision'!$B$27)^('3. The decision'!$B$11-1)</f>
        <v>0.690273454655712</v>
      </c>
      <c r="F390" s="15" t="n">
        <f aca="false">1+(1-'3. The decision'!$B$14)*(1-(1-'3. The decision'!$B$27)^('3. The decision'!$B$11-1))/'3. The decision'!$B$27</f>
        <v>4.28912098262087</v>
      </c>
      <c r="G390" s="15" t="n">
        <f aca="false">(1-(1-'3. The decision'!$B$9*MIN(1,('3. The decision'!$B$10/(52/12)))))+(1-(1-'3. The decision'!$B$9*MAX(0,MIN(1,('3. The decision'!$B$10/(52/12))-1))))*(1-'3. The decision'!$B$14)+(1-(1-'3. The decision'!$B$9*MAX(0,MIN(1,('3. The decision'!$B$10/(52/12))-2))))*(1-'3. The decision'!$B$14)*(1-'3. The decision'!$B$27)</f>
        <v>0.884576923076923</v>
      </c>
      <c r="H390" s="15" t="n">
        <f aca="false">IF(A390&lt;=0,0,MAX(0,ROUNDUP(LN('3. The decision'!$B$13)/LN(1+A390)-0.000000000001,0)-1))</f>
        <v>2</v>
      </c>
      <c r="I390" s="15" t="n">
        <f aca="false">IF(A390&lt;=0,1/(1-C390),(1+A390)*(1-(C390*(1+A390))^H390)/(1-C390*(1+A390))+'3. The decision'!$B$13*C390^H390/(1-C390))</f>
        <v>2.23339508576703</v>
      </c>
      <c r="J390" s="17" t="n">
        <f aca="false">F390+E390*D390/(1-C390)</f>
        <v>8.12964777246919</v>
      </c>
      <c r="K390" s="15" t="n">
        <f aca="false">F390-G390+E390*D390*I390</f>
        <v>8.64742927547869</v>
      </c>
      <c r="L390" s="17" t="n">
        <f aca="false">'3. The decision'!$B$8*'3. The decision'!$B$5/J390</f>
        <v>57.7688004627239</v>
      </c>
      <c r="M390" s="31" t="n">
        <f aca="false">L390*'3. The decision'!$B$6*'3. The decision'!$B$7*K390</f>
        <v>958151.853889345</v>
      </c>
      <c r="N390" s="31" t="n">
        <f aca="false">M390*(1+'3. The decision'!$B$19+'3. The decision'!$B$20+'3. The decision'!$B$22)</f>
        <v>1059715.95040162</v>
      </c>
      <c r="O390" s="31" t="n">
        <f aca="false">'3. The decision'!$B$17+'3. The decision'!$B$18*L390*12+M390*('3. The decision'!$B$20*(1-'3. The decision'!$B$21)+'3. The decision'!$B$23)+N390*('3. The decision'!$B$24+'3. The decision'!$B$25)</f>
        <v>618533.061445521</v>
      </c>
      <c r="P390" s="31" t="n">
        <f aca="false">N390-O390</f>
        <v>441182.888956094</v>
      </c>
    </row>
    <row r="391" customFormat="false" ht="15" hidden="false" customHeight="false" outlineLevel="0" collapsed="false">
      <c r="A391" s="27" t="n">
        <f aca="false">96*0.0025</f>
        <v>0.24</v>
      </c>
      <c r="B391" s="27" t="n">
        <f aca="false">IF(A391&gt;0,MIN('3. The decision'!$B$15,'3. The decision'!$B$29*(A391/'3. The decision'!$B$28)^$B$292),0)</f>
        <v>0.394888957153475</v>
      </c>
      <c r="C391" s="15" t="n">
        <f aca="false">(1-'3. The decision'!$B$27-B391)*(1-'3. The decision'!$B$27)^('3. The decision'!$B$12-1)</f>
        <v>0.381809618329488</v>
      </c>
      <c r="D391" s="15" t="n">
        <f aca="false">1+(1-'3. The decision'!$B$27-B391)*(1-(1-'3. The decision'!$B$27)^('3. The decision'!$B$12-1))/'3. The decision'!$B$27</f>
        <v>3.35791615815094</v>
      </c>
      <c r="E391" s="15" t="n">
        <f aca="false">(1-'3. The decision'!$B$14)*(1-'3. The decision'!$B$27)^('3. The decision'!$B$11-1)</f>
        <v>0.690273454655712</v>
      </c>
      <c r="F391" s="15" t="n">
        <f aca="false">1+(1-'3. The decision'!$B$14)*(1-(1-'3. The decision'!$B$27)^('3. The decision'!$B$11-1))/'3. The decision'!$B$27</f>
        <v>4.28912098262087</v>
      </c>
      <c r="G391" s="15" t="n">
        <f aca="false">(1-(1-'3. The decision'!$B$9*MIN(1,('3. The decision'!$B$10/(52/12)))))+(1-(1-'3. The decision'!$B$9*MAX(0,MIN(1,('3. The decision'!$B$10/(52/12))-1))))*(1-'3. The decision'!$B$14)+(1-(1-'3. The decision'!$B$9*MAX(0,MIN(1,('3. The decision'!$B$10/(52/12))-2))))*(1-'3. The decision'!$B$14)*(1-'3. The decision'!$B$27)</f>
        <v>0.884576923076923</v>
      </c>
      <c r="H391" s="15" t="n">
        <f aca="false">IF(A391&lt;=0,0,MAX(0,ROUNDUP(LN('3. The decision'!$B$13)/LN(1+A391)-0.000000000001,0)-1))</f>
        <v>2</v>
      </c>
      <c r="I391" s="15" t="n">
        <f aca="false">IF(A391&lt;=0,1/(1-C391),(1+A391)*(1-(C391*(1+A391))^H391)/(1-C391*(1+A391))+'3. The decision'!$B$13*C391^H391/(1-C391))</f>
        <v>2.20909082101797</v>
      </c>
      <c r="J391" s="17" t="n">
        <f aca="false">F391+E391*D391/(1-C391)</f>
        <v>8.03858143308528</v>
      </c>
      <c r="K391" s="15" t="n">
        <f aca="false">F391-G391+E391*D391*I391</f>
        <v>8.52495234653099</v>
      </c>
      <c r="L391" s="17" t="n">
        <f aca="false">'3. The decision'!$B$8*'3. The decision'!$B$5/J391</f>
        <v>58.4232434428108</v>
      </c>
      <c r="M391" s="31" t="n">
        <f aca="false">L391*'3. The decision'!$B$6*'3. The decision'!$B$7*K391</f>
        <v>955282.010787472</v>
      </c>
      <c r="N391" s="31" t="n">
        <f aca="false">M391*(1+'3. The decision'!$B$19+'3. The decision'!$B$20+'3. The decision'!$B$22)</f>
        <v>1056541.90393094</v>
      </c>
      <c r="O391" s="31" t="n">
        <f aca="false">'3. The decision'!$B$17+'3. The decision'!$B$18*L391*12+M391*('3. The decision'!$B$20*(1-'3. The decision'!$B$21)+'3. The decision'!$B$23)+N391*('3. The decision'!$B$24+'3. The decision'!$B$25)</f>
        <v>619215.56028597</v>
      </c>
      <c r="P391" s="31" t="n">
        <f aca="false">N391-O391</f>
        <v>437326.343644974</v>
      </c>
    </row>
    <row r="392" customFormat="false" ht="15" hidden="false" customHeight="false" outlineLevel="0" collapsed="false">
      <c r="A392" s="27" t="n">
        <f aca="false">97*0.0025</f>
        <v>0.2425</v>
      </c>
      <c r="B392" s="27" t="n">
        <f aca="false">IF(A392&gt;0,MIN('3. The decision'!$B$15,'3. The decision'!$B$29*(A392/'3. The decision'!$B$28)^$B$292),0)</f>
        <v>0.40483326587188</v>
      </c>
      <c r="C392" s="15" t="n">
        <f aca="false">(1-'3. The decision'!$B$27-B392)*(1-'3. The decision'!$B$27)^('3. The decision'!$B$12-1)</f>
        <v>0.374760314816773</v>
      </c>
      <c r="D392" s="15" t="n">
        <f aca="false">1+(1-'3. The decision'!$B$27-B392)*(1-(1-'3. The decision'!$B$27)^('3. The decision'!$B$12-1))/'3. The decision'!$B$27</f>
        <v>3.31438224528341</v>
      </c>
      <c r="E392" s="15" t="n">
        <f aca="false">(1-'3. The decision'!$B$14)*(1-'3. The decision'!$B$27)^('3. The decision'!$B$11-1)</f>
        <v>0.690273454655712</v>
      </c>
      <c r="F392" s="15" t="n">
        <f aca="false">1+(1-'3. The decision'!$B$14)*(1-(1-'3. The decision'!$B$27)^('3. The decision'!$B$11-1))/'3. The decision'!$B$27</f>
        <v>4.28912098262087</v>
      </c>
      <c r="G392" s="15" t="n">
        <f aca="false">(1-(1-'3. The decision'!$B$9*MIN(1,('3. The decision'!$B$10/(52/12)))))+(1-(1-'3. The decision'!$B$9*MAX(0,MIN(1,('3. The decision'!$B$10/(52/12))-1))))*(1-'3. The decision'!$B$14)+(1-(1-'3. The decision'!$B$9*MAX(0,MIN(1,('3. The decision'!$B$10/(52/12))-2))))*(1-'3. The decision'!$B$14)*(1-'3. The decision'!$B$27)</f>
        <v>0.884576923076923</v>
      </c>
      <c r="H392" s="15" t="n">
        <f aca="false">IF(A392&lt;=0,0,MAX(0,ROUNDUP(LN('3. The decision'!$B$13)/LN(1+A392)-0.000000000001,0)-1))</f>
        <v>2</v>
      </c>
      <c r="I392" s="15" t="n">
        <f aca="false">IF(A392&lt;=0,1/(1-C392),(1+A392)*(1-(C392*(1+A392))^H392)/(1-C392*(1+A392))+'3. The decision'!$B$13*C392^H392/(1-C392))</f>
        <v>2.18495196492882</v>
      </c>
      <c r="J392" s="17" t="n">
        <f aca="false">F392+E392*D392/(1-C392)</f>
        <v>7.94824585379869</v>
      </c>
      <c r="K392" s="15" t="n">
        <f aca="false">F392-G392+E392*D392*I392</f>
        <v>8.4033428937285</v>
      </c>
      <c r="L392" s="17" t="n">
        <f aca="false">'3. The decision'!$B$8*'3. The decision'!$B$5/J392</f>
        <v>59.0872512801735</v>
      </c>
      <c r="M392" s="31" t="n">
        <f aca="false">L392*'3. The decision'!$B$6*'3. The decision'!$B$7*K392</f>
        <v>952357.152869741</v>
      </c>
      <c r="N392" s="31" t="n">
        <f aca="false">M392*(1+'3. The decision'!$B$19+'3. The decision'!$B$20+'3. The decision'!$B$22)</f>
        <v>1053307.01107393</v>
      </c>
      <c r="O392" s="31" t="n">
        <f aca="false">'3. The decision'!$B$17+'3. The decision'!$B$18*L392*12+M392*('3. The decision'!$B$20*(1-'3. The decision'!$B$21)+'3. The decision'!$B$23)+N392*('3. The decision'!$B$24+'3. The decision'!$B$25)</f>
        <v>619906.627202737</v>
      </c>
      <c r="P392" s="31" t="n">
        <f aca="false">N392-O392</f>
        <v>433400.383871197</v>
      </c>
    </row>
    <row r="393" customFormat="false" ht="15" hidden="false" customHeight="false" outlineLevel="0" collapsed="false">
      <c r="A393" s="27" t="n">
        <f aca="false">98*0.0025</f>
        <v>0.245</v>
      </c>
      <c r="B393" s="27" t="n">
        <f aca="false">IF(A393&gt;0,MIN('3. The decision'!$B$15,'3. The decision'!$B$29*(A393/'3. The decision'!$B$28)^$B$292),0)</f>
        <v>0.414922142225734</v>
      </c>
      <c r="C393" s="15" t="n">
        <f aca="false">(1-'3. The decision'!$B$27-B393)*(1-'3. The decision'!$B$27)^('3. The decision'!$B$12-1)</f>
        <v>0.367608530461071</v>
      </c>
      <c r="D393" s="15" t="n">
        <f aca="false">1+(1-'3. The decision'!$B$27-B393)*(1-(1-'3. The decision'!$B$27)^('3. The decision'!$B$12-1))/'3. The decision'!$B$27</f>
        <v>3.27021544831873</v>
      </c>
      <c r="E393" s="15" t="n">
        <f aca="false">(1-'3. The decision'!$B$14)*(1-'3. The decision'!$B$27)^('3. The decision'!$B$11-1)</f>
        <v>0.690273454655712</v>
      </c>
      <c r="F393" s="15" t="n">
        <f aca="false">1+(1-'3. The decision'!$B$14)*(1-(1-'3. The decision'!$B$27)^('3. The decision'!$B$11-1))/'3. The decision'!$B$27</f>
        <v>4.28912098262087</v>
      </c>
      <c r="G393" s="15" t="n">
        <f aca="false">(1-(1-'3. The decision'!$B$9*MIN(1,('3. The decision'!$B$10/(52/12)))))+(1-(1-'3. The decision'!$B$9*MAX(0,MIN(1,('3. The decision'!$B$10/(52/12))-1))))*(1-'3. The decision'!$B$14)+(1-(1-'3. The decision'!$B$9*MAX(0,MIN(1,('3. The decision'!$B$10/(52/12))-2))))*(1-'3. The decision'!$B$14)*(1-'3. The decision'!$B$27)</f>
        <v>0.884576923076923</v>
      </c>
      <c r="H393" s="15" t="n">
        <f aca="false">IF(A393&lt;=0,0,MAX(0,ROUNDUP(LN('3. The decision'!$B$13)/LN(1+A393)-0.000000000001,0)-1))</f>
        <v>2</v>
      </c>
      <c r="I393" s="15" t="n">
        <f aca="false">IF(A393&lt;=0,1/(1-C393),(1+A393)*(1-(C393*(1+A393))^H393)/(1-C393*(1+A393))+'3. The decision'!$B$13*C393^H393/(1-C393))</f>
        <v>2.16098097720421</v>
      </c>
      <c r="J393" s="17" t="n">
        <f aca="false">F393+E393*D393/(1-C393)</f>
        <v>7.85865508248034</v>
      </c>
      <c r="K393" s="15" t="n">
        <f aca="false">F393-G393+E393*D393*I393</f>
        <v>8.28261915784123</v>
      </c>
      <c r="L393" s="17" t="n">
        <f aca="false">'3. The decision'!$B$8*'3. The decision'!$B$5/J393</f>
        <v>59.7608617595382</v>
      </c>
      <c r="M393" s="31" t="n">
        <f aca="false">L393*'3. The decision'!$B$6*'3. The decision'!$B$7*K393</f>
        <v>949376.592604516</v>
      </c>
      <c r="N393" s="31" t="n">
        <f aca="false">M393*(1+'3. The decision'!$B$19+'3. The decision'!$B$20+'3. The decision'!$B$22)</f>
        <v>1050010.51142059</v>
      </c>
      <c r="O393" s="31" t="n">
        <f aca="false">'3. The decision'!$B$17+'3. The decision'!$B$18*L393*12+M393*('3. The decision'!$B$20*(1-'3. The decision'!$B$21)+'3. The decision'!$B$23)+N393*('3. The decision'!$B$24+'3. The decision'!$B$25)</f>
        <v>620606.245436383</v>
      </c>
      <c r="P393" s="31" t="n">
        <f aca="false">N393-O393</f>
        <v>429404.265984212</v>
      </c>
    </row>
    <row r="394" customFormat="false" ht="15" hidden="false" customHeight="false" outlineLevel="0" collapsed="false">
      <c r="A394" s="27" t="n">
        <f aca="false">99*0.0025</f>
        <v>0.2475</v>
      </c>
      <c r="B394" s="27" t="n">
        <f aca="false">IF(A394&gt;0,MIN('3. The decision'!$B$15,'3. The decision'!$B$29*(A394/'3. The decision'!$B$28)^$B$292),0)</f>
        <v>0.425156180542788</v>
      </c>
      <c r="C394" s="15" t="n">
        <f aca="false">(1-'3. The decision'!$B$27-B394)*(1-'3. The decision'!$B$27)^('3. The decision'!$B$12-1)</f>
        <v>0.360353843956403</v>
      </c>
      <c r="D394" s="15" t="n">
        <f aca="false">1+(1-'3. The decision'!$B$27-B394)*(1-(1-'3. The decision'!$B$27)^('3. The decision'!$B$12-1))/'3. The decision'!$B$27</f>
        <v>3.2254131654257</v>
      </c>
      <c r="E394" s="15" t="n">
        <f aca="false">(1-'3. The decision'!$B$14)*(1-'3. The decision'!$B$27)^('3. The decision'!$B$11-1)</f>
        <v>0.690273454655712</v>
      </c>
      <c r="F394" s="15" t="n">
        <f aca="false">1+(1-'3. The decision'!$B$14)*(1-(1-'3. The decision'!$B$27)^('3. The decision'!$B$11-1))/'3. The decision'!$B$27</f>
        <v>4.28912098262087</v>
      </c>
      <c r="G394" s="15" t="n">
        <f aca="false">(1-(1-'3. The decision'!$B$9*MIN(1,('3. The decision'!$B$10/(52/12)))))+(1-(1-'3. The decision'!$B$9*MAX(0,MIN(1,('3. The decision'!$B$10/(52/12))-1))))*(1-'3. The decision'!$B$14)+(1-(1-'3. The decision'!$B$9*MAX(0,MIN(1,('3. The decision'!$B$10/(52/12))-2))))*(1-'3. The decision'!$B$14)*(1-'3. The decision'!$B$27)</f>
        <v>0.884576923076923</v>
      </c>
      <c r="H394" s="15" t="n">
        <f aca="false">IF(A394&lt;=0,0,MAX(0,ROUNDUP(LN('3. The decision'!$B$13)/LN(1+A394)-0.000000000001,0)-1))</f>
        <v>2</v>
      </c>
      <c r="I394" s="15" t="n">
        <f aca="false">IF(A394&lt;=0,1/(1-C394),(1+A394)*(1-(C394*(1+A394))^H394)/(1-C394*(1+A394))+'3. The decision'!$B$13*C394^H394/(1-C394))</f>
        <v>2.13717994932539</v>
      </c>
      <c r="J394" s="17" t="n">
        <f aca="false">F394+E394*D394/(1-C394)</f>
        <v>7.76982209737699</v>
      </c>
      <c r="K394" s="15" t="n">
        <f aca="false">F394-G394+E394*D394*I394</f>
        <v>8.16279801968735</v>
      </c>
      <c r="L394" s="17" t="n">
        <f aca="false">'3. The decision'!$B$8*'3. The decision'!$B$5/J394</f>
        <v>60.4441123765943</v>
      </c>
      <c r="M394" s="31" t="n">
        <f aca="false">L394*'3. The decision'!$B$6*'3. The decision'!$B$7*K394</f>
        <v>946339.636624901</v>
      </c>
      <c r="N394" s="31" t="n">
        <f aca="false">M394*(1+'3. The decision'!$B$19+'3. The decision'!$B$20+'3. The decision'!$B$22)</f>
        <v>1046651.63810714</v>
      </c>
      <c r="O394" s="31" t="n">
        <f aca="false">'3. The decision'!$B$17+'3. The decision'!$B$18*L394*12+M394*('3. The decision'!$B$20*(1-'3. The decision'!$B$21)+'3. The decision'!$B$23)+N394*('3. The decision'!$B$24+'3. The decision'!$B$25)</f>
        <v>621314.397161594</v>
      </c>
      <c r="P394" s="31" t="n">
        <f aca="false">N394-O394</f>
        <v>425337.240945547</v>
      </c>
    </row>
    <row r="395" customFormat="false" ht="15" hidden="false" customHeight="false" outlineLevel="0" collapsed="false">
      <c r="A395" s="27" t="n">
        <f aca="false">100*0.0025</f>
        <v>0.25</v>
      </c>
      <c r="B395" s="27" t="n">
        <f aca="false">IF(A395&gt;0,MIN('3. The decision'!$B$15,'3. The decision'!$B$29*(A395/'3. The decision'!$B$28)^$B$292),0)</f>
        <v>0.435535971522992</v>
      </c>
      <c r="C395" s="15" t="n">
        <f aca="false">(1-'3. The decision'!$B$27-B395)*(1-'3. The decision'!$B$27)^('3. The decision'!$B$12-1)</f>
        <v>0.352995836568461</v>
      </c>
      <c r="D395" s="15" t="n">
        <f aca="false">1+(1-'3. The decision'!$B$27-B395)*(1-(1-'3. The decision'!$B$27)^('3. The decision'!$B$12-1))/'3. The decision'!$B$27</f>
        <v>3.17997281065483</v>
      </c>
      <c r="E395" s="15" t="n">
        <f aca="false">(1-'3. The decision'!$B$14)*(1-'3. The decision'!$B$27)^('3. The decision'!$B$11-1)</f>
        <v>0.690273454655712</v>
      </c>
      <c r="F395" s="15" t="n">
        <f aca="false">1+(1-'3. The decision'!$B$14)*(1-(1-'3. The decision'!$B$27)^('3. The decision'!$B$11-1))/'3. The decision'!$B$27</f>
        <v>4.28912098262087</v>
      </c>
      <c r="G395" s="15" t="n">
        <f aca="false">(1-(1-'3. The decision'!$B$9*MIN(1,('3. The decision'!$B$10/(52/12)))))+(1-(1-'3. The decision'!$B$9*MAX(0,MIN(1,('3. The decision'!$B$10/(52/12))-1))))*(1-'3. The decision'!$B$14)+(1-(1-'3. The decision'!$B$9*MAX(0,MIN(1,('3. The decision'!$B$10/(52/12))-2))))*(1-'3. The decision'!$B$14)*(1-'3. The decision'!$B$27)</f>
        <v>0.884576923076923</v>
      </c>
      <c r="H395" s="15" t="n">
        <f aca="false">IF(A395&lt;=0,0,MAX(0,ROUNDUP(LN('3. The decision'!$B$13)/LN(1+A395)-0.000000000001,0)-1))</f>
        <v>2</v>
      </c>
      <c r="I395" s="15" t="n">
        <f aca="false">IF(A395&lt;=0,1/(1-C395),(1+A395)*(1-(C395*(1+A395))^H395)/(1-C395*(1+A395))+'3. The decision'!$B$13*C395^H395/(1-C395))</f>
        <v>2.11355061482357</v>
      </c>
      <c r="J395" s="17" t="n">
        <f aca="false">F395+E395*D395/(1-C395)</f>
        <v>7.6817588384269</v>
      </c>
      <c r="K395" s="15" t="n">
        <f aca="false">F395-G395+E395*D395*I395</f>
        <v>8.04389506490915</v>
      </c>
      <c r="L395" s="17" t="n">
        <f aca="false">'3. The decision'!$B$8*'3. The decision'!$B$5/J395</f>
        <v>61.1370403416849</v>
      </c>
      <c r="M395" s="31" t="n">
        <f aca="false">L395*'3. The decision'!$B$6*'3. The decision'!$B$7*K395</f>
        <v>943245.588688516</v>
      </c>
      <c r="N395" s="31" t="n">
        <f aca="false">M395*(1+'3. The decision'!$B$19+'3. The decision'!$B$20+'3. The decision'!$B$22)</f>
        <v>1043229.6210895</v>
      </c>
      <c r="O395" s="31" t="n">
        <f aca="false">'3. The decision'!$B$17+'3. The decision'!$B$18*L395*12+M395*('3. The decision'!$B$20*(1-'3. The decision'!$B$21)+'3. The decision'!$B$23)+N395*('3. The decision'!$B$24+'3. The decision'!$B$25)</f>
        <v>622031.063811326</v>
      </c>
      <c r="P395" s="31" t="n">
        <f aca="false">N395-O395</f>
        <v>421198.557278172</v>
      </c>
    </row>
    <row r="396" customFormat="false" ht="15" hidden="false" customHeight="false" outlineLevel="0" collapsed="false">
      <c r="A396" s="27" t="n">
        <f aca="false">101*0.0025</f>
        <v>0.2525</v>
      </c>
      <c r="B396" s="27" t="n">
        <f aca="false">IF(A396&gt;0,MIN('3. The decision'!$B$15,'3. The decision'!$B$29*(A396/'3. The decision'!$B$28)^$B$292),0)</f>
        <v>0.446062102296944</v>
      </c>
      <c r="C396" s="15" t="n">
        <f aca="false">(1-'3. The decision'!$B$27-B396)*(1-'3. The decision'!$B$27)^('3. The decision'!$B$12-1)</f>
        <v>0.345534092093174</v>
      </c>
      <c r="D396" s="15" t="n">
        <f aca="false">1+(1-'3. The decision'!$B$27-B396)*(1-(1-'3. The decision'!$B$27)^('3. The decision'!$B$12-1))/'3. The decision'!$B$27</f>
        <v>3.13389181368244</v>
      </c>
      <c r="E396" s="15" t="n">
        <f aca="false">(1-'3. The decision'!$B$14)*(1-'3. The decision'!$B$27)^('3. The decision'!$B$11-1)</f>
        <v>0.690273454655712</v>
      </c>
      <c r="F396" s="15" t="n">
        <f aca="false">1+(1-'3. The decision'!$B$14)*(1-(1-'3. The decision'!$B$27)^('3. The decision'!$B$11-1))/'3. The decision'!$B$27</f>
        <v>4.28912098262087</v>
      </c>
      <c r="G396" s="15" t="n">
        <f aca="false">(1-(1-'3. The decision'!$B$9*MIN(1,('3. The decision'!$B$10/(52/12)))))+(1-(1-'3. The decision'!$B$9*MAX(0,MIN(1,('3. The decision'!$B$10/(52/12))-1))))*(1-'3. The decision'!$B$14)+(1-(1-'3. The decision'!$B$9*MAX(0,MIN(1,('3. The decision'!$B$10/(52/12))-2))))*(1-'3. The decision'!$B$14)*(1-'3. The decision'!$B$27)</f>
        <v>0.884576923076923</v>
      </c>
      <c r="H396" s="15" t="n">
        <f aca="false">IF(A396&lt;=0,0,MAX(0,ROUNDUP(LN('3. The decision'!$B$13)/LN(1+A396)-0.000000000001,0)-1))</f>
        <v>2</v>
      </c>
      <c r="I396" s="15" t="n">
        <f aca="false">IF(A396&lt;=0,1/(1-C396),(1+A396)*(1-(C396*(1+A396))^H396)/(1-C396*(1+A396))+'3. The decision'!$B$13*C396^H396/(1-C396))</f>
        <v>2.09009435965442</v>
      </c>
      <c r="J396" s="17" t="n">
        <f aca="false">F396+E396*D396/(1-C396)</f>
        <v>7.59447623888856</v>
      </c>
      <c r="K396" s="15" t="n">
        <f aca="false">F396-G396+E396*D396*I396</f>
        <v>7.92592464942549</v>
      </c>
      <c r="L396" s="17" t="n">
        <f aca="false">'3. The decision'!$B$8*'3. The decision'!$B$5/J396</f>
        <v>61.8396825833945</v>
      </c>
      <c r="M396" s="31" t="n">
        <f aca="false">L396*'3. The decision'!$B$6*'3. The decision'!$B$7*K396</f>
        <v>940093.752873249</v>
      </c>
      <c r="N396" s="31" t="n">
        <f aca="false">M396*(1+'3. The decision'!$B$19+'3. The decision'!$B$20+'3. The decision'!$B$22)</f>
        <v>1039743.69067781</v>
      </c>
      <c r="O396" s="31" t="n">
        <f aca="false">'3. The decision'!$B$17+'3. The decision'!$B$18*L396*12+M396*('3. The decision'!$B$20*(1-'3. The decision'!$B$21)+'3. The decision'!$B$23)+N396*('3. The decision'!$B$24+'3. The decision'!$B$25)</f>
        <v>622756.226426188</v>
      </c>
      <c r="P396" s="31" t="n">
        <f aca="false">N396-O396</f>
        <v>416987.464251625</v>
      </c>
    </row>
    <row r="397" customFormat="false" ht="15" hidden="false" customHeight="false" outlineLevel="0" collapsed="false">
      <c r="A397" s="27" t="n">
        <f aca="false">102*0.0025</f>
        <v>0.255</v>
      </c>
      <c r="B397" s="27" t="n">
        <f aca="false">IF(A397&gt;0,MIN('3. The decision'!$B$15,'3. The decision'!$B$29*(A397/'3. The decision'!$B$28)^$B$292),0)</f>
        <v>0.456735156482836</v>
      </c>
      <c r="C397" s="15" t="n">
        <f aca="false">(1-'3. The decision'!$B$27-B397)*(1-'3. The decision'!$B$27)^('3. The decision'!$B$12-1)</f>
        <v>0.337968196816336</v>
      </c>
      <c r="D397" s="15" t="n">
        <f aca="false">1+(1-'3. The decision'!$B$27-B397)*(1-(1-'3. The decision'!$B$27)^('3. The decision'!$B$12-1))/'3. The decision'!$B$27</f>
        <v>3.08716761956133</v>
      </c>
      <c r="E397" s="15" t="n">
        <f aca="false">(1-'3. The decision'!$B$14)*(1-'3. The decision'!$B$27)^('3. The decision'!$B$11-1)</f>
        <v>0.690273454655712</v>
      </c>
      <c r="F397" s="15" t="n">
        <f aca="false">1+(1-'3. The decision'!$B$14)*(1-(1-'3. The decision'!$B$27)^('3. The decision'!$B$11-1))/'3. The decision'!$B$27</f>
        <v>4.28912098262087</v>
      </c>
      <c r="G397" s="15" t="n">
        <f aca="false">(1-(1-'3. The decision'!$B$9*MIN(1,('3. The decision'!$B$10/(52/12)))))+(1-(1-'3. The decision'!$B$9*MAX(0,MIN(1,('3. The decision'!$B$10/(52/12))-1))))*(1-'3. The decision'!$B$14)+(1-(1-'3. The decision'!$B$9*MAX(0,MIN(1,('3. The decision'!$B$10/(52/12))-2))))*(1-'3. The decision'!$B$14)*(1-'3. The decision'!$B$27)</f>
        <v>0.884576923076923</v>
      </c>
      <c r="H397" s="15" t="n">
        <f aca="false">IF(A397&lt;=0,0,MAX(0,ROUNDUP(LN('3. The decision'!$B$13)/LN(1+A397)-0.000000000001,0)-1))</f>
        <v>2</v>
      </c>
      <c r="I397" s="15" t="n">
        <f aca="false">IF(A397&lt;=0,1/(1-C397),(1+A397)*(1-(C397*(1+A397))^H397)/(1-C397*(1+A397))+'3. The decision'!$B$13*C397^H397/(1-C397))</f>
        <v>2.06681223263932</v>
      </c>
      <c r="J397" s="17" t="n">
        <f aca="false">F397+E397*D397/(1-C397)</f>
        <v>7.50798425717667</v>
      </c>
      <c r="K397" s="15" t="n">
        <f aca="false">F397-G397+E397*D397*I397</f>
        <v>7.80889996539074</v>
      </c>
      <c r="L397" s="17" t="n">
        <f aca="false">'3. The decision'!$B$8*'3. The decision'!$B$5/J397</f>
        <v>62.5520757520348</v>
      </c>
      <c r="M397" s="31" t="n">
        <f aca="false">L397*'3. The decision'!$B$6*'3. The decision'!$B$7*K397</f>
        <v>936883.43701714</v>
      </c>
      <c r="N397" s="31" t="n">
        <f aca="false">M397*(1+'3. The decision'!$B$19+'3. The decision'!$B$20+'3. The decision'!$B$22)</f>
        <v>1036193.08134096</v>
      </c>
      <c r="O397" s="31" t="n">
        <f aca="false">'3. The decision'!$B$17+'3. The decision'!$B$18*L397*12+M397*('3. The decision'!$B$20*(1-'3. The decision'!$B$21)+'3. The decision'!$B$23)+N397*('3. The decision'!$B$24+'3. The decision'!$B$25)</f>
        <v>623489.866029944</v>
      </c>
      <c r="P397" s="31" t="n">
        <f aca="false">N397-O397</f>
        <v>412703.215311012</v>
      </c>
    </row>
    <row r="398" customFormat="false" ht="15" hidden="false" customHeight="false" outlineLevel="0" collapsed="false">
      <c r="A398" s="27" t="n">
        <f aca="false">103*0.0025</f>
        <v>0.2575</v>
      </c>
      <c r="B398" s="27" t="n">
        <f aca="false">IF(A398&gt;0,MIN('3. The decision'!$B$15,'3. The decision'!$B$29*(A398/'3. The decision'!$B$28)^$B$292),0)</f>
        <v>0.467555714241937</v>
      </c>
      <c r="C398" s="15" t="n">
        <f aca="false">(1-'3. The decision'!$B$27-B398)*(1-'3. The decision'!$B$27)^('3. The decision'!$B$12-1)</f>
        <v>0.33029773947428</v>
      </c>
      <c r="D398" s="15" t="n">
        <f aca="false">1+(1-'3. The decision'!$B$27-B398)*(1-(1-'3. The decision'!$B$27)^('3. The decision'!$B$12-1))/'3. The decision'!$B$27</f>
        <v>3.03979768847794</v>
      </c>
      <c r="E398" s="15" t="n">
        <f aca="false">(1-'3. The decision'!$B$14)*(1-'3. The decision'!$B$27)^('3. The decision'!$B$11-1)</f>
        <v>0.690273454655712</v>
      </c>
      <c r="F398" s="15" t="n">
        <f aca="false">1+(1-'3. The decision'!$B$14)*(1-(1-'3. The decision'!$B$27)^('3. The decision'!$B$11-1))/'3. The decision'!$B$27</f>
        <v>4.28912098262087</v>
      </c>
      <c r="G398" s="15" t="n">
        <f aca="false">(1-(1-'3. The decision'!$B$9*MIN(1,('3. The decision'!$B$10/(52/12)))))+(1-(1-'3. The decision'!$B$9*MAX(0,MIN(1,('3. The decision'!$B$10/(52/12))-1))))*(1-'3. The decision'!$B$14)+(1-(1-'3. The decision'!$B$9*MAX(0,MIN(1,('3. The decision'!$B$10/(52/12))-2))))*(1-'3. The decision'!$B$14)*(1-'3. The decision'!$B$27)</f>
        <v>0.884576923076923</v>
      </c>
      <c r="H398" s="15" t="n">
        <f aca="false">IF(A398&lt;=0,0,MAX(0,ROUNDUP(LN('3. The decision'!$B$13)/LN(1+A398)-0.000000000001,0)-1))</f>
        <v>2</v>
      </c>
      <c r="I398" s="15" t="n">
        <f aca="false">IF(A398&lt;=0,1/(1-C398),(1+A398)*(1-(C398*(1+A398))^H398)/(1-C398*(1+A398))+'3. The decision'!$B$13*C398^H398/(1-C398))</f>
        <v>2.04370495594096</v>
      </c>
      <c r="J398" s="17" t="n">
        <f aca="false">F398+E398*D398/(1-C398)</f>
        <v>7.42229190880671</v>
      </c>
      <c r="K398" s="15" t="n">
        <f aca="false">F398-G398+E398*D398*I398</f>
        <v>7.69283310750088</v>
      </c>
      <c r="L398" s="17" t="n">
        <f aca="false">'3. The decision'!$B$8*'3. The decision'!$B$5/J398</f>
        <v>63.2742562230356</v>
      </c>
      <c r="M398" s="31" t="n">
        <f aca="false">L398*'3. The decision'!$B$6*'3. The decision'!$B$7*K398</f>
        <v>933613.956410656</v>
      </c>
      <c r="N398" s="31" t="n">
        <f aca="false">M398*(1+'3. The decision'!$B$19+'3. The decision'!$B$20+'3. The decision'!$B$22)</f>
        <v>1032577.03579019</v>
      </c>
      <c r="O398" s="31" t="n">
        <f aca="false">'3. The decision'!$B$17+'3. The decision'!$B$18*L398*12+M398*('3. The decision'!$B$20*(1-'3. The decision'!$B$21)+'3. The decision'!$B$23)+N398*('3. The decision'!$B$24+'3. The decision'!$B$25)</f>
        <v>624231.964032042</v>
      </c>
      <c r="P398" s="31" t="n">
        <f aca="false">N398-O398</f>
        <v>408345.071758143</v>
      </c>
    </row>
    <row r="399" customFormat="false" ht="15" hidden="false" customHeight="false" outlineLevel="0" collapsed="false">
      <c r="A399" s="27" t="n">
        <f aca="false">104*0.0025</f>
        <v>0.26</v>
      </c>
      <c r="B399" s="27" t="n">
        <f aca="false">IF(A399&gt;0,MIN('3. The decision'!$B$15,'3. The decision'!$B$29*(A399/'3. The decision'!$B$28)^$B$292),0)</f>
        <v>0.478524352332662</v>
      </c>
      <c r="C399" s="15" t="n">
        <f aca="false">(1-'3. The decision'!$B$27-B399)*(1-'3. The decision'!$B$27)^('3. The decision'!$B$12-1)</f>
        <v>0.322522311215548</v>
      </c>
      <c r="D399" s="15" t="n">
        <f aca="false">1+(1-'3. The decision'!$B$27-B399)*(1-(1-'3. The decision'!$B$27)^('3. The decision'!$B$12-1))/'3. The decision'!$B$27</f>
        <v>2.99177949551564</v>
      </c>
      <c r="E399" s="15" t="n">
        <f aca="false">(1-'3. The decision'!$B$14)*(1-'3. The decision'!$B$27)^('3. The decision'!$B$11-1)</f>
        <v>0.690273454655712</v>
      </c>
      <c r="F399" s="15" t="n">
        <f aca="false">1+(1-'3. The decision'!$B$14)*(1-(1-'3. The decision'!$B$27)^('3. The decision'!$B$11-1))/'3. The decision'!$B$27</f>
        <v>4.28912098262087</v>
      </c>
      <c r="G399" s="15" t="n">
        <f aca="false">(1-(1-'3. The decision'!$B$9*MIN(1,('3. The decision'!$B$10/(52/12)))))+(1-(1-'3. The decision'!$B$9*MAX(0,MIN(1,('3. The decision'!$B$10/(52/12))-1))))*(1-'3. The decision'!$B$14)+(1-(1-'3. The decision'!$B$9*MAX(0,MIN(1,('3. The decision'!$B$10/(52/12))-2))))*(1-'3. The decision'!$B$14)*(1-'3. The decision'!$B$27)</f>
        <v>0.884576923076923</v>
      </c>
      <c r="H399" s="15" t="n">
        <f aca="false">IF(A399&lt;=0,0,MAX(0,ROUNDUP(LN('3. The decision'!$B$13)/LN(1+A399)-0.000000000001,0)-1))</f>
        <v>2</v>
      </c>
      <c r="I399" s="15" t="n">
        <f aca="false">IF(A399&lt;=0,1/(1-C399),(1+A399)*(1-(C399*(1+A399))^H399)/(1-C399*(1+A399))+'3. The decision'!$B$13*C399^H399/(1-C399))</f>
        <v>2.02077293554341</v>
      </c>
      <c r="J399" s="17" t="n">
        <f aca="false">F399+E399*D399/(1-C399)</f>
        <v>7.33740729835629</v>
      </c>
      <c r="K399" s="15" t="n">
        <f aca="false">F399-G399+E399*D399*I399</f>
        <v>7.57773513949907</v>
      </c>
      <c r="L399" s="17" t="n">
        <f aca="false">'3. The decision'!$B$8*'3. The decision'!$B$5/J399</f>
        <v>64.0062601002411</v>
      </c>
      <c r="M399" s="31" t="n">
        <f aca="false">L399*'3. The decision'!$B$6*'3. The decision'!$B$7*K399</f>
        <v>930284.637749798</v>
      </c>
      <c r="N399" s="31" t="n">
        <f aca="false">M399*(1+'3. The decision'!$B$19+'3. The decision'!$B$20+'3. The decision'!$B$22)</f>
        <v>1028894.80935128</v>
      </c>
      <c r="O399" s="31" t="n">
        <f aca="false">'3. The decision'!$B$17+'3. The decision'!$B$18*L399*12+M399*('3. The decision'!$B$20*(1-'3. The decision'!$B$21)+'3. The decision'!$B$23)+N399*('3. The decision'!$B$24+'3. The decision'!$B$25)</f>
        <v>624982.502658066</v>
      </c>
      <c r="P399" s="31" t="n">
        <f aca="false">N399-O399</f>
        <v>403912.30669321</v>
      </c>
    </row>
    <row r="400" customFormat="false" ht="15" hidden="false" customHeight="false" outlineLevel="0" collapsed="false">
      <c r="A400" s="27" t="n">
        <f aca="false">105*0.0025</f>
        <v>0.2625</v>
      </c>
      <c r="B400" s="27" t="n">
        <f aca="false">IF(A400&gt;0,MIN('3. The decision'!$B$15,'3. The decision'!$B$29*(A400/'3. The decision'!$B$28)^$B$292),0)</f>
        <v>0.489641644163283</v>
      </c>
      <c r="C400" s="15" t="n">
        <f aca="false">(1-'3. The decision'!$B$27-B400)*(1-'3. The decision'!$B$27)^('3. The decision'!$B$12-1)</f>
        <v>0.314641505563525</v>
      </c>
      <c r="D400" s="15" t="n">
        <f aca="false">1+(1-'3. The decision'!$B$27-B400)*(1-(1-'3. The decision'!$B$27)^('3. The decision'!$B$12-1))/'3. The decision'!$B$27</f>
        <v>2.94311053042394</v>
      </c>
      <c r="E400" s="15" t="n">
        <f aca="false">(1-'3. The decision'!$B$14)*(1-'3. The decision'!$B$27)^('3. The decision'!$B$11-1)</f>
        <v>0.690273454655712</v>
      </c>
      <c r="F400" s="15" t="n">
        <f aca="false">1+(1-'3. The decision'!$B$14)*(1-(1-'3. The decision'!$B$27)^('3. The decision'!$B$11-1))/'3. The decision'!$B$27</f>
        <v>4.28912098262087</v>
      </c>
      <c r="G400" s="15" t="n">
        <f aca="false">(1-(1-'3. The decision'!$B$9*MIN(1,('3. The decision'!$B$10/(52/12)))))+(1-(1-'3. The decision'!$B$9*MAX(0,MIN(1,('3. The decision'!$B$10/(52/12))-1))))*(1-'3. The decision'!$B$14)+(1-(1-'3. The decision'!$B$9*MAX(0,MIN(1,('3. The decision'!$B$10/(52/12))-2))))*(1-'3. The decision'!$B$14)*(1-'3. The decision'!$B$27)</f>
        <v>0.884576923076923</v>
      </c>
      <c r="H400" s="15" t="n">
        <f aca="false">IF(A400&lt;=0,0,MAX(0,ROUNDUP(LN('3. The decision'!$B$13)/LN(1+A400)-0.000000000001,0)-1))</f>
        <v>2</v>
      </c>
      <c r="I400" s="15" t="n">
        <f aca="false">IF(A400&lt;=0,1/(1-C400),(1+A400)*(1-(C400*(1+A400))^H400)/(1-C400*(1+A400))+'3. The decision'!$B$13*C400^H400/(1-C400))</f>
        <v>1.9980162717089</v>
      </c>
      <c r="J400" s="17" t="n">
        <f aca="false">F400+E400*D400/(1-C400)</f>
        <v>7.25333765135823</v>
      </c>
      <c r="K400" s="15" t="n">
        <f aca="false">F400-G400+E400*D400*I400</f>
        <v>7.46361616074376</v>
      </c>
      <c r="L400" s="17" t="n">
        <f aca="false">'3. The decision'!$B$8*'3. The decision'!$B$5/J400</f>
        <v>64.7481232191165</v>
      </c>
      <c r="M400" s="31" t="n">
        <f aca="false">L400*'3. The decision'!$B$6*'3. The decision'!$B$7*K400</f>
        <v>926894.82335859</v>
      </c>
      <c r="N400" s="31" t="n">
        <f aca="false">M400*(1+'3. The decision'!$B$19+'3. The decision'!$B$20+'3. The decision'!$B$22)</f>
        <v>1025145.6746346</v>
      </c>
      <c r="O400" s="31" t="n">
        <f aca="false">'3. The decision'!$B$17+'3. The decision'!$B$18*L400*12+M400*('3. The decision'!$B$20*(1-'3. The decision'!$B$21)+'3. The decision'!$B$23)+N400*('3. The decision'!$B$24+'3. The decision'!$B$25)</f>
        <v>625741.465409049</v>
      </c>
      <c r="P400" s="31" t="n">
        <f aca="false">N400-O400</f>
        <v>399404.209225552</v>
      </c>
    </row>
    <row r="401" customFormat="false" ht="15" hidden="false" customHeight="false" outlineLevel="0" collapsed="false">
      <c r="A401" s="27" t="n">
        <f aca="false">106*0.0025</f>
        <v>0.265</v>
      </c>
      <c r="B401" s="27" t="n">
        <f aca="false">IF(A401&gt;0,MIN('3. The decision'!$B$15,'3. The decision'!$B$29*(A401/'3. The decision'!$B$28)^$B$292),0)</f>
        <v>0.500908159843326</v>
      </c>
      <c r="C401" s="15" t="n">
        <f aca="false">(1-'3. The decision'!$B$27-B401)*(1-'3. The decision'!$B$27)^('3. The decision'!$B$12-1)</f>
        <v>0.306654918380005</v>
      </c>
      <c r="D401" s="15" t="n">
        <f aca="false">1+(1-'3. The decision'!$B$27-B401)*(1-(1-'3. The decision'!$B$27)^('3. The decision'!$B$12-1))/'3. The decision'!$B$27</f>
        <v>2.89378829739352</v>
      </c>
      <c r="E401" s="15" t="n">
        <f aca="false">(1-'3. The decision'!$B$14)*(1-'3. The decision'!$B$27)^('3. The decision'!$B$11-1)</f>
        <v>0.690273454655712</v>
      </c>
      <c r="F401" s="15" t="n">
        <f aca="false">1+(1-'3. The decision'!$B$14)*(1-(1-'3. The decision'!$B$27)^('3. The decision'!$B$11-1))/'3. The decision'!$B$27</f>
        <v>4.28912098262087</v>
      </c>
      <c r="G401" s="15" t="n">
        <f aca="false">(1-(1-'3. The decision'!$B$9*MIN(1,('3. The decision'!$B$10/(52/12)))))+(1-(1-'3. The decision'!$B$9*MAX(0,MIN(1,('3. The decision'!$B$10/(52/12))-1))))*(1-'3. The decision'!$B$14)+(1-(1-'3. The decision'!$B$9*MAX(0,MIN(1,('3. The decision'!$B$10/(52/12))-2))))*(1-'3. The decision'!$B$14)*(1-'3. The decision'!$B$27)</f>
        <v>0.884576923076923</v>
      </c>
      <c r="H401" s="15" t="n">
        <f aca="false">IF(A401&lt;=0,0,MAX(0,ROUNDUP(LN('3. The decision'!$B$13)/LN(1+A401)-0.000000000001,0)-1))</f>
        <v>2</v>
      </c>
      <c r="I401" s="15" t="n">
        <f aca="false">IF(A401&lt;=0,1/(1-C401),(1+A401)*(1-(C401*(1+A401))^H401)/(1-C401*(1+A401))+'3. The decision'!$B$13*C401^H401/(1-C401))</f>
        <v>1.97543476938541</v>
      </c>
      <c r="J401" s="17" t="n">
        <f aca="false">F401+E401*D401/(1-C401)</f>
        <v>7.17008934604669</v>
      </c>
      <c r="K401" s="15" t="n">
        <f aca="false">F401-G401+E401*D401*I401</f>
        <v>7.3504853727128</v>
      </c>
      <c r="L401" s="17" t="n">
        <f aca="false">'3. The decision'!$B$8*'3. The decision'!$B$5/J401</f>
        <v>65.499881149869</v>
      </c>
      <c r="M401" s="31" t="n">
        <f aca="false">L401*'3. The decision'!$B$6*'3. The decision'!$B$7*K401</f>
        <v>923443.875689664</v>
      </c>
      <c r="N401" s="31" t="n">
        <f aca="false">M401*(1+'3. The decision'!$B$19+'3. The decision'!$B$20+'3. The decision'!$B$22)</f>
        <v>1021328.92651277</v>
      </c>
      <c r="O401" s="31" t="n">
        <f aca="false">'3. The decision'!$B$17+'3. The decision'!$B$18*L401*12+M401*('3. The decision'!$B$20*(1-'3. The decision'!$B$21)+'3. The decision'!$B$23)+N401*('3. The decision'!$B$24+'3. The decision'!$B$25)</f>
        <v>626508.837550582</v>
      </c>
      <c r="P401" s="31" t="n">
        <f aca="false">N401-O401</f>
        <v>394820.088962187</v>
      </c>
    </row>
    <row r="402" customFormat="false" ht="15" hidden="false" customHeight="false" outlineLevel="0" collapsed="false">
      <c r="A402" s="27" t="n">
        <f aca="false">107*0.0025</f>
        <v>0.2675</v>
      </c>
      <c r="B402" s="27" t="n">
        <f aca="false">IF(A402&gt;0,MIN('3. The decision'!$B$15,'3. The decision'!$B$29*(A402/'3. The decision'!$B$28)^$B$292),0)</f>
        <v>0.512324466233694</v>
      </c>
      <c r="C402" s="15" t="n">
        <f aca="false">(1-'3. The decision'!$B$27-B402)*(1-'3. The decision'!$B$27)^('3. The decision'!$B$12-1)</f>
        <v>0.29856214782966</v>
      </c>
      <c r="D402" s="15" t="n">
        <f aca="false">1+(1-'3. The decision'!$B$27-B402)*(1-(1-'3. The decision'!$B$27)^('3. The decision'!$B$12-1))/'3. The decision'!$B$27</f>
        <v>2.84381031483678</v>
      </c>
      <c r="E402" s="15" t="n">
        <f aca="false">(1-'3. The decision'!$B$14)*(1-'3. The decision'!$B$27)^('3. The decision'!$B$11-1)</f>
        <v>0.690273454655712</v>
      </c>
      <c r="F402" s="15" t="n">
        <f aca="false">1+(1-'3. The decision'!$B$14)*(1-(1-'3. The decision'!$B$27)^('3. The decision'!$B$11-1))/'3. The decision'!$B$27</f>
        <v>4.28912098262087</v>
      </c>
      <c r="G402" s="15" t="n">
        <f aca="false">(1-(1-'3. The decision'!$B$9*MIN(1,('3. The decision'!$B$10/(52/12)))))+(1-(1-'3. The decision'!$B$9*MAX(0,MIN(1,('3. The decision'!$B$10/(52/12))-1))))*(1-'3. The decision'!$B$14)+(1-(1-'3. The decision'!$B$9*MAX(0,MIN(1,('3. The decision'!$B$10/(52/12))-2))))*(1-'3. The decision'!$B$14)*(1-'3. The decision'!$B$27)</f>
        <v>0.884576923076923</v>
      </c>
      <c r="H402" s="15" t="n">
        <f aca="false">IF(A402&lt;=0,0,MAX(0,ROUNDUP(LN('3. The decision'!$B$13)/LN(1+A402)-0.000000000001,0)-1))</f>
        <v>2</v>
      </c>
      <c r="I402" s="15" t="n">
        <f aca="false">IF(A402&lt;=0,1/(1-C402),(1+A402)*(1-(C402*(1+A402))^H402)/(1-C402*(1+A402))+'3. The decision'!$B$13*C402^H402/(1-C402))</f>
        <v>1.95302794854188</v>
      </c>
      <c r="J402" s="17" t="n">
        <f aca="false">F402+E402*D402/(1-C402)</f>
        <v>7.08766794488437</v>
      </c>
      <c r="K402" s="15" t="n">
        <f aca="false">F402-G402+E402*D402*I402</f>
        <v>7.23835114532758</v>
      </c>
      <c r="L402" s="17" t="n">
        <f aca="false">'3. The decision'!$B$8*'3. The decision'!$B$5/J402</f>
        <v>66.2615692004829</v>
      </c>
      <c r="M402" s="31" t="n">
        <f aca="false">L402*'3. The decision'!$B$6*'3. The decision'!$B$7*K402</f>
        <v>919931.182111794</v>
      </c>
      <c r="N402" s="31" t="n">
        <f aca="false">M402*(1+'3. The decision'!$B$19+'3. The decision'!$B$20+'3. The decision'!$B$22)</f>
        <v>1017443.88741564</v>
      </c>
      <c r="O402" s="31" t="n">
        <f aca="false">'3. The decision'!$B$17+'3. The decision'!$B$18*L402*12+M402*('3. The decision'!$B$20*(1-'3. The decision'!$B$21)+'3. The decision'!$B$23)+N402*('3. The decision'!$B$24+'3. The decision'!$B$25)</f>
        <v>627284.606632684</v>
      </c>
      <c r="P402" s="31" t="n">
        <f aca="false">N402-O402</f>
        <v>390159.28078296</v>
      </c>
    </row>
    <row r="403" customFormat="false" ht="15" hidden="false" customHeight="false" outlineLevel="0" collapsed="false">
      <c r="A403" s="27" t="n">
        <f aca="false">108*0.0025</f>
        <v>0.27</v>
      </c>
      <c r="B403" s="27" t="n">
        <f aca="false">IF(A403&gt;0,MIN('3. The decision'!$B$15,'3. The decision'!$B$29*(A403/'3. The decision'!$B$28)^$B$292),0)</f>
        <v>0.523891126995572</v>
      </c>
      <c r="C403" s="15" t="n">
        <f aca="false">(1-'3. The decision'!$B$27-B403)*(1-'3. The decision'!$B$27)^('3. The decision'!$B$12-1)</f>
        <v>0.290362794345373</v>
      </c>
      <c r="D403" s="15" t="n">
        <f aca="false">1+(1-'3. The decision'!$B$27-B403)*(1-(1-'3. The decision'!$B$27)^('3. The decision'!$B$12-1))/'3. The decision'!$B$27</f>
        <v>2.79317411517377</v>
      </c>
      <c r="E403" s="15" t="n">
        <f aca="false">(1-'3. The decision'!$B$14)*(1-'3. The decision'!$B$27)^('3. The decision'!$B$11-1)</f>
        <v>0.690273454655712</v>
      </c>
      <c r="F403" s="15" t="n">
        <f aca="false">1+(1-'3. The decision'!$B$14)*(1-(1-'3. The decision'!$B$27)^('3. The decision'!$B$11-1))/'3. The decision'!$B$27</f>
        <v>4.28912098262087</v>
      </c>
      <c r="G403" s="15" t="n">
        <f aca="false">(1-(1-'3. The decision'!$B$9*MIN(1,('3. The decision'!$B$10/(52/12)))))+(1-(1-'3. The decision'!$B$9*MAX(0,MIN(1,('3. The decision'!$B$10/(52/12))-1))))*(1-'3. The decision'!$B$14)+(1-(1-'3. The decision'!$B$9*MAX(0,MIN(1,('3. The decision'!$B$10/(52/12))-2))))*(1-'3. The decision'!$B$14)*(1-'3. The decision'!$B$27)</f>
        <v>0.884576923076923</v>
      </c>
      <c r="H403" s="15" t="n">
        <f aca="false">IF(A403&lt;=0,0,MAX(0,ROUNDUP(LN('3. The decision'!$B$13)/LN(1+A403)-0.000000000001,0)-1))</f>
        <v>2</v>
      </c>
      <c r="I403" s="15" t="n">
        <f aca="false">IF(A403&lt;=0,1/(1-C403),(1+A403)*(1-(C403*(1+A403))^H403)/(1-C403*(1+A403))+'3. The decision'!$B$13*C403^H403/(1-C403))</f>
        <v>1.93079505440909</v>
      </c>
      <c r="J403" s="17" t="n">
        <f aca="false">F403+E403*D403/(1-C403)</f>
        <v>7.00607822580447</v>
      </c>
      <c r="K403" s="15" t="n">
        <f aca="false">F403-G403+E403*D403*I403</f>
        <v>7.12722108299093</v>
      </c>
      <c r="L403" s="17" t="n">
        <f aca="false">'3. The decision'!$B$8*'3. The decision'!$B$5/J403</f>
        <v>67.033222419676</v>
      </c>
      <c r="M403" s="31" t="n">
        <f aca="false">L403*'3. The decision'!$B$6*'3. The decision'!$B$7*K403</f>
        <v>916356.159993374</v>
      </c>
      <c r="N403" s="31" t="n">
        <f aca="false">M403*(1+'3. The decision'!$B$19+'3. The decision'!$B$20+'3. The decision'!$B$22)</f>
        <v>1013489.91295267</v>
      </c>
      <c r="O403" s="31" t="n">
        <f aca="false">'3. The decision'!$B$17+'3. The decision'!$B$18*L403*12+M403*('3. The decision'!$B$20*(1-'3. The decision'!$B$21)+'3. The decision'!$B$23)+N403*('3. The decision'!$B$24+'3. The decision'!$B$25)</f>
        <v>628068.763041398</v>
      </c>
      <c r="P403" s="31" t="n">
        <f aca="false">N403-O403</f>
        <v>385421.149911274</v>
      </c>
    </row>
    <row r="404" customFormat="false" ht="15" hidden="false" customHeight="false" outlineLevel="0" collapsed="false">
      <c r="A404" s="27" t="n">
        <f aca="false">109*0.0025</f>
        <v>0.2725</v>
      </c>
      <c r="B404" s="27" t="n">
        <f aca="false">IF(A404&gt;0,MIN('3. The decision'!$B$15,'3. The decision'!$B$29*(A404/'3. The decision'!$B$28)^$B$292),0)</f>
        <v>0.53560870263814</v>
      </c>
      <c r="C404" s="15" t="n">
        <f aca="false">(1-'3. The decision'!$B$27-B404)*(1-'3. The decision'!$B$27)^('3. The decision'!$B$12-1)</f>
        <v>0.282056460594413</v>
      </c>
      <c r="D404" s="15" t="n">
        <f aca="false">1+(1-'3. The decision'!$B$27-B404)*(1-(1-'3. The decision'!$B$27)^('3. The decision'!$B$12-1))/'3. The decision'!$B$27</f>
        <v>2.74187724462327</v>
      </c>
      <c r="E404" s="15" t="n">
        <f aca="false">(1-'3. The decision'!$B$14)*(1-'3. The decision'!$B$27)^('3. The decision'!$B$11-1)</f>
        <v>0.690273454655712</v>
      </c>
      <c r="F404" s="15" t="n">
        <f aca="false">1+(1-'3. The decision'!$B$14)*(1-(1-'3. The decision'!$B$27)^('3. The decision'!$B$11-1))/'3. The decision'!$B$27</f>
        <v>4.28912098262087</v>
      </c>
      <c r="G404" s="15" t="n">
        <f aca="false">(1-(1-'3. The decision'!$B$9*MIN(1,('3. The decision'!$B$10/(52/12)))))+(1-(1-'3. The decision'!$B$9*MAX(0,MIN(1,('3. The decision'!$B$10/(52/12))-1))))*(1-'3. The decision'!$B$14)+(1-(1-'3. The decision'!$B$9*MAX(0,MIN(1,('3. The decision'!$B$10/(52/12))-2))))*(1-'3. The decision'!$B$14)*(1-'3. The decision'!$B$27)</f>
        <v>0.884576923076923</v>
      </c>
      <c r="H404" s="15" t="n">
        <f aca="false">IF(A404&lt;=0,0,MAX(0,ROUNDUP(LN('3. The decision'!$B$13)/LN(1+A404)-0.000000000001,0)-1))</f>
        <v>2</v>
      </c>
      <c r="I404" s="15" t="n">
        <f aca="false">IF(A404&lt;=0,1/(1-C404),(1+A404)*(1-(C404*(1+A404))^H404)/(1-C404*(1+A404))+'3. The decision'!$B$13*C404^H404/(1-C404))</f>
        <v>1.90873506760677</v>
      </c>
      <c r="J404" s="17" t="n">
        <f aca="false">F404+E404*D404/(1-C404)</f>
        <v>6.92532421310747</v>
      </c>
      <c r="K404" s="15" t="n">
        <f aca="false">F404-G404+E404*D404*I404</f>
        <v>7.01710209024211</v>
      </c>
      <c r="L404" s="17" t="n">
        <f aca="false">'3. The decision'!$B$8*'3. The decision'!$B$5/J404</f>
        <v>67.8148755997761</v>
      </c>
      <c r="M404" s="31" t="n">
        <f aca="false">L404*'3. The decision'!$B$6*'3. The decision'!$B$7*K404</f>
        <v>912718.262090986</v>
      </c>
      <c r="N404" s="31" t="n">
        <f aca="false">M404*(1+'3. The decision'!$B$19+'3. The decision'!$B$20+'3. The decision'!$B$22)</f>
        <v>1009466.39787263</v>
      </c>
      <c r="O404" s="31" t="n">
        <f aca="false">'3. The decision'!$B$17+'3. The decision'!$B$18*L404*12+M404*('3. The decision'!$B$20*(1-'3. The decision'!$B$21)+'3. The decision'!$B$23)+N404*('3. The decision'!$B$24+'3. The decision'!$B$25)</f>
        <v>628861.300583102</v>
      </c>
      <c r="P404" s="31" t="n">
        <f aca="false">N404-O404</f>
        <v>380605.097289529</v>
      </c>
    </row>
    <row r="405" customFormat="false" ht="15" hidden="false" customHeight="false" outlineLevel="0" collapsed="false">
      <c r="A405" s="27" t="n">
        <f aca="false">110*0.0025</f>
        <v>0.275</v>
      </c>
      <c r="B405" s="27" t="n">
        <f aca="false">IF(A405&gt;0,MIN('3. The decision'!$B$15,'3. The decision'!$B$29*(A405/'3. The decision'!$B$28)^$B$292),0)</f>
        <v>0.547477750565143</v>
      </c>
      <c r="C405" s="15" t="n">
        <f aca="false">(1-'3. The decision'!$B$27-B405)*(1-'3. The decision'!$B$27)^('3. The decision'!$B$12-1)</f>
        <v>0.273642751445425</v>
      </c>
      <c r="D405" s="15" t="n">
        <f aca="false">1+(1-'3. The decision'!$B$27-B405)*(1-(1-'3. The decision'!$B$27)^('3. The decision'!$B$12-1))/'3. The decision'!$B$27</f>
        <v>2.68991726299897</v>
      </c>
      <c r="E405" s="15" t="n">
        <f aca="false">(1-'3. The decision'!$B$14)*(1-'3. The decision'!$B$27)^('3. The decision'!$B$11-1)</f>
        <v>0.690273454655712</v>
      </c>
      <c r="F405" s="15" t="n">
        <f aca="false">1+(1-'3. The decision'!$B$14)*(1-(1-'3. The decision'!$B$27)^('3. The decision'!$B$11-1))/'3. The decision'!$B$27</f>
        <v>4.28912098262087</v>
      </c>
      <c r="G405" s="15" t="n">
        <f aca="false">(1-(1-'3. The decision'!$B$9*MIN(1,('3. The decision'!$B$10/(52/12)))))+(1-(1-'3. The decision'!$B$9*MAX(0,MIN(1,('3. The decision'!$B$10/(52/12))-1))))*(1-'3. The decision'!$B$14)+(1-(1-'3. The decision'!$B$9*MAX(0,MIN(1,('3. The decision'!$B$10/(52/12))-2))))*(1-'3. The decision'!$B$14)*(1-'3. The decision'!$B$27)</f>
        <v>0.884576923076923</v>
      </c>
      <c r="H405" s="15" t="n">
        <f aca="false">IF(A405&lt;=0,0,MAX(0,ROUNDUP(LN('3. The decision'!$B$13)/LN(1+A405)-0.000000000001,0)-1))</f>
        <v>1</v>
      </c>
      <c r="I405" s="15" t="n">
        <f aca="false">IF(A405&lt;=0,1/(1-C405),(1+A405)*(1-(C405*(1+A405))^H405)/(1-C405*(1+A405))+'3. The decision'!$B$13*C405^H405/(1-C405))</f>
        <v>1.88530747366223</v>
      </c>
      <c r="J405" s="17" t="n">
        <f aca="false">F405+E405*D405/(1-C405)</f>
        <v>6.84540920795801</v>
      </c>
      <c r="K405" s="15" t="n">
        <f aca="false">F405-G405+E405*D405*I405</f>
        <v>6.90514240834553</v>
      </c>
      <c r="L405" s="17" t="n">
        <f aca="false">'3. The decision'!$B$8*'3. The decision'!$B$5/J405</f>
        <v>68.6065632795229</v>
      </c>
      <c r="M405" s="31" t="n">
        <f aca="false">L405*'3. The decision'!$B$6*'3. The decision'!$B$7*K405</f>
        <v>908640.897080788</v>
      </c>
      <c r="N405" s="31" t="n">
        <f aca="false">M405*(1+'3. The decision'!$B$19+'3. The decision'!$B$20+'3. The decision'!$B$22)</f>
        <v>1004956.83217135</v>
      </c>
      <c r="O405" s="31" t="n">
        <f aca="false">'3. The decision'!$B$17+'3. The decision'!$B$18*L405*12+M405*('3. The decision'!$B$20*(1-'3. The decision'!$B$21)+'3. The decision'!$B$23)+N405*('3. The decision'!$B$24+'3. The decision'!$B$25)</f>
        <v>629621.740183788</v>
      </c>
      <c r="P405" s="31" t="n">
        <f aca="false">N405-O405</f>
        <v>375335.091987563</v>
      </c>
    </row>
    <row r="406" customFormat="false" ht="15" hidden="false" customHeight="false" outlineLevel="0" collapsed="false">
      <c r="A406" s="27" t="n">
        <f aca="false">111*0.0025</f>
        <v>0.2775</v>
      </c>
      <c r="B406" s="27" t="n">
        <f aca="false">IF(A406&gt;0,MIN('3. The decision'!$B$15,'3. The decision'!$B$29*(A406/'3. The decision'!$B$28)^$B$292),0)</f>
        <v>0.559498825120355</v>
      </c>
      <c r="C406" s="15" t="n">
        <f aca="false">(1-'3. The decision'!$B$27-B406)*(1-'3. The decision'!$B$27)^('3. The decision'!$B$12-1)</f>
        <v>0.265121273936202</v>
      </c>
      <c r="D406" s="15" t="n">
        <f aca="false">1+(1-'3. The decision'!$B$27-B406)*(1-(1-'3. The decision'!$B$27)^('3. The decision'!$B$12-1))/'3. The decision'!$B$27</f>
        <v>2.63729174351041</v>
      </c>
      <c r="E406" s="15" t="n">
        <f aca="false">(1-'3. The decision'!$B$14)*(1-'3. The decision'!$B$27)^('3. The decision'!$B$11-1)</f>
        <v>0.690273454655712</v>
      </c>
      <c r="F406" s="15" t="n">
        <f aca="false">1+(1-'3. The decision'!$B$14)*(1-(1-'3. The decision'!$B$27)^('3. The decision'!$B$11-1))/'3. The decision'!$B$27</f>
        <v>4.28912098262087</v>
      </c>
      <c r="G406" s="15" t="n">
        <f aca="false">(1-(1-'3. The decision'!$B$9*MIN(1,('3. The decision'!$B$10/(52/12)))))+(1-(1-'3. The decision'!$B$9*MAX(0,MIN(1,('3. The decision'!$B$10/(52/12))-1))))*(1-'3. The decision'!$B$14)+(1-(1-'3. The decision'!$B$9*MAX(0,MIN(1,('3. The decision'!$B$10/(52/12))-2))))*(1-'3. The decision'!$B$14)*(1-'3. The decision'!$B$27)</f>
        <v>0.884576923076923</v>
      </c>
      <c r="H406" s="15" t="n">
        <f aca="false">IF(A406&lt;=0,0,MAX(0,ROUNDUP(LN('3. The decision'!$B$13)/LN(1+A406)-0.000000000001,0)-1))</f>
        <v>1</v>
      </c>
      <c r="I406" s="15" t="n">
        <f aca="false">IF(A406&lt;=0,1/(1-C406),(1+A406)*(1-(C406*(1+A406))^H406)/(1-C406*(1+A406))+'3. The decision'!$B$13*C406^H406/(1-C406))</f>
        <v>1.86194536294736</v>
      </c>
      <c r="J406" s="17" t="n">
        <f aca="false">F406+E406*D406/(1-C406)</f>
        <v>6.76633581843295</v>
      </c>
      <c r="K406" s="15" t="n">
        <f aca="false">F406-G406+E406*D406*I406</f>
        <v>6.7941271182252</v>
      </c>
      <c r="L406" s="17" t="n">
        <f aca="false">'3. The decision'!$B$8*'3. The decision'!$B$5/J406</f>
        <v>69.4083197467971</v>
      </c>
      <c r="M406" s="31" t="n">
        <f aca="false">L406*'3. The decision'!$B$6*'3. The decision'!$B$7*K406</f>
        <v>904480.430927336</v>
      </c>
      <c r="N406" s="31" t="n">
        <f aca="false">M406*(1+'3. The decision'!$B$19+'3. The decision'!$B$20+'3. The decision'!$B$22)</f>
        <v>1000355.35660563</v>
      </c>
      <c r="O406" s="31" t="n">
        <f aca="false">'3. The decision'!$B$17+'3. The decision'!$B$18*L406*12+M406*('3. The decision'!$B$20*(1-'3. The decision'!$B$21)+'3. The decision'!$B$23)+N406*('3. The decision'!$B$24+'3. The decision'!$B$25)</f>
        <v>630388.488383516</v>
      </c>
      <c r="P406" s="31" t="n">
        <f aca="false">N406-O406</f>
        <v>369966.868222119</v>
      </c>
    </row>
    <row r="407" customFormat="false" ht="15" hidden="false" customHeight="false" outlineLevel="0" collapsed="false">
      <c r="A407" s="27" t="n">
        <f aca="false">112*0.0025</f>
        <v>0.28</v>
      </c>
      <c r="B407" s="27" t="n">
        <f aca="false">IF(A407&gt;0,MIN('3. The decision'!$B$15,'3. The decision'!$B$29*(A407/'3. The decision'!$B$28)^$B$292),0)</f>
        <v>0.571672477631968</v>
      </c>
      <c r="C407" s="15" t="n">
        <f aca="false">(1-'3. The decision'!$B$27-B407)*(1-'3. The decision'!$B$27)^('3. The decision'!$B$12-1)</f>
        <v>0.256491637242216</v>
      </c>
      <c r="D407" s="15" t="n">
        <f aca="false">1+(1-'3. The decision'!$B$27-B407)*(1-(1-'3. The decision'!$B$27)^('3. The decision'!$B$12-1))/'3. The decision'!$B$27</f>
        <v>2.58399827256867</v>
      </c>
      <c r="E407" s="15" t="n">
        <f aca="false">(1-'3. The decision'!$B$14)*(1-'3. The decision'!$B$27)^('3. The decision'!$B$11-1)</f>
        <v>0.690273454655712</v>
      </c>
      <c r="F407" s="15" t="n">
        <f aca="false">1+(1-'3. The decision'!$B$14)*(1-(1-'3. The decision'!$B$27)^('3. The decision'!$B$11-1))/'3. The decision'!$B$27</f>
        <v>4.28912098262087</v>
      </c>
      <c r="G407" s="15" t="n">
        <f aca="false">(1-(1-'3. The decision'!$B$9*MIN(1,('3. The decision'!$B$10/(52/12)))))+(1-(1-'3. The decision'!$B$9*MAX(0,MIN(1,('3. The decision'!$B$10/(52/12))-1))))*(1-'3. The decision'!$B$14)+(1-(1-'3. The decision'!$B$9*MAX(0,MIN(1,('3. The decision'!$B$10/(52/12))-2))))*(1-'3. The decision'!$B$14)*(1-'3. The decision'!$B$27)</f>
        <v>0.884576923076923</v>
      </c>
      <c r="H407" s="15" t="n">
        <f aca="false">IF(A407&lt;=0,0,MAX(0,ROUNDUP(LN('3. The decision'!$B$13)/LN(1+A407)-0.000000000001,0)-1))</f>
        <v>1</v>
      </c>
      <c r="I407" s="15" t="n">
        <f aca="false">IF(A407&lt;=0,1/(1-C407),(1+A407)*(1-(C407*(1+A407))^H407)/(1-C407*(1+A407))+'3. The decision'!$B$13*C407^H407/(1-C407))</f>
        <v>1.83885915094644</v>
      </c>
      <c r="J407" s="17" t="n">
        <f aca="false">F407+E407*D407/(1-C407)</f>
        <v>6.6881059890766</v>
      </c>
      <c r="K407" s="15" t="n">
        <f aca="false">F407-G407+E407*D407*I407</f>
        <v>6.6844535290959</v>
      </c>
      <c r="L407" s="17" t="n">
        <f aca="false">'3. The decision'!$B$8*'3. The decision'!$B$5/J407</f>
        <v>70.2201790412777</v>
      </c>
      <c r="M407" s="31" t="n">
        <f aca="false">L407*'3. The decision'!$B$6*'3. The decision'!$B$7*K407</f>
        <v>900288.736190839</v>
      </c>
      <c r="N407" s="31" t="n">
        <f aca="false">M407*(1+'3. The decision'!$B$19+'3. The decision'!$B$20+'3. The decision'!$B$22)</f>
        <v>995719.342227067</v>
      </c>
      <c r="O407" s="31" t="n">
        <f aca="false">'3. The decision'!$B$17+'3. The decision'!$B$18*L407*12+M407*('3. The decision'!$B$20*(1-'3. The decision'!$B$21)+'3. The decision'!$B$23)+N407*('3. The decision'!$B$24+'3. The decision'!$B$25)</f>
        <v>631167.179634733</v>
      </c>
      <c r="P407" s="31" t="n">
        <f aca="false">N407-O407</f>
        <v>364552.162592335</v>
      </c>
    </row>
    <row r="408" customFormat="false" ht="15" hidden="false" customHeight="false" outlineLevel="0" collapsed="false">
      <c r="A408" s="27" t="n">
        <f aca="false">113*0.0025</f>
        <v>0.2825</v>
      </c>
      <c r="B408" s="27" t="n">
        <f aca="false">IF(A408&gt;0,MIN('3. The decision'!$B$15,'3. The decision'!$B$29*(A408/'3. The decision'!$B$28)^$B$292),0)</f>
        <v>0.583999256455943</v>
      </c>
      <c r="C408" s="15" t="n">
        <f aca="false">(1-'3. The decision'!$B$27-B408)*(1-'3. The decision'!$B$27)^('3. The decision'!$B$12-1)</f>
        <v>0.247753452645888</v>
      </c>
      <c r="D408" s="15" t="n">
        <f aca="false">1+(1-'3. The decision'!$B$27-B408)*(1-(1-'3. The decision'!$B$27)^('3. The decision'!$B$12-1))/'3. The decision'!$B$27</f>
        <v>2.53003444959654</v>
      </c>
      <c r="E408" s="15" t="n">
        <f aca="false">(1-'3. The decision'!$B$14)*(1-'3. The decision'!$B$27)^('3. The decision'!$B$11-1)</f>
        <v>0.690273454655712</v>
      </c>
      <c r="F408" s="15" t="n">
        <f aca="false">1+(1-'3. The decision'!$B$14)*(1-(1-'3. The decision'!$B$27)^('3. The decision'!$B$11-1))/'3. The decision'!$B$27</f>
        <v>4.28912098262087</v>
      </c>
      <c r="G408" s="15" t="n">
        <f aca="false">(1-(1-'3. The decision'!$B$9*MIN(1,('3. The decision'!$B$10/(52/12)))))+(1-(1-'3. The decision'!$B$9*MAX(0,MIN(1,('3. The decision'!$B$10/(52/12))-1))))*(1-'3. The decision'!$B$14)+(1-(1-'3. The decision'!$B$9*MAX(0,MIN(1,('3. The decision'!$B$10/(52/12))-2))))*(1-'3. The decision'!$B$14)*(1-'3. The decision'!$B$27)</f>
        <v>0.884576923076923</v>
      </c>
      <c r="H408" s="15" t="n">
        <f aca="false">IF(A408&lt;=0,0,MAX(0,ROUNDUP(LN('3. The decision'!$B$13)/LN(1+A408)-0.000000000001,0)-1))</f>
        <v>1</v>
      </c>
      <c r="I408" s="15" t="n">
        <f aca="false">IF(A408&lt;=0,1/(1-C408),(1+A408)*(1-(C408*(1+A408))^H408)/(1-C408*(1+A408))+'3. The decision'!$B$13*C408^H408/(1-C408))</f>
        <v>1.81604926612565</v>
      </c>
      <c r="J408" s="17" t="n">
        <f aca="false">F408+E408*D408/(1-C408)</f>
        <v>6.61072102992406</v>
      </c>
      <c r="K408" s="15" t="n">
        <f aca="false">F408-G408+E408*D408*I408</f>
        <v>6.57612086445179</v>
      </c>
      <c r="L408" s="17" t="n">
        <f aca="false">'3. The decision'!$B$8*'3. The decision'!$B$5/J408</f>
        <v>71.0421749570326</v>
      </c>
      <c r="M408" s="31" t="n">
        <f aca="false">L408*'3. The decision'!$B$6*'3. The decision'!$B$7*K408</f>
        <v>896066.025477585</v>
      </c>
      <c r="N408" s="31" t="n">
        <f aca="false">M408*(1+'3. The decision'!$B$19+'3. The decision'!$B$20+'3. The decision'!$B$22)</f>
        <v>991049.024178208</v>
      </c>
      <c r="O408" s="31" t="n">
        <f aca="false">'3. The decision'!$B$17+'3. The decision'!$B$18*L408*12+M408*('3. The decision'!$B$20*(1-'3. The decision'!$B$21)+'3. The decision'!$B$23)+N408*('3. The decision'!$B$24+'3. The decision'!$B$25)</f>
        <v>631957.888011966</v>
      </c>
      <c r="P408" s="31" t="n">
        <f aca="false">N408-O408</f>
        <v>359091.136166243</v>
      </c>
    </row>
    <row r="409" customFormat="false" ht="15" hidden="false" customHeight="false" outlineLevel="0" collapsed="false">
      <c r="A409" s="27" t="n">
        <f aca="false">114*0.0025</f>
        <v>0.285</v>
      </c>
      <c r="B409" s="27" t="n">
        <f aca="false">IF(A409&gt;0,MIN('3. The decision'!$B$15,'3. The decision'!$B$29*(A409/'3. The decision'!$B$28)^$B$292),0)</f>
        <v>0.596479707018364</v>
      </c>
      <c r="C409" s="15" t="n">
        <f aca="false">(1-'3. The decision'!$B$27-B409)*(1-'3. The decision'!$B$27)^('3. The decision'!$B$12-1)</f>
        <v>0.238906333506565</v>
      </c>
      <c r="D409" s="15" t="n">
        <f aca="false">1+(1-'3. The decision'!$B$27-B409)*(1-(1-'3. The decision'!$B$27)^('3. The decision'!$B$12-1))/'3. The decision'!$B$27</f>
        <v>2.47539788684318</v>
      </c>
      <c r="E409" s="15" t="n">
        <f aca="false">(1-'3. The decision'!$B$14)*(1-'3. The decision'!$B$27)^('3. The decision'!$B$11-1)</f>
        <v>0.690273454655712</v>
      </c>
      <c r="F409" s="15" t="n">
        <f aca="false">1+(1-'3. The decision'!$B$14)*(1-(1-'3. The decision'!$B$27)^('3. The decision'!$B$11-1))/'3. The decision'!$B$27</f>
        <v>4.28912098262087</v>
      </c>
      <c r="G409" s="15" t="n">
        <f aca="false">(1-(1-'3. The decision'!$B$9*MIN(1,('3. The decision'!$B$10/(52/12)))))+(1-(1-'3. The decision'!$B$9*MAX(0,MIN(1,('3. The decision'!$B$10/(52/12))-1))))*(1-'3. The decision'!$B$14)+(1-(1-'3. The decision'!$B$9*MAX(0,MIN(1,('3. The decision'!$B$10/(52/12))-2))))*(1-'3. The decision'!$B$14)*(1-'3. The decision'!$B$27)</f>
        <v>0.884576923076923</v>
      </c>
      <c r="H409" s="15" t="n">
        <f aca="false">IF(A409&lt;=0,0,MAX(0,ROUNDUP(LN('3. The decision'!$B$13)/LN(1+A409)-0.000000000001,0)-1))</f>
        <v>1</v>
      </c>
      <c r="I409" s="15" t="n">
        <f aca="false">IF(A409&lt;=0,1/(1-C409),(1+A409)*(1-(C409*(1+A409))^H409)/(1-C409*(1+A409))+'3. The decision'!$B$13*C409^H409/(1-C409))</f>
        <v>1.79351593873298</v>
      </c>
      <c r="J409" s="17" t="n">
        <f aca="false">F409+E409*D409/(1-C409)</f>
        <v>6.53418164495846</v>
      </c>
      <c r="K409" s="15" t="n">
        <f aca="false">F409-G409+E409*D409*I409</f>
        <v>6.46912734644627</v>
      </c>
      <c r="L409" s="17" t="n">
        <f aca="false">'3. The decision'!$B$8*'3. The decision'!$B$5/J409</f>
        <v>71.8743410450424</v>
      </c>
      <c r="M409" s="31" t="n">
        <f aca="false">L409*'3. The decision'!$B$6*'3. The decision'!$B$7*K409</f>
        <v>891812.493631631</v>
      </c>
      <c r="N409" s="31" t="n">
        <f aca="false">M409*(1+'3. The decision'!$B$19+'3. The decision'!$B$20+'3. The decision'!$B$22)</f>
        <v>986344.617956584</v>
      </c>
      <c r="O409" s="31" t="n">
        <f aca="false">'3. The decision'!$B$17+'3. The decision'!$B$18*L409*12+M409*('3. The decision'!$B$20*(1-'3. The decision'!$B$21)+'3. The decision'!$B$23)+N409*('3. The decision'!$B$24+'3. The decision'!$B$25)</f>
        <v>632760.68530981</v>
      </c>
      <c r="P409" s="31" t="n">
        <f aca="false">N409-O409</f>
        <v>353583.932646774</v>
      </c>
    </row>
    <row r="410" customFormat="false" ht="15" hidden="false" customHeight="false" outlineLevel="0" collapsed="false">
      <c r="A410" s="27" t="n">
        <f aca="false">115*0.0025</f>
        <v>0.2875</v>
      </c>
      <c r="B410" s="27" t="n">
        <f aca="false">IF(A410&gt;0,MIN('3. The decision'!$B$15,'3. The decision'!$B$29*(A410/'3. The decision'!$B$28)^$B$292),0)</f>
        <v>0.609114371856813</v>
      </c>
      <c r="C410" s="15" t="n">
        <f aca="false">(1-'3. The decision'!$B$27-B410)*(1-'3. The decision'!$B$27)^('3. The decision'!$B$12-1)</f>
        <v>0.229949895231192</v>
      </c>
      <c r="D410" s="15" t="n">
        <f aca="false">1+(1-'3. The decision'!$B$27-B410)*(1-(1-'3. The decision'!$B$27)^('3. The decision'!$B$12-1))/'3. The decision'!$B$27</f>
        <v>2.42008620920294</v>
      </c>
      <c r="E410" s="15" t="n">
        <f aca="false">(1-'3. The decision'!$B$14)*(1-'3. The decision'!$B$27)^('3. The decision'!$B$11-1)</f>
        <v>0.690273454655712</v>
      </c>
      <c r="F410" s="15" t="n">
        <f aca="false">1+(1-'3. The decision'!$B$14)*(1-(1-'3. The decision'!$B$27)^('3. The decision'!$B$11-1))/'3. The decision'!$B$27</f>
        <v>4.28912098262087</v>
      </c>
      <c r="G410" s="15" t="n">
        <f aca="false">(1-(1-'3. The decision'!$B$9*MIN(1,('3. The decision'!$B$10/(52/12)))))+(1-(1-'3. The decision'!$B$9*MAX(0,MIN(1,('3. The decision'!$B$10/(52/12))-1))))*(1-'3. The decision'!$B$14)+(1-(1-'3. The decision'!$B$9*MAX(0,MIN(1,('3. The decision'!$B$10/(52/12))-2))))*(1-'3. The decision'!$B$14)*(1-'3. The decision'!$B$27)</f>
        <v>0.884576923076923</v>
      </c>
      <c r="H410" s="15" t="n">
        <f aca="false">IF(A410&lt;=0,0,MAX(0,ROUNDUP(LN('3. The decision'!$B$13)/LN(1+A410)-0.000000000001,0)-1))</f>
        <v>1</v>
      </c>
      <c r="I410" s="15" t="n">
        <f aca="false">IF(A410&lt;=0,1/(1-C410),(1+A410)*(1-(C410*(1+A410))^H410)/(1-C410*(1+A410))+'3. The decision'!$B$13*C410^H410/(1-C410))</f>
        <v>1.7712592099106</v>
      </c>
      <c r="J410" s="17" t="n">
        <f aca="false">F410+E410*D410/(1-C410)</f>
        <v>6.45848795997191</v>
      </c>
      <c r="K410" s="15" t="n">
        <f aca="false">F410-G410+E410*D410*I410</f>
        <v>6.36347024117907</v>
      </c>
      <c r="L410" s="17" t="n">
        <f aca="false">'3. The decision'!$B$8*'3. The decision'!$B$5/J410</f>
        <v>72.7167106156598</v>
      </c>
      <c r="M410" s="31" t="n">
        <f aca="false">L410*'3. The decision'!$B$6*'3. The decision'!$B$7*K410</f>
        <v>887528.316955855</v>
      </c>
      <c r="N410" s="31" t="n">
        <f aca="false">M410*(1+'3. The decision'!$B$19+'3. The decision'!$B$20+'3. The decision'!$B$22)</f>
        <v>981606.318553176</v>
      </c>
      <c r="O410" s="31" t="n">
        <f aca="false">'3. The decision'!$B$17+'3. The decision'!$B$18*L410*12+M410*('3. The decision'!$B$20*(1-'3. The decision'!$B$21)+'3. The decision'!$B$23)+N410*('3. The decision'!$B$24+'3. The decision'!$B$25)</f>
        <v>633575.640962816</v>
      </c>
      <c r="P410" s="31" t="n">
        <f aca="false">N410-O410</f>
        <v>348030.67759036</v>
      </c>
    </row>
    <row r="411" customFormat="false" ht="15" hidden="false" customHeight="false" outlineLevel="0" collapsed="false">
      <c r="A411" s="27" t="n">
        <f aca="false">116*0.0025</f>
        <v>0.29</v>
      </c>
      <c r="B411" s="27" t="n">
        <f aca="false">IF(A411&gt;0,MIN('3. The decision'!$B$15,'3. The decision'!$B$29*(A411/'3. The decision'!$B$28)^$B$292),0)</f>
        <v>0.621903790660806</v>
      </c>
      <c r="C411" s="15" t="n">
        <f aca="false">(1-'3. The decision'!$B$27-B411)*(1-'3. The decision'!$B$27)^('3. The decision'!$B$12-1)</f>
        <v>0.220883755245644</v>
      </c>
      <c r="D411" s="15" t="n">
        <f aca="false">1+(1-'3. The decision'!$B$27-B411)*(1-(1-'3. The decision'!$B$27)^('3. The decision'!$B$12-1))/'3. The decision'!$B$27</f>
        <v>2.36409705403835</v>
      </c>
      <c r="E411" s="15" t="n">
        <f aca="false">(1-'3. The decision'!$B$14)*(1-'3. The decision'!$B$27)^('3. The decision'!$B$11-1)</f>
        <v>0.690273454655712</v>
      </c>
      <c r="F411" s="15" t="n">
        <f aca="false">1+(1-'3. The decision'!$B$14)*(1-(1-'3. The decision'!$B$27)^('3. The decision'!$B$11-1))/'3. The decision'!$B$27</f>
        <v>4.28912098262087</v>
      </c>
      <c r="G411" s="15" t="n">
        <f aca="false">(1-(1-'3. The decision'!$B$9*MIN(1,('3. The decision'!$B$10/(52/12)))))+(1-(1-'3. The decision'!$B$9*MAX(0,MIN(1,('3. The decision'!$B$10/(52/12))-1))))*(1-'3. The decision'!$B$14)+(1-(1-'3. The decision'!$B$9*MAX(0,MIN(1,('3. The decision'!$B$10/(52/12))-2))))*(1-'3. The decision'!$B$14)*(1-'3. The decision'!$B$27)</f>
        <v>0.884576923076923</v>
      </c>
      <c r="H411" s="15" t="n">
        <f aca="false">IF(A411&lt;=0,0,MAX(0,ROUNDUP(LN('3. The decision'!$B$13)/LN(1+A411)-0.000000000001,0)-1))</f>
        <v>1</v>
      </c>
      <c r="I411" s="15" t="n">
        <f aca="false">IF(A411&lt;=0,1/(1-C411),(1+A411)*(1-(C411*(1+A411))^H411)/(1-C411*(1+A411))+'3. The decision'!$B$13*C411^H411/(1-C411))</f>
        <v>1.74927894060374</v>
      </c>
      <c r="J411" s="17" t="n">
        <f aca="false">F411+E411*D411/(1-C411)</f>
        <v>6.38363954980458</v>
      </c>
      <c r="K411" s="15" t="n">
        <f aca="false">F411-G411+E411*D411*I411</f>
        <v>6.25914590297285</v>
      </c>
      <c r="L411" s="17" t="n">
        <f aca="false">'3. The decision'!$B$8*'3. The decision'!$B$5/J411</f>
        <v>73.5693167410082</v>
      </c>
      <c r="M411" s="31" t="n">
        <f aca="false">L411*'3. The decision'!$B$6*'3. The decision'!$B$7*K411</f>
        <v>883213.652425811</v>
      </c>
      <c r="N411" s="31" t="n">
        <f aca="false">M411*(1+'3. The decision'!$B$19+'3. The decision'!$B$20+'3. The decision'!$B$22)</f>
        <v>976834.299582947</v>
      </c>
      <c r="O411" s="31" t="n">
        <f aca="false">'3. The decision'!$B$17+'3. The decision'!$B$18*L411*12+M411*('3. The decision'!$B$20*(1-'3. The decision'!$B$21)+'3. The decision'!$B$23)+N411*('3. The decision'!$B$24+'3. The decision'!$B$25)</f>
        <v>634402.821964517</v>
      </c>
      <c r="P411" s="31" t="n">
        <f aca="false">N411-O411</f>
        <v>342431.47761843</v>
      </c>
    </row>
    <row r="412" customFormat="false" ht="15" hidden="false" customHeight="false" outlineLevel="0" collapsed="false">
      <c r="A412" s="27" t="n">
        <f aca="false">117*0.0025</f>
        <v>0.2925</v>
      </c>
      <c r="B412" s="27" t="n">
        <f aca="false">IF(A412&gt;0,MIN('3. The decision'!$B$15,'3. The decision'!$B$29*(A412/'3. The decision'!$B$28)^$B$292),0)</f>
        <v>0.634848500311319</v>
      </c>
      <c r="C412" s="15" t="n">
        <f aca="false">(1-'3. The decision'!$B$27-B412)*(1-'3. The decision'!$B$27)^('3. The decision'!$B$12-1)</f>
        <v>0.211707532966709</v>
      </c>
      <c r="D412" s="15" t="n">
        <f aca="false">1+(1-'3. The decision'!$B$27-B412)*(1-(1-'3. The decision'!$B$27)^('3. The decision'!$B$12-1))/'3. The decision'!$B$27</f>
        <v>2.30742807100709</v>
      </c>
      <c r="E412" s="15" t="n">
        <f aca="false">(1-'3. The decision'!$B$14)*(1-'3. The decision'!$B$27)^('3. The decision'!$B$11-1)</f>
        <v>0.690273454655712</v>
      </c>
      <c r="F412" s="15" t="n">
        <f aca="false">1+(1-'3. The decision'!$B$14)*(1-(1-'3. The decision'!$B$27)^('3. The decision'!$B$11-1))/'3. The decision'!$B$27</f>
        <v>4.28912098262087</v>
      </c>
      <c r="G412" s="15" t="n">
        <f aca="false">(1-(1-'3. The decision'!$B$9*MIN(1,('3. The decision'!$B$10/(52/12)))))+(1-(1-'3. The decision'!$B$9*MAX(0,MIN(1,('3. The decision'!$B$10/(52/12))-1))))*(1-'3. The decision'!$B$14)+(1-(1-'3. The decision'!$B$9*MAX(0,MIN(1,('3. The decision'!$B$10/(52/12))-2))))*(1-'3. The decision'!$B$14)*(1-'3. The decision'!$B$27)</f>
        <v>0.884576923076923</v>
      </c>
      <c r="H412" s="15" t="n">
        <f aca="false">IF(A412&lt;=0,0,MAX(0,ROUNDUP(LN('3. The decision'!$B$13)/LN(1+A412)-0.000000000001,0)-1))</f>
        <v>1</v>
      </c>
      <c r="I412" s="15" t="n">
        <f aca="false">IF(A412&lt;=0,1/(1-C412),(1+A412)*(1-(C412*(1+A412))^H412)/(1-C412*(1+A412))+'3. The decision'!$B$13*C412^H412/(1-C412))</f>
        <v>1.72757482025905</v>
      </c>
      <c r="J412" s="17" t="n">
        <f aca="false">F412+E412*D412/(1-C412)</f>
        <v>6.30963546493974</v>
      </c>
      <c r="K412" s="15" t="n">
        <f aca="false">F412-G412+E412*D412*I412</f>
        <v>6.15614981760398</v>
      </c>
      <c r="L412" s="17" t="n">
        <f aca="false">'3. The decision'!$B$8*'3. The decision'!$B$5/J412</f>
        <v>74.4321922573201</v>
      </c>
      <c r="M412" s="31" t="n">
        <f aca="false">L412*'3. The decision'!$B$6*'3. The decision'!$B$7*K412</f>
        <v>878868.636896403</v>
      </c>
      <c r="N412" s="31" t="n">
        <f aca="false">M412*(1+'3. The decision'!$B$19+'3. The decision'!$B$20+'3. The decision'!$B$22)</f>
        <v>972028.712407421</v>
      </c>
      <c r="O412" s="31" t="n">
        <f aca="false">'3. The decision'!$B$17+'3. The decision'!$B$18*L412*12+M412*('3. The decision'!$B$20*(1-'3. The decision'!$B$21)+'3. The decision'!$B$23)+N412*('3. The decision'!$B$24+'3. The decision'!$B$25)</f>
        <v>635242.292785586</v>
      </c>
      <c r="P412" s="31" t="n">
        <f aca="false">N412-O412</f>
        <v>336786.419621835</v>
      </c>
    </row>
    <row r="413" customFormat="false" ht="15" hidden="false" customHeight="false" outlineLevel="0" collapsed="false">
      <c r="A413" s="27" t="n">
        <f aca="false">118*0.0025</f>
        <v>0.295</v>
      </c>
      <c r="B413" s="27" t="n">
        <f aca="false">IF(A413&gt;0,MIN('3. The decision'!$B$15,'3. The decision'!$B$29*(A413/'3. The decision'!$B$28)^$B$292),0)</f>
        <v>0.647949034919426</v>
      </c>
      <c r="C413" s="15" t="n">
        <f aca="false">(1-'3. The decision'!$B$27-B413)*(1-'3. The decision'!$B$27)^('3. The decision'!$B$12-1)</f>
        <v>0.2024208497747</v>
      </c>
      <c r="D413" s="15" t="n">
        <f aca="false">1+(1-'3. The decision'!$B$27-B413)*(1-(1-'3. The decision'!$B$27)^('3. The decision'!$B$12-1))/'3. The decision'!$B$27</f>
        <v>2.25007692189285</v>
      </c>
      <c r="E413" s="15" t="n">
        <f aca="false">(1-'3. The decision'!$B$14)*(1-'3. The decision'!$B$27)^('3. The decision'!$B$11-1)</f>
        <v>0.690273454655712</v>
      </c>
      <c r="F413" s="15" t="n">
        <f aca="false">1+(1-'3. The decision'!$B$14)*(1-(1-'3. The decision'!$B$27)^('3. The decision'!$B$11-1))/'3. The decision'!$B$27</f>
        <v>4.28912098262087</v>
      </c>
      <c r="G413" s="15" t="n">
        <f aca="false">(1-(1-'3. The decision'!$B$9*MIN(1,('3. The decision'!$B$10/(52/12)))))+(1-(1-'3. The decision'!$B$9*MAX(0,MIN(1,('3. The decision'!$B$10/(52/12))-1))))*(1-'3. The decision'!$B$14)+(1-(1-'3. The decision'!$B$9*MAX(0,MIN(1,('3. The decision'!$B$10/(52/12))-2))))*(1-'3. The decision'!$B$14)*(1-'3. The decision'!$B$27)</f>
        <v>0.884576923076923</v>
      </c>
      <c r="H413" s="15" t="n">
        <f aca="false">IF(A413&lt;=0,0,MAX(0,ROUNDUP(LN('3. The decision'!$B$13)/LN(1+A413)-0.000000000001,0)-1))</f>
        <v>1</v>
      </c>
      <c r="I413" s="15" t="n">
        <f aca="false">IF(A413&lt;=0,1/(1-C413),(1+A413)*(1-(C413*(1+A413))^H413)/(1-C413*(1+A413))+'3. The decision'!$B$13*C413^H413/(1-C413))</f>
        <v>1.7061463753063</v>
      </c>
      <c r="J413" s="17" t="n">
        <f aca="false">F413+E413*D413/(1-C413)</f>
        <v>6.2364742574367</v>
      </c>
      <c r="K413" s="15" t="n">
        <f aca="false">F413-G413+E413*D413*I413</f>
        <v>6.05447664445787</v>
      </c>
      <c r="L413" s="17" t="n">
        <f aca="false">'3. The decision'!$B$8*'3. The decision'!$B$5/J413</f>
        <v>75.3053697672168</v>
      </c>
      <c r="M413" s="31" t="n">
        <f aca="false">L413*'3. The decision'!$B$6*'3. The decision'!$B$7*K413</f>
        <v>874493.386301388</v>
      </c>
      <c r="N413" s="31" t="n">
        <f aca="false">M413*(1+'3. The decision'!$B$19+'3. The decision'!$B$20+'3. The decision'!$B$22)</f>
        <v>967189.685249335</v>
      </c>
      <c r="O413" s="31" t="n">
        <f aca="false">'3. The decision'!$B$17+'3. The decision'!$B$18*L413*12+M413*('3. The decision'!$B$20*(1-'3. The decision'!$B$21)+'3. The decision'!$B$23)+N413*('3. The decision'!$B$24+'3. The decision'!$B$25)</f>
        <v>636094.115291133</v>
      </c>
      <c r="P413" s="31" t="n">
        <f aca="false">N413-O413</f>
        <v>331095.569958202</v>
      </c>
    </row>
    <row r="414" customFormat="false" ht="15" hidden="false" customHeight="false" outlineLevel="0" collapsed="false">
      <c r="A414" s="27" t="n">
        <f aca="false">119*0.0025</f>
        <v>0.2975</v>
      </c>
      <c r="B414" s="27" t="n">
        <f aca="false">IF(A414&gt;0,MIN('3. The decision'!$B$15,'3. The decision'!$B$29*(A414/'3. The decision'!$B$28)^$B$292),0)</f>
        <v>0.661205925864087</v>
      </c>
      <c r="C414" s="15" t="n">
        <f aca="false">(1-'3. The decision'!$B$27-B414)*(1-'3. The decision'!$B$27)^('3. The decision'!$B$12-1)</f>
        <v>0.193023328986663</v>
      </c>
      <c r="D414" s="15" t="n">
        <f aca="false">1+(1-'3. The decision'!$B$27-B414)*(1-(1-'3. The decision'!$B$27)^('3. The decision'!$B$12-1))/'3. The decision'!$B$27</f>
        <v>2.19204128043986</v>
      </c>
      <c r="E414" s="15" t="n">
        <f aca="false">(1-'3. The decision'!$B$14)*(1-'3. The decision'!$B$27)^('3. The decision'!$B$11-1)</f>
        <v>0.690273454655712</v>
      </c>
      <c r="F414" s="15" t="n">
        <f aca="false">1+(1-'3. The decision'!$B$14)*(1-(1-'3. The decision'!$B$27)^('3. The decision'!$B$11-1))/'3. The decision'!$B$27</f>
        <v>4.28912098262087</v>
      </c>
      <c r="G414" s="15" t="n">
        <f aca="false">(1-(1-'3. The decision'!$B$9*MIN(1,('3. The decision'!$B$10/(52/12)))))+(1-(1-'3. The decision'!$B$9*MAX(0,MIN(1,('3. The decision'!$B$10/(52/12))-1))))*(1-'3. The decision'!$B$14)+(1-(1-'3. The decision'!$B$9*MAX(0,MIN(1,('3. The decision'!$B$10/(52/12))-2))))*(1-'3. The decision'!$B$14)*(1-'3. The decision'!$B$27)</f>
        <v>0.884576923076923</v>
      </c>
      <c r="H414" s="15" t="n">
        <f aca="false">IF(A414&lt;=0,0,MAX(0,ROUNDUP(LN('3. The decision'!$B$13)/LN(1+A414)-0.000000000001,0)-1))</f>
        <v>1</v>
      </c>
      <c r="I414" s="15" t="n">
        <f aca="false">IF(A414&lt;=0,1/(1-C414),(1+A414)*(1-(C414*(1+A414))^H414)/(1-C414*(1+A414))+'3. The decision'!$B$13*C414^H414/(1-C414))</f>
        <v>1.68499297741871</v>
      </c>
      <c r="J414" s="17" t="n">
        <f aca="false">F414+E414*D414/(1-C414)</f>
        <v>6.16415400618661</v>
      </c>
      <c r="K414" s="15" t="n">
        <f aca="false">F414-G414+E414*D414*I414</f>
        <v>5.95412025758487</v>
      </c>
      <c r="L414" s="17" t="n">
        <f aca="false">'3. The decision'!$B$8*'3. The decision'!$B$5/J414</f>
        <v>76.1888816419332</v>
      </c>
      <c r="M414" s="31" t="n">
        <f aca="false">L414*'3. The decision'!$B$6*'3. The decision'!$B$7*K414</f>
        <v>870087.994845724</v>
      </c>
      <c r="N414" s="31" t="n">
        <f aca="false">M414*(1+'3. The decision'!$B$19+'3. The decision'!$B$20+'3. The decision'!$B$22)</f>
        <v>962317.322299371</v>
      </c>
      <c r="O414" s="31" t="n">
        <f aca="false">'3. The decision'!$B$17+'3. The decision'!$B$18*L414*12+M414*('3. The decision'!$B$20*(1-'3. The decision'!$B$21)+'3. The decision'!$B$23)+N414*('3. The decision'!$B$24+'3. The decision'!$B$25)</f>
        <v>636958.34865715</v>
      </c>
      <c r="P414" s="31" t="n">
        <f aca="false">N414-O414</f>
        <v>325358.973642221</v>
      </c>
    </row>
    <row r="415" customFormat="false" ht="15" hidden="false" customHeight="false" outlineLevel="0" collapsed="false">
      <c r="A415" s="27" t="n">
        <f aca="false">120*0.0025</f>
        <v>0.3</v>
      </c>
      <c r="B415" s="27" t="n">
        <f aca="false">IF(A415&gt;0,MIN('3. The decision'!$B$15,'3. The decision'!$B$29*(A415/'3. The decision'!$B$28)^$B$292),0)</f>
        <v>0.674619701829096</v>
      </c>
      <c r="C415" s="15" t="n">
        <f aca="false">(1-'3. The decision'!$B$27-B415)*(1-'3. The decision'!$B$27)^('3. The decision'!$B$12-1)</f>
        <v>0.183514595830189</v>
      </c>
      <c r="D415" s="15" t="n">
        <f aca="false">1+(1-'3. The decision'!$B$27-B415)*(1-(1-'3. The decision'!$B$27)^('3. The decision'!$B$12-1))/'3. The decision'!$B$27</f>
        <v>2.1333188321912</v>
      </c>
      <c r="E415" s="15" t="n">
        <f aca="false">(1-'3. The decision'!$B$14)*(1-'3. The decision'!$B$27)^('3. The decision'!$B$11-1)</f>
        <v>0.690273454655712</v>
      </c>
      <c r="F415" s="15" t="n">
        <f aca="false">1+(1-'3. The decision'!$B$14)*(1-(1-'3. The decision'!$B$27)^('3. The decision'!$B$11-1))/'3. The decision'!$B$27</f>
        <v>4.28912098262087</v>
      </c>
      <c r="G415" s="15" t="n">
        <f aca="false">(1-(1-'3. The decision'!$B$9*MIN(1,('3. The decision'!$B$10/(52/12)))))+(1-(1-'3. The decision'!$B$9*MAX(0,MIN(1,('3. The decision'!$B$10/(52/12))-1))))*(1-'3. The decision'!$B$14)+(1-(1-'3. The decision'!$B$9*MAX(0,MIN(1,('3. The decision'!$B$10/(52/12))-2))))*(1-'3. The decision'!$B$14)*(1-'3. The decision'!$B$27)</f>
        <v>0.884576923076923</v>
      </c>
      <c r="H415" s="15" t="n">
        <f aca="false">IF(A415&lt;=0,0,MAX(0,ROUNDUP(LN('3. The decision'!$B$13)/LN(1+A415)-0.000000000001,0)-1))</f>
        <v>1</v>
      </c>
      <c r="I415" s="15" t="n">
        <f aca="false">IF(A415&lt;=0,1/(1-C415),(1+A415)*(1-(C415*(1+A415))^H415)/(1-C415*(1+A415))+'3. The decision'!$B$13*C415^H415/(1-C415))</f>
        <v>1.66411385154789</v>
      </c>
      <c r="J415" s="17" t="n">
        <f aca="false">F415+E415*D415/(1-C415)</f>
        <v>6.09267234147951</v>
      </c>
      <c r="K415" s="15" t="n">
        <f aca="false">F415-G415+E415*D415*I415</f>
        <v>5.85507378563776</v>
      </c>
      <c r="L415" s="17" t="n">
        <f aca="false">'3. The decision'!$B$8*'3. The decision'!$B$5/J415</f>
        <v>77.0827600234867</v>
      </c>
      <c r="M415" s="31" t="n">
        <f aca="false">L415*'3. The decision'!$B$6*'3. The decision'!$B$7*K415</f>
        <v>865652.534190774</v>
      </c>
      <c r="N415" s="31" t="n">
        <f aca="false">M415*(1+'3. The decision'!$B$19+'3. The decision'!$B$20+'3. The decision'!$B$22)</f>
        <v>957411.702814996</v>
      </c>
      <c r="O415" s="31" t="n">
        <f aca="false">'3. The decision'!$B$17+'3. The decision'!$B$18*L415*12+M415*('3. The decision'!$B$20*(1-'3. The decision'!$B$21)+'3. The decision'!$B$23)+N415*('3. The decision'!$B$24+'3. The decision'!$B$25)</f>
        <v>637835.049286107</v>
      </c>
      <c r="P415" s="31" t="n">
        <f aca="false">N415-O415</f>
        <v>319576.653528889</v>
      </c>
    </row>
    <row r="416" customFormat="false" ht="15" hidden="false" customHeight="false" outlineLevel="0" collapsed="false">
      <c r="A416" s="27" t="n">
        <f aca="false">'3. The decision'!$B$13^(1/1)-1</f>
        <v>0.62</v>
      </c>
      <c r="B416" s="27" t="n">
        <f aca="false">IF(A416&gt;0,MIN('3. The decision'!$B$15,'3. The decision'!$B$29*(A416/'3. The decision'!$B$28)^$B$292),0)</f>
        <v>0.75</v>
      </c>
      <c r="C416" s="15" t="n">
        <f aca="false">(1-'3. The decision'!$B$27-B416)*(1-'3. The decision'!$B$27)^('3. The decision'!$B$12-1)</f>
        <v>0.130079146898265</v>
      </c>
      <c r="D416" s="15" t="n">
        <f aca="false">1+(1-'3. The decision'!$B$27-B416)*(1-(1-'3. The decision'!$B$27)^('3. The decision'!$B$12-1))/'3. The decision'!$B$27</f>
        <v>1.80332109927421</v>
      </c>
      <c r="E416" s="15" t="n">
        <f aca="false">(1-'3. The decision'!$B$14)*(1-'3. The decision'!$B$27)^('3. The decision'!$B$11-1)</f>
        <v>0.690273454655712</v>
      </c>
      <c r="F416" s="15" t="n">
        <f aca="false">1+(1-'3. The decision'!$B$14)*(1-(1-'3. The decision'!$B$27)^('3. The decision'!$B$11-1))/'3. The decision'!$B$27</f>
        <v>4.28912098262087</v>
      </c>
      <c r="G416" s="15" t="n">
        <f aca="false">(1-(1-'3. The decision'!$B$9*MIN(1,('3. The decision'!$B$10/(52/12)))))+(1-(1-'3. The decision'!$B$9*MAX(0,MIN(1,('3. The decision'!$B$10/(52/12))-1))))*(1-'3. The decision'!$B$14)+(1-(1-'3. The decision'!$B$9*MAX(0,MIN(1,('3. The decision'!$B$10/(52/12))-2))))*(1-'3. The decision'!$B$14)*(1-'3. The decision'!$B$27)</f>
        <v>0.884576923076923</v>
      </c>
      <c r="H416" s="15" t="n">
        <f aca="false">IF(A416&lt;=0,0,MAX(0,ROUNDUP(LN('3. The decision'!$B$13)/LN(1+A416)-0.000000000001,0)-1))</f>
        <v>0</v>
      </c>
      <c r="I416" s="15" t="n">
        <f aca="false">IF(A416&lt;=0,1/(1-C416),(1+A416)*(1-(C416*(1+A416))^H416)/(1-C416*(1+A416))+'3. The decision'!$B$13*C416^H416/(1-C416))</f>
        <v>1.86223837976045</v>
      </c>
      <c r="J416" s="17" t="n">
        <f aca="false">F416+E416*D416/(1-C416)</f>
        <v>5.72003815239697</v>
      </c>
      <c r="K416" s="15" t="n">
        <f aca="false">F416-G416+E416*D416*I416</f>
        <v>5.72262987458123</v>
      </c>
      <c r="L416" s="17" t="n">
        <f aca="false">'3. The decision'!$B$8*'3. The decision'!$B$5/J416</f>
        <v>82.104347468941</v>
      </c>
      <c r="M416" s="31" t="n">
        <f aca="false">L416*'3. The decision'!$B$6*'3. The decision'!$B$7*K416</f>
        <v>901188.803450794</v>
      </c>
      <c r="N416" s="31" t="n">
        <f aca="false">M416*(1+'3. The decision'!$B$19+'3. The decision'!$B$20+'3. The decision'!$B$22)</f>
        <v>996714.816616578</v>
      </c>
      <c r="O416" s="31" t="n">
        <f aca="false">'3. The decision'!$B$17+'3. The decision'!$B$18*L416*12+M416*('3. The decision'!$B$20*(1-'3. The decision'!$B$21)+'3. The decision'!$B$23)+N416*('3. The decision'!$B$24+'3. The decision'!$B$25)</f>
        <v>649266.574805342</v>
      </c>
      <c r="P416" s="31" t="n">
        <f aca="false">N416-O416</f>
        <v>347448.241811236</v>
      </c>
    </row>
    <row r="417" customFormat="false" ht="15" hidden="false" customHeight="false" outlineLevel="0" collapsed="false">
      <c r="A417" s="27" t="n">
        <f aca="false">'3. The decision'!$B$13^(1/2)-1</f>
        <v>0.272792206135786</v>
      </c>
      <c r="B417" s="27" t="n">
        <f aca="false">IF(A417&gt;0,MIN('3. The decision'!$B$15,'3. The decision'!$B$29*(A417/'3. The decision'!$B$28)^$B$292),0)</f>
        <v>0.536988157855138</v>
      </c>
      <c r="C417" s="15" t="n">
        <f aca="false">(1-'3. The decision'!$B$27-B417)*(1-'3. The decision'!$B$27)^('3. The decision'!$B$12-1)</f>
        <v>0.281078594884269</v>
      </c>
      <c r="D417" s="15" t="n">
        <f aca="false">1+(1-'3. The decision'!$B$27-B417)*(1-(1-'3. The decision'!$B$27)^('3. The decision'!$B$12-1))/'3. The decision'!$B$27</f>
        <v>2.73583830467058</v>
      </c>
      <c r="E417" s="15" t="n">
        <f aca="false">(1-'3. The decision'!$B$14)*(1-'3. The decision'!$B$27)^('3. The decision'!$B$11-1)</f>
        <v>0.690273454655712</v>
      </c>
      <c r="F417" s="15" t="n">
        <f aca="false">1+(1-'3. The decision'!$B$14)*(1-(1-'3. The decision'!$B$27)^('3. The decision'!$B$11-1))/'3. The decision'!$B$27</f>
        <v>4.28912098262087</v>
      </c>
      <c r="G417" s="15" t="n">
        <f aca="false">(1-(1-'3. The decision'!$B$9*MIN(1,('3. The decision'!$B$10/(52/12)))))+(1-(1-'3. The decision'!$B$9*MAX(0,MIN(1,('3. The decision'!$B$10/(52/12))-1))))*(1-'3. The decision'!$B$14)+(1-(1-'3. The decision'!$B$9*MAX(0,MIN(1,('3. The decision'!$B$10/(52/12))-2))))*(1-'3. The decision'!$B$14)*(1-'3. The decision'!$B$27)</f>
        <v>0.884576923076923</v>
      </c>
      <c r="H417" s="15" t="n">
        <f aca="false">IF(A417&lt;=0,0,MAX(0,ROUNDUP(LN('3. The decision'!$B$13)/LN(1+A417)-0.000000000001,0)-1))</f>
        <v>1</v>
      </c>
      <c r="I417" s="15" t="n">
        <f aca="false">IF(A417&lt;=0,1/(1-C417),(1+A417)*(1-(C417*(1+A417))^H417)/(1-C417*(1+A417))+'3. The decision'!$B$13*C417^H417/(1-C417))</f>
        <v>1.90616787206023</v>
      </c>
      <c r="J417" s="17" t="n">
        <f aca="false">F417+E417*D417/(1-C417)</f>
        <v>6.91594019332497</v>
      </c>
      <c r="K417" s="15" t="n">
        <f aca="false">F417-G417+E417*D417*I417</f>
        <v>7.00429740143643</v>
      </c>
      <c r="L417" s="17" t="n">
        <f aca="false">'3. The decision'!$B$8*'3. The decision'!$B$5/J417</f>
        <v>67.9068914524854</v>
      </c>
      <c r="M417" s="31" t="n">
        <f aca="false">L417*'3. The decision'!$B$6*'3. The decision'!$B$7*K417</f>
        <v>912288.927861022</v>
      </c>
      <c r="N417" s="31" t="n">
        <f aca="false">M417*(1+'3. The decision'!$B$19+'3. The decision'!$B$20+'3. The decision'!$B$22)</f>
        <v>1008991.55421429</v>
      </c>
      <c r="O417" s="31" t="n">
        <f aca="false">'3. The decision'!$B$17+'3. The decision'!$B$18*L417*12+M417*('3. The decision'!$B$20*(1-'3. The decision'!$B$21)+'3. The decision'!$B$23)+N417*('3. The decision'!$B$24+'3. The decision'!$B$25)</f>
        <v>628954.48122487</v>
      </c>
      <c r="P417" s="31" t="n">
        <f aca="false">N417-O417</f>
        <v>380037.072989421</v>
      </c>
    </row>
    <row r="418" customFormat="false" ht="15" hidden="false" customHeight="false" outlineLevel="0" collapsed="false">
      <c r="A418" s="27" t="n">
        <f aca="false">'3. The decision'!$B$13^(1/3)-1</f>
        <v>0.174460292350659</v>
      </c>
      <c r="B418" s="27" t="n">
        <f aca="false">IF(A418&gt;0,MIN('3. The decision'!$B$15,'3. The decision'!$B$29*(A418/'3. The decision'!$B$28)^$B$292),0)</f>
        <v>0.183670682241071</v>
      </c>
      <c r="C418" s="15" t="n">
        <f aca="false">(1-'3. The decision'!$B$27-B418)*(1-'3. The decision'!$B$27)^('3. The decision'!$B$12-1)</f>
        <v>0.531537645631552</v>
      </c>
      <c r="D418" s="15" t="n">
        <f aca="false">1+(1-'3. The decision'!$B$27-B418)*(1-(1-'3. The decision'!$B$27)^('3. The decision'!$B$12-1))/'3. The decision'!$B$27</f>
        <v>4.28258153575003</v>
      </c>
      <c r="E418" s="15" t="n">
        <f aca="false">(1-'3. The decision'!$B$14)*(1-'3. The decision'!$B$27)^('3. The decision'!$B$11-1)</f>
        <v>0.690273454655712</v>
      </c>
      <c r="F418" s="15" t="n">
        <f aca="false">1+(1-'3. The decision'!$B$14)*(1-(1-'3. The decision'!$B$27)^('3. The decision'!$B$11-1))/'3. The decision'!$B$27</f>
        <v>4.28912098262087</v>
      </c>
      <c r="G418" s="15" t="n">
        <f aca="false">(1-(1-'3. The decision'!$B$9*MIN(1,('3. The decision'!$B$10/(52/12)))))+(1-(1-'3. The decision'!$B$9*MAX(0,MIN(1,('3. The decision'!$B$10/(52/12))-1))))*(1-'3. The decision'!$B$14)+(1-(1-'3. The decision'!$B$9*MAX(0,MIN(1,('3. The decision'!$B$10/(52/12))-2))))*(1-'3. The decision'!$B$14)*(1-'3. The decision'!$B$27)</f>
        <v>0.884576923076923</v>
      </c>
      <c r="H418" s="15" t="n">
        <f aca="false">IF(A418&lt;=0,0,MAX(0,ROUNDUP(LN('3. The decision'!$B$13)/LN(1+A418)-0.000000000001,0)-1))</f>
        <v>2</v>
      </c>
      <c r="I418" s="15" t="n">
        <f aca="false">IF(A418&lt;=0,1/(1-C418),(1+A418)*(1-(C418*(1+A418))^H418)/(1-C418*(1+A418))+'3. The decision'!$B$13*C418^H418/(1-C418))</f>
        <v>2.88467152306225</v>
      </c>
      <c r="J418" s="17" t="n">
        <f aca="false">F418+E418*D418/(1-C418)</f>
        <v>10.5994516291725</v>
      </c>
      <c r="K418" s="15" t="n">
        <f aca="false">F418-G418+E418*D418*I418</f>
        <v>11.9320725658272</v>
      </c>
      <c r="L418" s="17" t="n">
        <f aca="false">'3. The decision'!$B$8*'3. The decision'!$B$5/J418</f>
        <v>44.3079525649635</v>
      </c>
      <c r="M418" s="31" t="n">
        <f aca="false">L418*'3. The decision'!$B$6*'3. The decision'!$B$7*K418</f>
        <v>1014031.72775091</v>
      </c>
      <c r="N418" s="31" t="n">
        <f aca="false">M418*(1+'3. The decision'!$B$19+'3. The decision'!$B$20+'3. The decision'!$B$22)</f>
        <v>1121519.09089251</v>
      </c>
      <c r="O418" s="31" t="n">
        <f aca="false">'3. The decision'!$B$17+'3. The decision'!$B$18*L418*12+M418*('3. The decision'!$B$20*(1-'3. The decision'!$B$21)+'3. The decision'!$B$23)+N418*('3. The decision'!$B$24+'3. The decision'!$B$25)</f>
        <v>604156.315819068</v>
      </c>
      <c r="P418" s="31" t="n">
        <f aca="false">N418-O418</f>
        <v>517362.775073444</v>
      </c>
    </row>
    <row r="419" customFormat="false" ht="15" hidden="false" customHeight="false" outlineLevel="0" collapsed="false">
      <c r="A419" s="27" t="n">
        <f aca="false">'3. The decision'!$B$13^(1/4)-1</f>
        <v>0.128180927925918</v>
      </c>
      <c r="B419" s="27" t="n">
        <f aca="false">IF(A419&gt;0,MIN('3. The decision'!$B$15,'3. The decision'!$B$29*(A419/'3. The decision'!$B$28)^$B$292),0)</f>
        <v>0.087648441032305</v>
      </c>
      <c r="C419" s="15" t="n">
        <f aca="false">(1-'3. The decision'!$B$27-B419)*(1-'3. The decision'!$B$27)^('3. The decision'!$B$12-1)</f>
        <v>0.59960571767349</v>
      </c>
      <c r="D419" s="15" t="n">
        <f aca="false">1+(1-'3. The decision'!$B$27-B419)*(1-(1-'3. The decision'!$B$27)^('3. The decision'!$B$12-1))/'3. The decision'!$B$27</f>
        <v>4.70294498186774</v>
      </c>
      <c r="E419" s="15" t="n">
        <f aca="false">(1-'3. The decision'!$B$14)*(1-'3. The decision'!$B$27)^('3. The decision'!$B$11-1)</f>
        <v>0.690273454655712</v>
      </c>
      <c r="F419" s="15" t="n">
        <f aca="false">1+(1-'3. The decision'!$B$14)*(1-(1-'3. The decision'!$B$27)^('3. The decision'!$B$11-1))/'3. The decision'!$B$27</f>
        <v>4.28912098262087</v>
      </c>
      <c r="G419" s="15" t="n">
        <f aca="false">(1-(1-'3. The decision'!$B$9*MIN(1,('3. The decision'!$B$10/(52/12)))))+(1-(1-'3. The decision'!$B$9*MAX(0,MIN(1,('3. The decision'!$B$10/(52/12))-1))))*(1-'3. The decision'!$B$14)+(1-(1-'3. The decision'!$B$9*MAX(0,MIN(1,('3. The decision'!$B$10/(52/12))-2))))*(1-'3. The decision'!$B$14)*(1-'3. The decision'!$B$27)</f>
        <v>0.884576923076923</v>
      </c>
      <c r="H419" s="15" t="n">
        <f aca="false">IF(A419&lt;=0,0,MAX(0,ROUNDUP(LN('3. The decision'!$B$13)/LN(1+A419)-0.000000000001,0)-1))</f>
        <v>3</v>
      </c>
      <c r="I419" s="15" t="n">
        <f aca="false">IF(A419&lt;=0,1/(1-C419),(1+A419)*(1-(C419*(1+A419))^H419)/(1-C419*(1+A419))+'3. The decision'!$B$13*C419^H419/(1-C419))</f>
        <v>3.27983039066424</v>
      </c>
      <c r="J419" s="17" t="n">
        <f aca="false">F419+E419*D419/(1-C419)</f>
        <v>12.3969242729843</v>
      </c>
      <c r="K419" s="15" t="n">
        <f aca="false">F419-G419+E419*D419*I419</f>
        <v>14.0519167550727</v>
      </c>
      <c r="L419" s="17" t="n">
        <f aca="false">'3. The decision'!$B$8*'3. The decision'!$B$5/J419</f>
        <v>37.8835902888792</v>
      </c>
      <c r="M419" s="31" t="n">
        <f aca="false">L419*'3. The decision'!$B$6*'3. The decision'!$B$7*K419</f>
        <v>1021035.10728794</v>
      </c>
      <c r="N419" s="31" t="n">
        <f aca="false">M419*(1+'3. The decision'!$B$19+'3. The decision'!$B$20+'3. The decision'!$B$22)</f>
        <v>1129264.82866047</v>
      </c>
      <c r="O419" s="31" t="n">
        <f aca="false">'3. The decision'!$B$17+'3. The decision'!$B$18*L419*12+M419*('3. The decision'!$B$20*(1-'3. The decision'!$B$21)+'3. The decision'!$B$23)+N419*('3. The decision'!$B$24+'3. The decision'!$B$25)</f>
        <v>595178.23628802</v>
      </c>
      <c r="P419" s="31" t="n">
        <f aca="false">N419-O419</f>
        <v>534086.592372447</v>
      </c>
    </row>
    <row r="420" customFormat="false" ht="15" hidden="false" customHeight="false" outlineLevel="0" collapsed="false">
      <c r="A420" s="27" t="n">
        <f aca="false">'3. The decision'!$B$13^(1/5)-1</f>
        <v>0.101293314754956</v>
      </c>
      <c r="B420" s="27" t="n">
        <f aca="false">IF(A420&gt;0,MIN('3. The decision'!$B$15,'3. The decision'!$B$29*(A420/'3. The decision'!$B$28)^$B$292),0)</f>
        <v>0.0498152012362544</v>
      </c>
      <c r="C420" s="15" t="n">
        <f aca="false">(1-'3. The decision'!$B$27-B420)*(1-'3. The decision'!$B$27)^('3. The decision'!$B$12-1)</f>
        <v>0.626424876022633</v>
      </c>
      <c r="D420" s="15" t="n">
        <f aca="false">1+(1-'3. The decision'!$B$27-B420)*(1-(1-'3. The decision'!$B$27)^('3. The decision'!$B$12-1))/'3. The decision'!$B$27</f>
        <v>4.86857026678364</v>
      </c>
      <c r="E420" s="15" t="n">
        <f aca="false">(1-'3. The decision'!$B$14)*(1-'3. The decision'!$B$27)^('3. The decision'!$B$11-1)</f>
        <v>0.690273454655712</v>
      </c>
      <c r="F420" s="15" t="n">
        <f aca="false">1+(1-'3. The decision'!$B$14)*(1-(1-'3. The decision'!$B$27)^('3. The decision'!$B$11-1))/'3. The decision'!$B$27</f>
        <v>4.28912098262087</v>
      </c>
      <c r="G420" s="15" t="n">
        <f aca="false">(1-(1-'3. The decision'!$B$9*MIN(1,('3. The decision'!$B$10/(52/12)))))+(1-(1-'3. The decision'!$B$9*MAX(0,MIN(1,('3. The decision'!$B$10/(52/12))-1))))*(1-'3. The decision'!$B$14)+(1-(1-'3. The decision'!$B$9*MAX(0,MIN(1,('3. The decision'!$B$10/(52/12))-2))))*(1-'3. The decision'!$B$14)*(1-'3. The decision'!$B$27)</f>
        <v>0.884576923076923</v>
      </c>
      <c r="H420" s="15" t="n">
        <f aca="false">IF(A420&lt;=0,0,MAX(0,ROUNDUP(LN('3. The decision'!$B$13)/LN(1+A420)-0.000000000001,0)-1))</f>
        <v>4</v>
      </c>
      <c r="I420" s="15" t="n">
        <f aca="false">IF(A420&lt;=0,1/(1-C420),(1+A420)*(1-(C420*(1+A420))^H420)/(1-C420*(1+A420))+'3. The decision'!$B$13*C420^H420/(1-C420))</f>
        <v>3.41453130692647</v>
      </c>
      <c r="J420" s="17" t="n">
        <f aca="false">F420+E420*D420/(1-C420)</f>
        <v>13.2850219449409</v>
      </c>
      <c r="K420" s="15" t="n">
        <f aca="false">F420-G420+E420*D420*I420</f>
        <v>14.87957099963</v>
      </c>
      <c r="L420" s="17" t="n">
        <f aca="false">'3. The decision'!$B$8*'3. The decision'!$B$5/J420</f>
        <v>35.3510895161783</v>
      </c>
      <c r="M420" s="31" t="n">
        <f aca="false">L420*'3. The decision'!$B$6*'3. The decision'!$B$7*K420</f>
        <v>1008897.83250873</v>
      </c>
      <c r="N420" s="31" t="n">
        <f aca="false">M420*(1+'3. The decision'!$B$19+'3. The decision'!$B$20+'3. The decision'!$B$22)</f>
        <v>1115841.00275466</v>
      </c>
      <c r="O420" s="31" t="n">
        <f aca="false">'3. The decision'!$B$17+'3. The decision'!$B$18*L420*12+M420*('3. The decision'!$B$20*(1-'3. The decision'!$B$21)+'3. The decision'!$B$23)+N420*('3. The decision'!$B$24+'3. The decision'!$B$25)</f>
        <v>590035.623538498</v>
      </c>
      <c r="P420" s="31" t="n">
        <f aca="false">N420-O420</f>
        <v>525805.379216161</v>
      </c>
    </row>
    <row r="421" customFormat="false" ht="15" hidden="false" customHeight="false" outlineLevel="0" collapsed="false">
      <c r="A421" s="27" t="n">
        <f aca="false">'3. The decision'!$B$13^(1/6)-1</f>
        <v>0.0837251922653912</v>
      </c>
      <c r="B421" s="27" t="n">
        <f aca="false">IF(A421&gt;0,MIN('3. The decision'!$B$15,'3. The decision'!$B$29*(A421/'3. The decision'!$B$28)^$B$292),0)</f>
        <v>0.0315371742327758</v>
      </c>
      <c r="C421" s="15" t="n">
        <f aca="false">(1-'3. The decision'!$B$27-B421)*(1-'3. The decision'!$B$27)^('3. The decision'!$B$12-1)</f>
        <v>0.639381770625336</v>
      </c>
      <c r="D421" s="15" t="n">
        <f aca="false">1+(1-'3. The decision'!$B$27-B421)*(1-(1-'3. The decision'!$B$27)^('3. The decision'!$B$12-1))/'3. The decision'!$B$27</f>
        <v>4.94858729536674</v>
      </c>
      <c r="E421" s="15" t="n">
        <f aca="false">(1-'3. The decision'!$B$14)*(1-'3. The decision'!$B$27)^('3. The decision'!$B$11-1)</f>
        <v>0.690273454655712</v>
      </c>
      <c r="F421" s="15" t="n">
        <f aca="false">1+(1-'3. The decision'!$B$14)*(1-(1-'3. The decision'!$B$27)^('3. The decision'!$B$11-1))/'3. The decision'!$B$27</f>
        <v>4.28912098262087</v>
      </c>
      <c r="G421" s="15" t="n">
        <f aca="false">(1-(1-'3. The decision'!$B$9*MIN(1,('3. The decision'!$B$10/(52/12)))))+(1-(1-'3. The decision'!$B$9*MAX(0,MIN(1,('3. The decision'!$B$10/(52/12))-1))))*(1-'3. The decision'!$B$14)+(1-(1-'3. The decision'!$B$9*MAX(0,MIN(1,('3. The decision'!$B$10/(52/12))-2))))*(1-'3. The decision'!$B$14)*(1-'3. The decision'!$B$27)</f>
        <v>0.884576923076923</v>
      </c>
      <c r="H421" s="15" t="n">
        <f aca="false">IF(A421&lt;=0,0,MAX(0,ROUNDUP(LN('3. The decision'!$B$13)/LN(1+A421)-0.000000000001,0)-1))</f>
        <v>5</v>
      </c>
      <c r="I421" s="15" t="n">
        <f aca="false">IF(A421&lt;=0,1/(1-C421),(1+A421)*(1-(C421*(1+A421))^H421)/(1-C421*(1+A421))+'3. The decision'!$B$13*C421^H421/(1-C421))</f>
        <v>3.44538173744891</v>
      </c>
      <c r="J421" s="17" t="n">
        <f aca="false">F421+E421*D421/(1-C421)</f>
        <v>13.761405436908</v>
      </c>
      <c r="K421" s="15" t="n">
        <f aca="false">F421-G421+E421*D421*I421</f>
        <v>15.1735492817599</v>
      </c>
      <c r="L421" s="17" t="n">
        <f aca="false">'3. The decision'!$B$8*'3. The decision'!$B$5/J421</f>
        <v>34.1273282117268</v>
      </c>
      <c r="M421" s="31" t="n">
        <f aca="false">L421*'3. The decision'!$B$6*'3. The decision'!$B$7*K421</f>
        <v>993215.399395391</v>
      </c>
      <c r="N421" s="31" t="n">
        <f aca="false">M421*(1+'3. The decision'!$B$19+'3. The decision'!$B$20+'3. The decision'!$B$22)</f>
        <v>1098496.2317313</v>
      </c>
      <c r="O421" s="31" t="n">
        <f aca="false">'3. The decision'!$B$17+'3. The decision'!$B$18*L421*12+M421*('3. The decision'!$B$20*(1-'3. The decision'!$B$21)+'3. The decision'!$B$23)+N421*('3. The decision'!$B$24+'3. The decision'!$B$25)</f>
        <v>586493.97701018</v>
      </c>
      <c r="P421" s="31" t="n">
        <f aca="false">N421-O421</f>
        <v>512002.254721123</v>
      </c>
    </row>
    <row r="422" customFormat="false" ht="15" hidden="false" customHeight="false" outlineLevel="0" collapsed="false">
      <c r="A422" s="27" t="n">
        <f aca="false">'3. The decision'!$B$13^(1/7)-1</f>
        <v>0.0713483778230704</v>
      </c>
      <c r="B422" s="27" t="n">
        <f aca="false">IF(A422&gt;0,MIN('3. The decision'!$B$15,'3. The decision'!$B$29*(A422/'3. The decision'!$B$28)^$B$292),0)</f>
        <v>0.0214827491479765</v>
      </c>
      <c r="C422" s="15" t="n">
        <f aca="false">(1-'3. The decision'!$B$27-B422)*(1-'3. The decision'!$B$27)^('3. The decision'!$B$12-1)</f>
        <v>0.64650913322797</v>
      </c>
      <c r="D422" s="15" t="n">
        <f aca="false">1+(1-'3. The decision'!$B$27-B422)*(1-(1-'3. The decision'!$B$27)^('3. The decision'!$B$12-1))/'3. The decision'!$B$27</f>
        <v>4.99260327254217</v>
      </c>
      <c r="E422" s="15" t="n">
        <f aca="false">(1-'3. The decision'!$B$14)*(1-'3. The decision'!$B$27)^('3. The decision'!$B$11-1)</f>
        <v>0.690273454655712</v>
      </c>
      <c r="F422" s="15" t="n">
        <f aca="false">1+(1-'3. The decision'!$B$14)*(1-(1-'3. The decision'!$B$27)^('3. The decision'!$B$11-1))/'3. The decision'!$B$27</f>
        <v>4.28912098262087</v>
      </c>
      <c r="G422" s="15" t="n">
        <f aca="false">(1-(1-'3. The decision'!$B$9*MIN(1,('3. The decision'!$B$10/(52/12)))))+(1-(1-'3. The decision'!$B$9*MAX(0,MIN(1,('3. The decision'!$B$10/(52/12))-1))))*(1-'3. The decision'!$B$14)+(1-(1-'3. The decision'!$B$9*MAX(0,MIN(1,('3. The decision'!$B$10/(52/12))-2))))*(1-'3. The decision'!$B$14)*(1-'3. The decision'!$B$27)</f>
        <v>0.884576923076923</v>
      </c>
      <c r="H422" s="15" t="n">
        <f aca="false">IF(A422&lt;=0,0,MAX(0,ROUNDUP(LN('3. The decision'!$B$13)/LN(1+A422)-0.000000000001,0)-1))</f>
        <v>6</v>
      </c>
      <c r="I422" s="15" t="n">
        <f aca="false">IF(A422&lt;=0,1/(1-C422),(1+A422)*(1-(C422*(1+A422))^H422)/(1-C422*(1+A422))+'3. The decision'!$B$13*C422^H422/(1-C422))</f>
        <v>3.43538547418966</v>
      </c>
      <c r="J422" s="17" t="n">
        <f aca="false">F422+E422*D422/(1-C422)</f>
        <v>14.038344605096</v>
      </c>
      <c r="K422" s="15" t="n">
        <f aca="false">F422-G422+E422*D422*I422</f>
        <v>15.2437807866641</v>
      </c>
      <c r="L422" s="17" t="n">
        <f aca="false">'3. The decision'!$B$8*'3. The decision'!$B$5/J422</f>
        <v>33.454086874995</v>
      </c>
      <c r="M422" s="31" t="n">
        <f aca="false">L422*'3. The decision'!$B$6*'3. The decision'!$B$7*K422</f>
        <v>978128.359514495</v>
      </c>
      <c r="N422" s="31" t="n">
        <f aca="false">M422*(1+'3. The decision'!$B$19+'3. The decision'!$B$20+'3. The decision'!$B$22)</f>
        <v>1081809.96562303</v>
      </c>
      <c r="O422" s="31" t="n">
        <f aca="false">'3. The decision'!$B$17+'3. The decision'!$B$18*L422*12+M422*('3. The decision'!$B$20*(1-'3. The decision'!$B$21)+'3. The decision'!$B$23)+N422*('3. The decision'!$B$24+'3. The decision'!$B$25)</f>
        <v>583850.356364837</v>
      </c>
      <c r="P422" s="31" t="n">
        <f aca="false">N422-O422</f>
        <v>497959.609258195</v>
      </c>
    </row>
    <row r="423" customFormat="false" ht="15" hidden="false" customHeight="false" outlineLevel="0" collapsed="false">
      <c r="A423" s="27" t="n">
        <f aca="false">'3. The decision'!$B$13^(1/8)-1</f>
        <v>0.062158617121717</v>
      </c>
      <c r="B423" s="27" t="n">
        <f aca="false">IF(A423&gt;0,MIN('3. The decision'!$B$15,'3. The decision'!$B$29*(A423/'3. The decision'!$B$28)^$B$292),0)</f>
        <v>0.015430188599228</v>
      </c>
      <c r="C423" s="15" t="n">
        <f aca="false">(1-'3. The decision'!$B$27-B423)*(1-'3. The decision'!$B$27)^('3. The decision'!$B$12-1)</f>
        <v>0.650799661362745</v>
      </c>
      <c r="D423" s="15" t="n">
        <f aca="false">1+(1-'3. The decision'!$B$27-B423)*(1-(1-'3. The decision'!$B$27)^('3. The decision'!$B$12-1))/'3. The decision'!$B$27</f>
        <v>5.01910000057183</v>
      </c>
      <c r="E423" s="15" t="n">
        <f aca="false">(1-'3. The decision'!$B$14)*(1-'3. The decision'!$B$27)^('3. The decision'!$B$11-1)</f>
        <v>0.690273454655712</v>
      </c>
      <c r="F423" s="15" t="n">
        <f aca="false">1+(1-'3. The decision'!$B$14)*(1-(1-'3. The decision'!$B$27)^('3. The decision'!$B$11-1))/'3. The decision'!$B$27</f>
        <v>4.28912098262087</v>
      </c>
      <c r="G423" s="15" t="n">
        <f aca="false">(1-(1-'3. The decision'!$B$9*MIN(1,('3. The decision'!$B$10/(52/12)))))+(1-(1-'3. The decision'!$B$9*MAX(0,MIN(1,('3. The decision'!$B$10/(52/12))-1))))*(1-'3. The decision'!$B$14)+(1-(1-'3. The decision'!$B$9*MAX(0,MIN(1,('3. The decision'!$B$10/(52/12))-2))))*(1-'3. The decision'!$B$14)*(1-'3. The decision'!$B$27)</f>
        <v>0.884576923076923</v>
      </c>
      <c r="H423" s="15" t="n">
        <f aca="false">IF(A423&lt;=0,0,MAX(0,ROUNDUP(LN('3. The decision'!$B$13)/LN(1+A423)-0.000000000001,0)-1))</f>
        <v>7</v>
      </c>
      <c r="I423" s="15" t="n">
        <f aca="false">IF(A423&lt;=0,1/(1-C423),(1+A423)*(1-(C423*(1+A423))^H423)/(1-C423*(1+A423))+'3. The decision'!$B$13*C423^H423/(1-C423))</f>
        <v>3.41016235470608</v>
      </c>
      <c r="J423" s="17" t="n">
        <f aca="false">F423+E423*D423/(1-C423)</f>
        <v>14.2105073998779</v>
      </c>
      <c r="K423" s="15" t="n">
        <f aca="false">F423-G423+E423*D423*I423</f>
        <v>15.219227149385</v>
      </c>
      <c r="L423" s="17" t="n">
        <f aca="false">'3. The decision'!$B$8*'3. The decision'!$B$5/J423</f>
        <v>33.0487847326294</v>
      </c>
      <c r="M423" s="31" t="n">
        <f aca="false">L423*'3. The decision'!$B$6*'3. The decision'!$B$7*K423</f>
        <v>964721.747888302</v>
      </c>
      <c r="N423" s="31" t="n">
        <f aca="false">M423*(1+'3. The decision'!$B$19+'3. The decision'!$B$20+'3. The decision'!$B$22)</f>
        <v>1066982.25316446</v>
      </c>
      <c r="O423" s="31" t="n">
        <f aca="false">'3. The decision'!$B$17+'3. The decision'!$B$18*L423*12+M423*('3. The decision'!$B$20*(1-'3. The decision'!$B$21)+'3. The decision'!$B$23)+N423*('3. The decision'!$B$24+'3. The decision'!$B$25)</f>
        <v>581793.478149761</v>
      </c>
      <c r="P423" s="31" t="n">
        <f aca="false">N423-O423</f>
        <v>485188.7750147</v>
      </c>
    </row>
    <row r="424" customFormat="false" ht="15" hidden="false" customHeight="false" outlineLevel="0" collapsed="false">
      <c r="A424" s="27" t="n">
        <f aca="false">'3. The decision'!$B$13^(1/9)-1</f>
        <v>0.0550655582002784</v>
      </c>
      <c r="B424" s="27" t="n">
        <f aca="false">IF(A424&gt;0,MIN('3. The decision'!$B$15,'3. The decision'!$B$29*(A424/'3. The decision'!$B$28)^$B$292),0)</f>
        <v>0.0115366606870276</v>
      </c>
      <c r="C424" s="15" t="n">
        <f aca="false">(1-'3. The decision'!$B$27-B424)*(1-'3. The decision'!$B$27)^('3. The decision'!$B$12-1)</f>
        <v>0.653559698361348</v>
      </c>
      <c r="D424" s="15" t="n">
        <f aca="false">1+(1-'3. The decision'!$B$27-B424)*(1-(1-'3. The decision'!$B$27)^('3. The decision'!$B$12-1))/'3. The decision'!$B$27</f>
        <v>5.03614497671616</v>
      </c>
      <c r="E424" s="15" t="n">
        <f aca="false">(1-'3. The decision'!$B$14)*(1-'3. The decision'!$B$27)^('3. The decision'!$B$11-1)</f>
        <v>0.690273454655712</v>
      </c>
      <c r="F424" s="15" t="n">
        <f aca="false">1+(1-'3. The decision'!$B$14)*(1-(1-'3. The decision'!$B$27)^('3. The decision'!$B$11-1))/'3. The decision'!$B$27</f>
        <v>4.28912098262087</v>
      </c>
      <c r="G424" s="15" t="n">
        <f aca="false">(1-(1-'3. The decision'!$B$9*MIN(1,('3. The decision'!$B$10/(52/12)))))+(1-(1-'3. The decision'!$B$9*MAX(0,MIN(1,('3. The decision'!$B$10/(52/12))-1))))*(1-'3. The decision'!$B$14)+(1-(1-'3. The decision'!$B$9*MAX(0,MIN(1,('3. The decision'!$B$10/(52/12))-2))))*(1-'3. The decision'!$B$14)*(1-'3. The decision'!$B$27)</f>
        <v>0.884576923076923</v>
      </c>
      <c r="H424" s="15" t="n">
        <f aca="false">IF(A424&lt;=0,0,MAX(0,ROUNDUP(LN('3. The decision'!$B$13)/LN(1+A424)-0.000000000001,0)-1))</f>
        <v>8</v>
      </c>
      <c r="I424" s="15" t="n">
        <f aca="false">IF(A424&lt;=0,1/(1-C424),(1+A424)*(1-(C424*(1+A424))^H424)/(1-C424*(1+A424))+'3. The decision'!$B$13*C424^H424/(1-C424))</f>
        <v>3.38044136932457</v>
      </c>
      <c r="J424" s="17" t="n">
        <f aca="false">F424+E424*D424/(1-C424)</f>
        <v>14.3235112506757</v>
      </c>
      <c r="K424" s="15" t="n">
        <f aca="false">F424-G424+E424*D424*I424</f>
        <v>15.1560305056547</v>
      </c>
      <c r="L424" s="17" t="n">
        <f aca="false">'3. The decision'!$B$8*'3. The decision'!$B$5/J424</f>
        <v>32.7880497861755</v>
      </c>
      <c r="M424" s="31" t="n">
        <f aca="false">L424*'3. The decision'!$B$6*'3. The decision'!$B$7*K424</f>
        <v>953136.349290323</v>
      </c>
      <c r="N424" s="31" t="n">
        <f aca="false">M424*(1+'3. The decision'!$B$19+'3. The decision'!$B$20+'3. The decision'!$B$22)</f>
        <v>1054168.8023151</v>
      </c>
      <c r="O424" s="31" t="n">
        <f aca="false">'3. The decision'!$B$17+'3. The decision'!$B$18*L424*12+M424*('3. The decision'!$B$20*(1-'3. The decision'!$B$21)+'3. The decision'!$B$23)+N424*('3. The decision'!$B$24+'3. The decision'!$B$25)</f>
        <v>580151.606704664</v>
      </c>
      <c r="P424" s="31" t="n">
        <f aca="false">N424-O424</f>
        <v>474017.195610434</v>
      </c>
    </row>
    <row r="425" customFormat="false" ht="15" hidden="false" customHeight="false" outlineLevel="0" collapsed="false">
      <c r="A425" s="27" t="n">
        <f aca="false">'3. The decision'!$B$13^(1/10)-1</f>
        <v>0.0494252306643652</v>
      </c>
      <c r="B425" s="27" t="n">
        <f aca="false">IF(A425&gt;0,MIN('3. The decision'!$B$15,'3. The decision'!$B$29*(A425/'3. The decision'!$B$28)^$B$292),0)</f>
        <v>0.0089011250123841</v>
      </c>
      <c r="C425" s="15" t="n">
        <f aca="false">(1-'3. The decision'!$B$27-B425)*(1-'3. The decision'!$B$27)^('3. The decision'!$B$12-1)</f>
        <v>0.655427972106185</v>
      </c>
      <c r="D425" s="15" t="n">
        <f aca="false">1+(1-'3. The decision'!$B$27-B425)*(1-(1-'3. The decision'!$B$27)^('3. The decision'!$B$12-1))/'3. The decision'!$B$27</f>
        <v>5.04768275009671</v>
      </c>
      <c r="E425" s="15" t="n">
        <f aca="false">(1-'3. The decision'!$B$14)*(1-'3. The decision'!$B$27)^('3. The decision'!$B$11-1)</f>
        <v>0.690273454655712</v>
      </c>
      <c r="F425" s="15" t="n">
        <f aca="false">1+(1-'3. The decision'!$B$14)*(1-(1-'3. The decision'!$B$27)^('3. The decision'!$B$11-1))/'3. The decision'!$B$27</f>
        <v>4.28912098262087</v>
      </c>
      <c r="G425" s="15" t="n">
        <f aca="false">(1-(1-'3. The decision'!$B$9*MIN(1,('3. The decision'!$B$10/(52/12)))))+(1-(1-'3. The decision'!$B$9*MAX(0,MIN(1,('3. The decision'!$B$10/(52/12))-1))))*(1-'3. The decision'!$B$14)+(1-(1-'3. The decision'!$B$9*MAX(0,MIN(1,('3. The decision'!$B$10/(52/12))-2))))*(1-'3. The decision'!$B$14)*(1-'3. The decision'!$B$27)</f>
        <v>0.884576923076923</v>
      </c>
      <c r="H425" s="15" t="n">
        <f aca="false">IF(A425&lt;=0,0,MAX(0,ROUNDUP(LN('3. The decision'!$B$13)/LN(1+A425)-0.000000000001,0)-1))</f>
        <v>9</v>
      </c>
      <c r="I425" s="15" t="n">
        <f aca="false">IF(A425&lt;=0,1/(1-C425),(1+A425)*(1-(C425*(1+A425))^H425)/(1-C425*(1+A425))+'3. The decision'!$B$13*C425^H425/(1-C425))</f>
        <v>3.35074146006942</v>
      </c>
      <c r="J425" s="17" t="n">
        <f aca="false">F425+E425*D425/(1-C425)</f>
        <v>14.401031201256</v>
      </c>
      <c r="K425" s="15" t="n">
        <f aca="false">F425-G425+E425*D425*I425</f>
        <v>15.0794702382963</v>
      </c>
      <c r="L425" s="17" t="n">
        <f aca="false">'3. The decision'!$B$8*'3. The decision'!$B$5/J425</f>
        <v>32.6115535364606</v>
      </c>
      <c r="M425" s="31" t="n">
        <f aca="false">L425*'3. The decision'!$B$6*'3. The decision'!$B$7*K425</f>
        <v>943216.844973997</v>
      </c>
      <c r="N425" s="31" t="n">
        <f aca="false">M425*(1+'3. The decision'!$B$19+'3. The decision'!$B$20+'3. The decision'!$B$22)</f>
        <v>1043197.83054124</v>
      </c>
      <c r="O425" s="31" t="n">
        <f aca="false">'3. The decision'!$B$17+'3. The decision'!$B$18*L425*12+M425*('3. The decision'!$B$20*(1-'3. The decision'!$B$21)+'3. The decision'!$B$23)+N425*('3. The decision'!$B$24+'3. The decision'!$B$25)</f>
        <v>578816.637972346</v>
      </c>
      <c r="P425" s="31" t="n">
        <f aca="false">N425-O425</f>
        <v>464381.192568894</v>
      </c>
    </row>
    <row r="426" customFormat="false" ht="15" hidden="false" customHeight="false" outlineLevel="0" collapsed="false">
      <c r="A426" s="27" t="n">
        <f aca="false">'3. The decision'!$B$13^(1/11)-1</f>
        <v>0.0448328522867396</v>
      </c>
      <c r="B426" s="27" t="n">
        <f aca="false">IF(A426&gt;0,MIN('3. The decision'!$B$15,'3. The decision'!$B$29*(A426/'3. The decision'!$B$28)^$B$292),0)</f>
        <v>0.00704367479419685</v>
      </c>
      <c r="C426" s="15" t="n">
        <f aca="false">(1-'3. The decision'!$B$27-B426)*(1-'3. The decision'!$B$27)^('3. The decision'!$B$12-1)</f>
        <v>0.656744678045083</v>
      </c>
      <c r="D426" s="15" t="n">
        <f aca="false">1+(1-'3. The decision'!$B$27-B426)*(1-(1-'3. The decision'!$B$27)^('3. The decision'!$B$12-1))/'3. The decision'!$B$27</f>
        <v>5.05581424301835</v>
      </c>
      <c r="E426" s="15" t="n">
        <f aca="false">(1-'3. The decision'!$B$14)*(1-'3. The decision'!$B$27)^('3. The decision'!$B$11-1)</f>
        <v>0.690273454655712</v>
      </c>
      <c r="F426" s="15" t="n">
        <f aca="false">1+(1-'3. The decision'!$B$14)*(1-(1-'3. The decision'!$B$27)^('3. The decision'!$B$11-1))/'3. The decision'!$B$27</f>
        <v>4.28912098262087</v>
      </c>
      <c r="G426" s="15" t="n">
        <f aca="false">(1-(1-'3. The decision'!$B$9*MIN(1,('3. The decision'!$B$10/(52/12)))))+(1-(1-'3. The decision'!$B$9*MAX(0,MIN(1,('3. The decision'!$B$10/(52/12))-1))))*(1-'3. The decision'!$B$14)+(1-(1-'3. The decision'!$B$9*MAX(0,MIN(1,('3. The decision'!$B$10/(52/12))-2))))*(1-'3. The decision'!$B$14)*(1-'3. The decision'!$B$27)</f>
        <v>0.884576923076923</v>
      </c>
      <c r="H426" s="15" t="n">
        <f aca="false">IF(A426&lt;=0,0,MAX(0,ROUNDUP(LN('3. The decision'!$B$13)/LN(1+A426)-0.000000000001,0)-1))</f>
        <v>10</v>
      </c>
      <c r="I426" s="15" t="n">
        <f aca="false">IF(A426&lt;=0,1/(1-C426),(1+A426)*(1-(C426*(1+A426))^H426)/(1-C426*(1+A426))+'3. The decision'!$B$13*C426^H426/(1-C426))</f>
        <v>3.32288123103829</v>
      </c>
      <c r="J426" s="17" t="n">
        <f aca="false">F426+E426*D426/(1-C426)</f>
        <v>14.4561719805488</v>
      </c>
      <c r="K426" s="15" t="n">
        <f aca="false">F426-G426+E426*D426*I426</f>
        <v>15.0010485387426</v>
      </c>
      <c r="L426" s="17" t="n">
        <f aca="false">'3. The decision'!$B$8*'3. The decision'!$B$5/J426</f>
        <v>32.4871619286152</v>
      </c>
      <c r="M426" s="31" t="n">
        <f aca="false">L426*'3. The decision'!$B$6*'3. The decision'!$B$7*K426</f>
        <v>934732.547565592</v>
      </c>
      <c r="N426" s="31" t="n">
        <f aca="false">M426*(1+'3. The decision'!$B$19+'3. The decision'!$B$20+'3. The decision'!$B$22)</f>
        <v>1033814.19760754</v>
      </c>
      <c r="O426" s="31" t="n">
        <f aca="false">'3. The decision'!$B$17+'3. The decision'!$B$18*L426*12+M426*('3. The decision'!$B$20*(1-'3. The decision'!$B$21)+'3. The decision'!$B$23)+N426*('3. The decision'!$B$24+'3. The decision'!$B$25)</f>
        <v>577715.066054699</v>
      </c>
      <c r="P426" s="31" t="n">
        <f aca="false">N426-O426</f>
        <v>456099.131552845</v>
      </c>
    </row>
    <row r="427" customFormat="false" ht="15" hidden="false" customHeight="false" outlineLevel="0" collapsed="false">
      <c r="A427" s="27" t="n">
        <f aca="false">'3. The decision'!$B$13^(1/12)-1</f>
        <v>0.0410212256555538</v>
      </c>
      <c r="B427" s="27" t="n">
        <f aca="false">IF(A427&gt;0,MIN('3. The decision'!$B$15,'3. The decision'!$B$29*(A427/'3. The decision'!$B$28)^$B$292),0)</f>
        <v>0.00569100184725295</v>
      </c>
      <c r="C427" s="15" t="n">
        <f aca="false">(1-'3. The decision'!$B$27-B427)*(1-'3. The decision'!$B$27)^('3. The decision'!$B$12-1)</f>
        <v>0.657703558388248</v>
      </c>
      <c r="D427" s="15" t="n">
        <f aca="false">1+(1-'3. The decision'!$B$27-B427)*(1-(1-'3. The decision'!$B$27)^('3. The decision'!$B$12-1))/'3. The decision'!$B$27</f>
        <v>5.06173593630826</v>
      </c>
      <c r="E427" s="15" t="n">
        <f aca="false">(1-'3. The decision'!$B$14)*(1-'3. The decision'!$B$27)^('3. The decision'!$B$11-1)</f>
        <v>0.690273454655712</v>
      </c>
      <c r="F427" s="15" t="n">
        <f aca="false">1+(1-'3. The decision'!$B$14)*(1-(1-'3. The decision'!$B$27)^('3. The decision'!$B$11-1))/'3. The decision'!$B$27</f>
        <v>4.28912098262087</v>
      </c>
      <c r="G427" s="15" t="n">
        <f aca="false">(1-(1-'3. The decision'!$B$9*MIN(1,('3. The decision'!$B$10/(52/12)))))+(1-(1-'3. The decision'!$B$9*MAX(0,MIN(1,('3. The decision'!$B$10/(52/12))-1))))*(1-'3. The decision'!$B$14)+(1-(1-'3. The decision'!$B$9*MAX(0,MIN(1,('3. The decision'!$B$10/(52/12))-2))))*(1-'3. The decision'!$B$14)*(1-'3. The decision'!$B$27)</f>
        <v>0.884576923076923</v>
      </c>
      <c r="H427" s="15" t="n">
        <f aca="false">IF(A427&lt;=0,0,MAX(0,ROUNDUP(LN('3. The decision'!$B$13)/LN(1+A427)-0.000000000001,0)-1))</f>
        <v>11</v>
      </c>
      <c r="I427" s="15" t="n">
        <f aca="false">IF(A427&lt;=0,1/(1-C427),(1+A427)*(1-(C427*(1+A427))^H427)/(1-C427*(1+A427))+'3. The decision'!$B$13*C427^H427/(1-C427))</f>
        <v>3.29747662793295</v>
      </c>
      <c r="J427" s="17" t="n">
        <f aca="false">F427+E427*D427/(1-C427)</f>
        <v>14.4965947584467</v>
      </c>
      <c r="K427" s="15" t="n">
        <f aca="false">F427-G427+E427*D427*I427</f>
        <v>14.9258678824098</v>
      </c>
      <c r="L427" s="17" t="n">
        <f aca="false">'3. The decision'!$B$8*'3. The decision'!$B$5/J427</f>
        <v>32.3965736661263</v>
      </c>
      <c r="M427" s="31" t="n">
        <f aca="false">L427*'3. The decision'!$B$6*'3. The decision'!$B$7*K427</f>
        <v>927454.578535376</v>
      </c>
      <c r="N427" s="31" t="n">
        <f aca="false">M427*(1+'3. The decision'!$B$19+'3. The decision'!$B$20+'3. The decision'!$B$22)</f>
        <v>1025764.76386013</v>
      </c>
      <c r="O427" s="31" t="n">
        <f aca="false">'3. The decision'!$B$17+'3. The decision'!$B$18*L427*12+M427*('3. The decision'!$B$20*(1-'3. The decision'!$B$21)+'3. The decision'!$B$23)+N427*('3. The decision'!$B$24+'3. The decision'!$B$25)</f>
        <v>576794.534044898</v>
      </c>
      <c r="P427" s="31" t="n">
        <f aca="false">N427-O427</f>
        <v>448970.229815227</v>
      </c>
    </row>
    <row r="428" customFormat="false" ht="15" hidden="false" customHeight="false" outlineLevel="0" collapsed="false">
      <c r="A428" s="27" t="n">
        <f aca="false">IF(OR(MATCH(MAX(P295:P415),P295:P415,0)=1,MATCH(MAX(P295:P415),P295:P415,0)=121),INDEX(A295:A415,MATCH(MAX(P295:P415),P295:P415,0)),INDEX(A295:A415,MATCH(MAX(P295:P415),P295:P415,0))-0.0025/2*(INDEX(P295:P415,MATCH(MAX(P295:P415),P295:P415,0)+1)-INDEX(P295:P415,MATCH(MAX(P295:P415),P295:P415,0)-1))/(INDEX(P295:P415,MATCH(MAX(P295:P415),P295:P415,0)+1)-2*INDEX(P295:P415,MATCH(MAX(P295:P415),P295:P415,0))+INDEX(P295:P415,MATCH(MAX(P295:P415),P295:P415,0)-1)))</f>
        <v>0.128205496623282</v>
      </c>
      <c r="B428" s="27" t="n">
        <f aca="false">IF(A428&gt;0,MIN('3. The decision'!$B$15,'3. The decision'!$B$29*(A428/'3. The decision'!$B$28)^$B$292),0)</f>
        <v>0.0876887658510683</v>
      </c>
      <c r="C428" s="15" t="n">
        <f aca="false">(1-'3. The decision'!$B$27-B428)*(1-'3. The decision'!$B$27)^('3. The decision'!$B$12-1)</f>
        <v>0.599577132289166</v>
      </c>
      <c r="D428" s="15" t="n">
        <f aca="false">1+(1-'3. The decision'!$B$27-B428)*(1-(1-'3. The decision'!$B$27)^('3. The decision'!$B$12-1))/'3. The decision'!$B$27</f>
        <v>4.70276844901904</v>
      </c>
      <c r="E428" s="15" t="n">
        <f aca="false">(1-'3. The decision'!$B$14)*(1-'3. The decision'!$B$27)^('3. The decision'!$B$11-1)</f>
        <v>0.690273454655712</v>
      </c>
      <c r="F428" s="15" t="n">
        <f aca="false">1+(1-'3. The decision'!$B$14)*(1-(1-'3. The decision'!$B$27)^('3. The decision'!$B$11-1))/'3. The decision'!$B$27</f>
        <v>4.28912098262087</v>
      </c>
      <c r="G428" s="15" t="n">
        <f aca="false">(1-(1-'3. The decision'!$B$9*MIN(1,('3. The decision'!$B$10/(52/12)))))+(1-(1-'3. The decision'!$B$9*MAX(0,MIN(1,('3. The decision'!$B$10/(52/12))-1))))*(1-'3. The decision'!$B$14)+(1-(1-'3. The decision'!$B$9*MAX(0,MIN(1,('3. The decision'!$B$10/(52/12))-2))))*(1-'3. The decision'!$B$14)*(1-'3. The decision'!$B$27)</f>
        <v>0.884576923076923</v>
      </c>
      <c r="H428" s="15" t="n">
        <f aca="false">IF(A428&lt;=0,0,MAX(0,ROUNDUP(LN('3. The decision'!$B$13)/LN(1+A428)-0.000000000001,0)-1))</f>
        <v>3</v>
      </c>
      <c r="I428" s="15" t="n">
        <f aca="false">IF(A428&lt;=0,1/(1-C428),(1+A428)*(1-(C428*(1+A428))^H428)/(1-C428*(1+A428))+'3. The decision'!$B$13*C428^H428/(1-C428))</f>
        <v>3.27964932129101</v>
      </c>
      <c r="J428" s="17" t="n">
        <f aca="false">F428+E428*D428/(1-C428)</f>
        <v>12.3960411550584</v>
      </c>
      <c r="K428" s="15" t="n">
        <f aca="false">F428-G428+E428*D428*I428</f>
        <v>14.0509293015439</v>
      </c>
      <c r="L428" s="17" t="n">
        <f aca="false">'3. The decision'!$B$8*'3. The decision'!$B$5/J428</f>
        <v>37.8862891890574</v>
      </c>
      <c r="M428" s="31" t="n">
        <f aca="false">L428*'3. The decision'!$B$6*'3. The decision'!$B$7*K428</f>
        <v>1021036.0927123</v>
      </c>
      <c r="N428" s="31" t="n">
        <f aca="false">M428*(1+'3. The decision'!$B$19+'3. The decision'!$B$20+'3. The decision'!$B$22)</f>
        <v>1129265.91853981</v>
      </c>
      <c r="O428" s="31" t="n">
        <f aca="false">'3. The decision'!$B$17+'3. The decision'!$B$18*L428*12+M428*('3. The decision'!$B$20*(1-'3. The decision'!$B$21)+'3. The decision'!$B$23)+N428*('3. The decision'!$B$24+'3. The decision'!$B$25)</f>
        <v>595182.430727778</v>
      </c>
      <c r="P428" s="31" t="n">
        <f aca="false">N428-O428</f>
        <v>534083.48781203</v>
      </c>
    </row>
    <row r="430" customFormat="false" ht="15" hidden="false" customHeight="false" outlineLevel="0" collapsed="false">
      <c r="A430" s="13" t="s">
        <v>99</v>
      </c>
      <c r="B430" s="34" t="n">
        <f aca="false">INDEX(A295:A428,MATCH(MAX(P295:P428),P295:P428,0))</f>
        <v>0.128180927925918</v>
      </c>
    </row>
    <row r="431" customFormat="false" ht="15" hidden="false" customHeight="false" outlineLevel="0" collapsed="false">
      <c r="A431" s="13" t="s">
        <v>89</v>
      </c>
      <c r="B431" s="35" t="n">
        <f aca="false">MAX(P295:P428)</f>
        <v>534086.592372447</v>
      </c>
    </row>
    <row r="432" customFormat="false" ht="15" hidden="false" customHeight="false" outlineLevel="0" collapsed="false">
      <c r="A432" s="13" t="s">
        <v>125</v>
      </c>
      <c r="B432" s="36" t="n">
        <f aca="false">INDEX(J295:J428,MATCH(MAX(P295:P428),P295:P428,0))</f>
        <v>12.3969242729843</v>
      </c>
    </row>
    <row r="433" customFormat="false" ht="15" hidden="false" customHeight="false" outlineLevel="0" collapsed="false">
      <c r="A433" s="13" t="s">
        <v>126</v>
      </c>
      <c r="B433" s="0" t="str">
        <f aca="false">IF(AND(MATCH(MAX(P295:P415),P295:P415,0)&gt;1,MATCH(MAX(P295:P415),P295:P415,0)&lt;121),"yes","no — widen the range")</f>
        <v>yes</v>
      </c>
    </row>
    <row r="436" customFormat="false" ht="15" hidden="false" customHeight="false" outlineLevel="0" collapsed="false">
      <c r="A436" s="13" t="s">
        <v>129</v>
      </c>
      <c r="B436" s="19" t="n">
        <f aca="false">'3. The decision'!$B$30*1.25</f>
        <v>3</v>
      </c>
    </row>
    <row r="437" customFormat="false" ht="15" hidden="false" customHeight="false" outlineLevel="0" collapsed="false">
      <c r="A437" s="13"/>
    </row>
    <row r="438" customFormat="false" ht="15" hidden="false" customHeight="false" outlineLevel="0" collapsed="false">
      <c r="A438" s="28" t="s">
        <v>109</v>
      </c>
      <c r="B438" s="28" t="s">
        <v>110</v>
      </c>
      <c r="C438" s="28" t="s">
        <v>111</v>
      </c>
      <c r="D438" s="28" t="s">
        <v>112</v>
      </c>
      <c r="E438" s="28" t="s">
        <v>113</v>
      </c>
      <c r="F438" s="28" t="s">
        <v>114</v>
      </c>
      <c r="G438" s="28" t="s">
        <v>115</v>
      </c>
      <c r="H438" s="28" t="s">
        <v>116</v>
      </c>
      <c r="I438" s="28" t="s">
        <v>117</v>
      </c>
      <c r="J438" s="28" t="s">
        <v>118</v>
      </c>
      <c r="K438" s="28" t="s">
        <v>119</v>
      </c>
      <c r="L438" s="28" t="s">
        <v>120</v>
      </c>
      <c r="M438" s="28" t="s">
        <v>121</v>
      </c>
      <c r="N438" s="28" t="s">
        <v>122</v>
      </c>
      <c r="O438" s="28" t="s">
        <v>123</v>
      </c>
      <c r="P438" s="28" t="s">
        <v>124</v>
      </c>
    </row>
    <row r="439" customFormat="false" ht="15" hidden="false" customHeight="false" outlineLevel="0" collapsed="false">
      <c r="A439" s="27" t="n">
        <f aca="false">0*0.0025</f>
        <v>0</v>
      </c>
      <c r="B439" s="27" t="n">
        <f aca="false">IF(A439&gt;0,MIN('3. The decision'!$B$15,'3. The decision'!$B$29*(A439/'3. The decision'!$B$28)^$B$436),0)</f>
        <v>0</v>
      </c>
      <c r="C439" s="15" t="n">
        <f aca="false">(1-'3. The decision'!$B$27-B439)*(1-'3. The decision'!$B$27)^('3. The decision'!$B$12-1)</f>
        <v>0.661737785447033</v>
      </c>
      <c r="D439" s="15" t="n">
        <f aca="false">1+(1-'3. The decision'!$B$27-B439)*(1-(1-'3. The decision'!$B$27)^('3. The decision'!$B$12-1))/'3. The decision'!$B$27</f>
        <v>5.08664984290175</v>
      </c>
      <c r="E439" s="15" t="n">
        <f aca="false">(1-'3. The decision'!$B$14)*(1-'3. The decision'!$B$27)^('3. The decision'!$B$11-1)</f>
        <v>0.690273454655712</v>
      </c>
      <c r="F439" s="15" t="n">
        <f aca="false">1+(1-'3. The decision'!$B$14)*(1-(1-'3. The decision'!$B$27)^('3. The decision'!$B$11-1))/'3. The decision'!$B$27</f>
        <v>4.28912098262087</v>
      </c>
      <c r="G439" s="15" t="n">
        <f aca="false">(1-(1-'3. The decision'!$B$9*MIN(1,('3. The decision'!$B$10/(52/12)))))+(1-(1-'3. The decision'!$B$9*MAX(0,MIN(1,('3. The decision'!$B$10/(52/12))-1))))*(1-'3. The decision'!$B$14)+(1-(1-'3. The decision'!$B$9*MAX(0,MIN(1,('3. The decision'!$B$10/(52/12))-2))))*(1-'3. The decision'!$B$14)*(1-'3. The decision'!$B$27)</f>
        <v>0.884576923076923</v>
      </c>
      <c r="H439" s="15" t="n">
        <f aca="false">IF(A439&lt;=0,0,MAX(0,ROUNDUP(LN('3. The decision'!$B$13)/LN(1+A439)-0.000000000001,0)-1))</f>
        <v>0</v>
      </c>
      <c r="I439" s="15" t="n">
        <f aca="false">IF(A439&lt;=0,1/(1-C439),(1+A439)*(1-(C439*(1+A439))^H439)/(1-C439*(1+A439))+'3. The decision'!$B$13*C439^H439/(1-C439))</f>
        <v>2.95628644577272</v>
      </c>
      <c r="J439" s="17" t="n">
        <f aca="false">F439+E439*D439/(1-C439)</f>
        <v>14.6691729323308</v>
      </c>
      <c r="K439" s="15" t="n">
        <f aca="false">F439-G439+E439*D439*I439</f>
        <v>13.7845960092539</v>
      </c>
      <c r="L439" s="17" t="n">
        <f aca="false">'3. The decision'!$B$8*'3. The decision'!$B$5/J439</f>
        <v>32.0154382368016</v>
      </c>
      <c r="M439" s="31" t="n">
        <f aca="false">L439*'3. The decision'!$B$6*'3. The decision'!$B$7*K439</f>
        <v>846462.005967676</v>
      </c>
      <c r="N439" s="31" t="n">
        <f aca="false">M439*(1+'3. The decision'!$B$19+'3. The decision'!$B$20+'3. The decision'!$B$22)</f>
        <v>936186.97860025</v>
      </c>
      <c r="O439" s="31" t="n">
        <f aca="false">'3. The decision'!$B$17+'3. The decision'!$B$18*L439*12+M439*('3. The decision'!$B$20*(1-'3. The decision'!$B$21)+'3. The decision'!$B$23)+N439*('3. The decision'!$B$24+'3. The decision'!$B$25)</f>
        <v>567500.190131996</v>
      </c>
      <c r="P439" s="31" t="n">
        <f aca="false">N439-O439</f>
        <v>368686.788468253</v>
      </c>
    </row>
    <row r="440" customFormat="false" ht="15" hidden="false" customHeight="false" outlineLevel="0" collapsed="false">
      <c r="A440" s="27" t="n">
        <f aca="false">1*0.0025</f>
        <v>0.0025</v>
      </c>
      <c r="B440" s="27" t="n">
        <f aca="false">IF(A440&gt;0,MIN('3. The decision'!$B$15,'3. The decision'!$B$29*(A440/'3. The decision'!$B$28)^$B$436),0)</f>
        <v>8.50158152087172E-007</v>
      </c>
      <c r="C440" s="15" t="n">
        <f aca="false">(1-'3. The decision'!$B$27-B440)*(1-'3. The decision'!$B$27)^('3. The decision'!$B$12-1)</f>
        <v>0.661737182788466</v>
      </c>
      <c r="D440" s="15" t="n">
        <f aca="false">1+(1-'3. The decision'!$B$27-B440)*(1-(1-'3. The decision'!$B$27)^('3. The decision'!$B$12-1))/'3. The decision'!$B$27</f>
        <v>5.08664612110349</v>
      </c>
      <c r="E440" s="15" t="n">
        <f aca="false">(1-'3. The decision'!$B$14)*(1-'3. The decision'!$B$27)^('3. The decision'!$B$11-1)</f>
        <v>0.690273454655712</v>
      </c>
      <c r="F440" s="15" t="n">
        <f aca="false">1+(1-'3. The decision'!$B$14)*(1-(1-'3. The decision'!$B$27)^('3. The decision'!$B$11-1))/'3. The decision'!$B$27</f>
        <v>4.28912098262087</v>
      </c>
      <c r="G440" s="15" t="n">
        <f aca="false">(1-(1-'3. The decision'!$B$9*MIN(1,('3. The decision'!$B$10/(52/12)))))+(1-(1-'3. The decision'!$B$9*MAX(0,MIN(1,('3. The decision'!$B$10/(52/12))-1))))*(1-'3. The decision'!$B$14)+(1-(1-'3. The decision'!$B$9*MAX(0,MIN(1,('3. The decision'!$B$10/(52/12))-2))))*(1-'3. The decision'!$B$14)*(1-'3. The decision'!$B$27)</f>
        <v>0.884576923076923</v>
      </c>
      <c r="H440" s="15" t="n">
        <f aca="false">IF(A440&lt;=0,0,MAX(0,ROUNDUP(LN('3. The decision'!$B$13)/LN(1+A440)-0.000000000001,0)-1))</f>
        <v>193</v>
      </c>
      <c r="I440" s="15" t="n">
        <f aca="false">IF(A440&lt;=0,1/(1-C440),(1+A440)*(1-(C440*(1+A440))^H440)/(1-C440*(1+A440))+'3. The decision'!$B$13*C440^H440/(1-C440))</f>
        <v>2.97823755691264</v>
      </c>
      <c r="J440" s="17" t="n">
        <f aca="false">F440+E440*D440/(1-C440)</f>
        <v>14.6691468440783</v>
      </c>
      <c r="K440" s="15" t="n">
        <f aca="false">F440-G440+E440*D440*I440</f>
        <v>13.8616626463438</v>
      </c>
      <c r="L440" s="17" t="n">
        <f aca="false">'3. The decision'!$B$8*'3. The decision'!$B$5/J440</f>
        <v>32.0154951744576</v>
      </c>
      <c r="M440" s="31" t="n">
        <f aca="false">L440*'3. The decision'!$B$6*'3. The decision'!$B$7*K440</f>
        <v>851195.902218274</v>
      </c>
      <c r="N440" s="31" t="n">
        <f aca="false">M440*(1+'3. The decision'!$B$19+'3. The decision'!$B$20+'3. The decision'!$B$22)</f>
        <v>941422.667853411</v>
      </c>
      <c r="O440" s="31" t="n">
        <f aca="false">'3. The decision'!$B$17+'3. The decision'!$B$18*L440*12+M440*('3. The decision'!$B$20*(1-'3. The decision'!$B$21)+'3. The decision'!$B$23)+N440*('3. The decision'!$B$24+'3. The decision'!$B$25)</f>
        <v>568009.771434767</v>
      </c>
      <c r="P440" s="31" t="n">
        <f aca="false">N440-O440</f>
        <v>373412.896418645</v>
      </c>
    </row>
    <row r="441" customFormat="false" ht="15" hidden="false" customHeight="false" outlineLevel="0" collapsed="false">
      <c r="A441" s="27" t="n">
        <f aca="false">2*0.0025</f>
        <v>0.005</v>
      </c>
      <c r="B441" s="27" t="n">
        <f aca="false">IF(A441&gt;0,MIN('3. The decision'!$B$15,'3. The decision'!$B$29*(A441/'3. The decision'!$B$28)^$B$436),0)</f>
        <v>6.80126521669738E-006</v>
      </c>
      <c r="C441" s="15" t="n">
        <f aca="false">(1-'3. The decision'!$B$27-B441)*(1-'3. The decision'!$B$27)^('3. The decision'!$B$12-1)</f>
        <v>0.661732964178493</v>
      </c>
      <c r="D441" s="15" t="n">
        <f aca="false">1+(1-'3. The decision'!$B$27-B441)*(1-(1-'3. The decision'!$B$27)^('3. The decision'!$B$12-1))/'3. The decision'!$B$27</f>
        <v>5.08662006851565</v>
      </c>
      <c r="E441" s="15" t="n">
        <f aca="false">(1-'3. The decision'!$B$14)*(1-'3. The decision'!$B$27)^('3. The decision'!$B$11-1)</f>
        <v>0.690273454655712</v>
      </c>
      <c r="F441" s="15" t="n">
        <f aca="false">1+(1-'3. The decision'!$B$14)*(1-(1-'3. The decision'!$B$27)^('3. The decision'!$B$11-1))/'3. The decision'!$B$27</f>
        <v>4.28912098262087</v>
      </c>
      <c r="G441" s="15" t="n">
        <f aca="false">(1-(1-'3. The decision'!$B$9*MIN(1,('3. The decision'!$B$10/(52/12)))))+(1-(1-'3. The decision'!$B$9*MAX(0,MIN(1,('3. The decision'!$B$10/(52/12))-1))))*(1-'3. The decision'!$B$14)+(1-(1-'3. The decision'!$B$9*MAX(0,MIN(1,('3. The decision'!$B$10/(52/12))-2))))*(1-'3. The decision'!$B$14)*(1-'3. The decision'!$B$27)</f>
        <v>0.884576923076923</v>
      </c>
      <c r="H441" s="15" t="n">
        <f aca="false">IF(A441&lt;=0,0,MAX(0,ROUNDUP(LN('3. The decision'!$B$13)/LN(1+A441)-0.000000000001,0)-1))</f>
        <v>96</v>
      </c>
      <c r="I441" s="15" t="n">
        <f aca="false">IF(A441&lt;=0,1/(1-C441),(1+A441)*(1-(C441*(1+A441))^H441)/(1-C441*(1+A441))+'3. The decision'!$B$13*C441^H441/(1-C441))</f>
        <v>3.00037284334105</v>
      </c>
      <c r="J441" s="17" t="n">
        <f aca="false">F441+E441*D441/(1-C441)</f>
        <v>14.6689642289137</v>
      </c>
      <c r="K441" s="15" t="n">
        <f aca="false">F441-G441+E441*D441*I441</f>
        <v>13.9393295933707</v>
      </c>
      <c r="L441" s="17" t="n">
        <f aca="false">'3. The decision'!$B$8*'3. The decision'!$B$5/J441</f>
        <v>32.0158937380392</v>
      </c>
      <c r="M441" s="31" t="n">
        <f aca="false">L441*'3. The decision'!$B$6*'3. The decision'!$B$7*K441</f>
        <v>855975.811985543</v>
      </c>
      <c r="N441" s="31" t="n">
        <f aca="false">M441*(1+'3. The decision'!$B$19+'3. The decision'!$B$20+'3. The decision'!$B$22)</f>
        <v>946709.248056011</v>
      </c>
      <c r="O441" s="31" t="n">
        <f aca="false">'3. The decision'!$B$17+'3. The decision'!$B$18*L441*12+M441*('3. The decision'!$B$20*(1-'3. The decision'!$B$21)+'3. The decision'!$B$23)+N441*('3. The decision'!$B$24+'3. The decision'!$B$25)</f>
        <v>568524.822540324</v>
      </c>
      <c r="P441" s="31" t="n">
        <f aca="false">N441-O441</f>
        <v>378184.425515687</v>
      </c>
    </row>
    <row r="442" customFormat="false" ht="15" hidden="false" customHeight="false" outlineLevel="0" collapsed="false">
      <c r="A442" s="27" t="n">
        <f aca="false">3*0.0025</f>
        <v>0.0075</v>
      </c>
      <c r="B442" s="27" t="n">
        <f aca="false">IF(A442&gt;0,MIN('3. The decision'!$B$15,'3. The decision'!$B$29*(A442/'3. The decision'!$B$28)^$B$436),0)</f>
        <v>2.29542701063536E-005</v>
      </c>
      <c r="C442" s="15" t="n">
        <f aca="false">(1-'3. The decision'!$B$27-B442)*(1-'3. The decision'!$B$27)^('3. The decision'!$B$12-1)</f>
        <v>0.661721513665709</v>
      </c>
      <c r="D442" s="15" t="n">
        <f aca="false">1+(1-'3. The decision'!$B$27-B442)*(1-(1-'3. The decision'!$B$27)^('3. The decision'!$B$12-1))/'3. The decision'!$B$27</f>
        <v>5.08654935434865</v>
      </c>
      <c r="E442" s="15" t="n">
        <f aca="false">(1-'3. The decision'!$B$14)*(1-'3. The decision'!$B$27)^('3. The decision'!$B$11-1)</f>
        <v>0.690273454655712</v>
      </c>
      <c r="F442" s="15" t="n">
        <f aca="false">1+(1-'3. The decision'!$B$14)*(1-(1-'3. The decision'!$B$27)^('3. The decision'!$B$11-1))/'3. The decision'!$B$27</f>
        <v>4.28912098262087</v>
      </c>
      <c r="G442" s="15" t="n">
        <f aca="false">(1-(1-'3. The decision'!$B$9*MIN(1,('3. The decision'!$B$10/(52/12)))))+(1-(1-'3. The decision'!$B$9*MAX(0,MIN(1,('3. The decision'!$B$10/(52/12))-1))))*(1-'3. The decision'!$B$14)+(1-(1-'3. The decision'!$B$9*MAX(0,MIN(1,('3. The decision'!$B$10/(52/12))-2))))*(1-'3. The decision'!$B$14)*(1-'3. The decision'!$B$27)</f>
        <v>0.884576923076923</v>
      </c>
      <c r="H442" s="15" t="n">
        <f aca="false">IF(A442&lt;=0,0,MAX(0,ROUNDUP(LN('3. The decision'!$B$13)/LN(1+A442)-0.000000000001,0)-1))</f>
        <v>64</v>
      </c>
      <c r="I442" s="15" t="n">
        <f aca="false">IF(A442&lt;=0,1/(1-C442),(1+A442)*(1-(C442*(1+A442))^H442)/(1-C442*(1+A442))+'3. The decision'!$B$13*C442^H442/(1-C442))</f>
        <v>3.02266103243126</v>
      </c>
      <c r="J442" s="17" t="n">
        <f aca="false">F442+E442*D442/(1-C442)</f>
        <v>14.6684685821407</v>
      </c>
      <c r="K442" s="15" t="n">
        <f aca="false">F442-G442+E442*D442*I442</f>
        <v>14.0174394223218</v>
      </c>
      <c r="L442" s="17" t="n">
        <f aca="false">'3. The decision'!$B$8*'3. The decision'!$B$5/J442</f>
        <v>32.0169755533854</v>
      </c>
      <c r="M442" s="31" t="n">
        <f aca="false">L442*'3. The decision'!$B$6*'3. The decision'!$B$7*K442</f>
        <v>860801.406752994</v>
      </c>
      <c r="N442" s="31" t="n">
        <f aca="false">M442*(1+'3. The decision'!$B$19+'3. The decision'!$B$20+'3. The decision'!$B$22)</f>
        <v>952046.355868811</v>
      </c>
      <c r="O442" s="31" t="n">
        <f aca="false">'3. The decision'!$B$17+'3. The decision'!$B$18*L442*12+M442*('3. The decision'!$B$20*(1-'3. The decision'!$B$21)+'3. The decision'!$B$23)+N442*('3. The decision'!$B$24+'3. The decision'!$B$25)</f>
        <v>569045.82559732</v>
      </c>
      <c r="P442" s="31" t="n">
        <f aca="false">N442-O442</f>
        <v>383000.53027149</v>
      </c>
    </row>
    <row r="443" customFormat="false" ht="15" hidden="false" customHeight="false" outlineLevel="0" collapsed="false">
      <c r="A443" s="27" t="n">
        <f aca="false">4*0.0025</f>
        <v>0.01</v>
      </c>
      <c r="B443" s="27" t="n">
        <f aca="false">IF(A443&gt;0,MIN('3. The decision'!$B$15,'3. The decision'!$B$29*(A443/'3. The decision'!$B$28)^$B$436),0)</f>
        <v>5.4410121733579E-005</v>
      </c>
      <c r="C443" s="15" t="n">
        <f aca="false">(1-'3. The decision'!$B$27-B443)*(1-'3. The decision'!$B$27)^('3. The decision'!$B$12-1)</f>
        <v>0.661699215298708</v>
      </c>
      <c r="D443" s="15" t="n">
        <f aca="false">1+(1-'3. The decision'!$B$27-B443)*(1-(1-'3. The decision'!$B$27)^('3. The decision'!$B$12-1))/'3. The decision'!$B$27</f>
        <v>5.08641164781291</v>
      </c>
      <c r="E443" s="15" t="n">
        <f aca="false">(1-'3. The decision'!$B$14)*(1-'3. The decision'!$B$27)^('3. The decision'!$B$11-1)</f>
        <v>0.690273454655712</v>
      </c>
      <c r="F443" s="15" t="n">
        <f aca="false">1+(1-'3. The decision'!$B$14)*(1-(1-'3. The decision'!$B$27)^('3. The decision'!$B$11-1))/'3. The decision'!$B$27</f>
        <v>4.28912098262087</v>
      </c>
      <c r="G443" s="15" t="n">
        <f aca="false">(1-(1-'3. The decision'!$B$9*MIN(1,('3. The decision'!$B$10/(52/12)))))+(1-(1-'3. The decision'!$B$9*MAX(0,MIN(1,('3. The decision'!$B$10/(52/12))-1))))*(1-'3. The decision'!$B$14)+(1-(1-'3. The decision'!$B$9*MAX(0,MIN(1,('3. The decision'!$B$10/(52/12))-2))))*(1-'3. The decision'!$B$14)*(1-'3. The decision'!$B$27)</f>
        <v>0.884576923076923</v>
      </c>
      <c r="H443" s="15" t="n">
        <f aca="false">IF(A443&lt;=0,0,MAX(0,ROUNDUP(LN('3. The decision'!$B$13)/LN(1+A443)-0.000000000001,0)-1))</f>
        <v>48</v>
      </c>
      <c r="I443" s="15" t="n">
        <f aca="false">IF(A443&lt;=0,1/(1-C443),(1+A443)*(1-(C443*(1+A443))^H443)/(1-C443*(1+A443))+'3. The decision'!$B$13*C443^H443/(1-C443))</f>
        <v>3.04506889571412</v>
      </c>
      <c r="J443" s="17" t="n">
        <f aca="false">F443+E443*D443/(1-C443)</f>
        <v>14.6675034715559</v>
      </c>
      <c r="K443" s="15" t="n">
        <f aca="false">F443-G443+E443*D443*I443</f>
        <v>14.0958264455333</v>
      </c>
      <c r="L443" s="17" t="n">
        <f aca="false">'3. The decision'!$B$8*'3. The decision'!$B$5/J443</f>
        <v>32.0190822460519</v>
      </c>
      <c r="M443" s="31" t="n">
        <f aca="false">L443*'3. The decision'!$B$6*'3. The decision'!$B$7*K443</f>
        <v>865672.057269971</v>
      </c>
      <c r="N443" s="31" t="n">
        <f aca="false">M443*(1+'3. The decision'!$B$19+'3. The decision'!$B$20+'3. The decision'!$B$22)</f>
        <v>957433.295340588</v>
      </c>
      <c r="O443" s="31" t="n">
        <f aca="false">'3. The decision'!$B$17+'3. The decision'!$B$18*L443*12+M443*('3. The decision'!$B$20*(1-'3. The decision'!$B$21)+'3. The decision'!$B$23)+N443*('3. The decision'!$B$24+'3. The decision'!$B$25)</f>
        <v>569573.230386864</v>
      </c>
      <c r="P443" s="31" t="n">
        <f aca="false">N443-O443</f>
        <v>387860.064953725</v>
      </c>
    </row>
    <row r="444" customFormat="false" ht="15" hidden="false" customHeight="false" outlineLevel="0" collapsed="false">
      <c r="A444" s="27" t="n">
        <f aca="false">5*0.0025</f>
        <v>0.0125</v>
      </c>
      <c r="B444" s="27" t="n">
        <f aca="false">IF(A444&gt;0,MIN('3. The decision'!$B$15,'3. The decision'!$B$29*(A444/'3. The decision'!$B$28)^$B$436),0)</f>
        <v>0.000106269769010897</v>
      </c>
      <c r="C444" s="15" t="n">
        <f aca="false">(1-'3. The decision'!$B$27-B444)*(1-'3. The decision'!$B$27)^('3. The decision'!$B$12-1)</f>
        <v>0.661662453126085</v>
      </c>
      <c r="D444" s="15" t="n">
        <f aca="false">1+(1-'3. The decision'!$B$27-B444)*(1-(1-'3. The decision'!$B$27)^('3. The decision'!$B$12-1))/'3. The decision'!$B$27</f>
        <v>5.08618461811886</v>
      </c>
      <c r="E444" s="15" t="n">
        <f aca="false">(1-'3. The decision'!$B$14)*(1-'3. The decision'!$B$27)^('3. The decision'!$B$11-1)</f>
        <v>0.690273454655712</v>
      </c>
      <c r="F444" s="15" t="n">
        <f aca="false">1+(1-'3. The decision'!$B$14)*(1-(1-'3. The decision'!$B$27)^('3. The decision'!$B$11-1))/'3. The decision'!$B$27</f>
        <v>4.28912098262087</v>
      </c>
      <c r="G444" s="15" t="n">
        <f aca="false">(1-(1-'3. The decision'!$B$9*MIN(1,('3. The decision'!$B$10/(52/12)))))+(1-(1-'3. The decision'!$B$9*MAX(0,MIN(1,('3. The decision'!$B$10/(52/12))-1))))*(1-'3. The decision'!$B$14)+(1-(1-'3. The decision'!$B$9*MAX(0,MIN(1,('3. The decision'!$B$10/(52/12))-2))))*(1-'3. The decision'!$B$14)*(1-'3. The decision'!$B$27)</f>
        <v>0.884576923076923</v>
      </c>
      <c r="H444" s="15" t="n">
        <f aca="false">IF(A444&lt;=0,0,MAX(0,ROUNDUP(LN('3. The decision'!$B$13)/LN(1+A444)-0.000000000001,0)-1))</f>
        <v>38</v>
      </c>
      <c r="I444" s="15" t="n">
        <f aca="false">IF(A444&lt;=0,1/(1-C444),(1+A444)*(1-(C444*(1+A444))^H444)/(1-C444*(1+A444))+'3. The decision'!$B$13*C444^H444/(1-C444))</f>
        <v>3.06756116365786</v>
      </c>
      <c r="J444" s="17" t="n">
        <f aca="false">F444+E444*D444/(1-C444)</f>
        <v>14.6659126210435</v>
      </c>
      <c r="K444" s="15" t="n">
        <f aca="false">F444-G444+E444*D444*I444</f>
        <v>14.1743164089195</v>
      </c>
      <c r="L444" s="17" t="n">
        <f aca="false">'3. The decision'!$B$8*'3. The decision'!$B$5/J444</f>
        <v>32.0225554409846</v>
      </c>
      <c r="M444" s="31" t="n">
        <f aca="false">L444*'3. The decision'!$B$6*'3. The decision'!$B$7*K444</f>
        <v>870586.814232921</v>
      </c>
      <c r="N444" s="31" t="n">
        <f aca="false">M444*(1+'3. The decision'!$B$19+'3. The decision'!$B$20+'3. The decision'!$B$22)</f>
        <v>962869.01654161</v>
      </c>
      <c r="O444" s="31" t="n">
        <f aca="false">'3. The decision'!$B$17+'3. The decision'!$B$18*L444*12+M444*('3. The decision'!$B$20*(1-'3. The decision'!$B$21)+'3. The decision'!$B$23)+N444*('3. The decision'!$B$24+'3. The decision'!$B$25)</f>
        <v>570107.452242804</v>
      </c>
      <c r="P444" s="31" t="n">
        <f aca="false">N444-O444</f>
        <v>392761.564298807</v>
      </c>
    </row>
    <row r="445" customFormat="false" ht="15" hidden="false" customHeight="false" outlineLevel="0" collapsed="false">
      <c r="A445" s="27" t="n">
        <f aca="false">6*0.0025</f>
        <v>0.015</v>
      </c>
      <c r="B445" s="27" t="n">
        <f aca="false">IF(A445&gt;0,MIN('3. The decision'!$B$15,'3. The decision'!$B$29*(A445/'3. The decision'!$B$28)^$B$436),0)</f>
        <v>0.000183634160850829</v>
      </c>
      <c r="C445" s="15" t="n">
        <f aca="false">(1-'3. The decision'!$B$27-B445)*(1-'3. The decision'!$B$27)^('3. The decision'!$B$12-1)</f>
        <v>0.661607611196435</v>
      </c>
      <c r="D445" s="15" t="n">
        <f aca="false">1+(1-'3. The decision'!$B$27-B445)*(1-(1-'3. The decision'!$B$27)^('3. The decision'!$B$12-1))/'3. The decision'!$B$27</f>
        <v>5.08584593447691</v>
      </c>
      <c r="E445" s="15" t="n">
        <f aca="false">(1-'3. The decision'!$B$14)*(1-'3. The decision'!$B$27)^('3. The decision'!$B$11-1)</f>
        <v>0.690273454655712</v>
      </c>
      <c r="F445" s="15" t="n">
        <f aca="false">1+(1-'3. The decision'!$B$14)*(1-(1-'3. The decision'!$B$27)^('3. The decision'!$B$11-1))/'3. The decision'!$B$27</f>
        <v>4.28912098262087</v>
      </c>
      <c r="G445" s="15" t="n">
        <f aca="false">(1-(1-'3. The decision'!$B$9*MIN(1,('3. The decision'!$B$10/(52/12)))))+(1-(1-'3. The decision'!$B$9*MAX(0,MIN(1,('3. The decision'!$B$10/(52/12))-1))))*(1-'3. The decision'!$B$14)+(1-(1-'3. The decision'!$B$9*MAX(0,MIN(1,('3. The decision'!$B$10/(52/12))-2))))*(1-'3. The decision'!$B$14)*(1-'3. The decision'!$B$27)</f>
        <v>0.884576923076923</v>
      </c>
      <c r="H445" s="15" t="n">
        <f aca="false">IF(A445&lt;=0,0,MAX(0,ROUNDUP(LN('3. The decision'!$B$13)/LN(1+A445)-0.000000000001,0)-1))</f>
        <v>32</v>
      </c>
      <c r="I445" s="15" t="n">
        <f aca="false">IF(A445&lt;=0,1/(1-C445),(1+A445)*(1-(C445*(1+A445))^H445)/(1-C445*(1+A445))+'3. The decision'!$B$13*C445^H445/(1-C445))</f>
        <v>3.09010021904698</v>
      </c>
      <c r="J445" s="17" t="n">
        <f aca="false">F445+E445*D445/(1-C445)</f>
        <v>14.663540027477</v>
      </c>
      <c r="K445" s="15" t="n">
        <f aca="false">F445-G445+E445*D445*I445</f>
        <v>14.2527254199676</v>
      </c>
      <c r="L445" s="17" t="n">
        <f aca="false">'3. The decision'!$B$8*'3. The decision'!$B$5/J445</f>
        <v>32.0277367620624</v>
      </c>
      <c r="M445" s="31" t="n">
        <f aca="false">L445*'3. The decision'!$B$6*'3. The decision'!$B$7*K445</f>
        <v>875544.33946719</v>
      </c>
      <c r="N445" s="31" t="n">
        <f aca="false">M445*(1+'3. The decision'!$B$19+'3. The decision'!$B$20+'3. The decision'!$B$22)</f>
        <v>968352.039450712</v>
      </c>
      <c r="O445" s="31" t="n">
        <f aca="false">'3. The decision'!$B$17+'3. The decision'!$B$18*L445*12+M445*('3. The decision'!$B$20*(1-'3. The decision'!$B$21)+'3. The decision'!$B$23)+N445*('3. The decision'!$B$24+'3. The decision'!$B$25)</f>
        <v>570648.864644345</v>
      </c>
      <c r="P445" s="31" t="n">
        <f aca="false">N445-O445</f>
        <v>397703.174806368</v>
      </c>
    </row>
    <row r="446" customFormat="false" ht="15" hidden="false" customHeight="false" outlineLevel="0" collapsed="false">
      <c r="A446" s="27" t="n">
        <f aca="false">7*0.0025</f>
        <v>0.0175</v>
      </c>
      <c r="B446" s="27" t="n">
        <f aca="false">IF(A446&gt;0,MIN('3. The decision'!$B$15,'3. The decision'!$B$29*(A446/'3. The decision'!$B$28)^$B$436),0)</f>
        <v>0.0002916042461659</v>
      </c>
      <c r="C446" s="15" t="n">
        <f aca="false">(1-'3. The decision'!$B$27-B446)*(1-'3. The decision'!$B$27)^('3. The decision'!$B$12-1)</f>
        <v>0.661531073558351</v>
      </c>
      <c r="D446" s="15" t="n">
        <f aca="false">1+(1-'3. The decision'!$B$27-B446)*(1-(1-'3. The decision'!$B$27)^('3. The decision'!$B$12-1))/'3. The decision'!$B$27</f>
        <v>5.08537326609749</v>
      </c>
      <c r="E446" s="15" t="n">
        <f aca="false">(1-'3. The decision'!$B$14)*(1-'3. The decision'!$B$27)^('3. The decision'!$B$11-1)</f>
        <v>0.690273454655712</v>
      </c>
      <c r="F446" s="15" t="n">
        <f aca="false">1+(1-'3. The decision'!$B$14)*(1-(1-'3. The decision'!$B$27)^('3. The decision'!$B$11-1))/'3. The decision'!$B$27</f>
        <v>4.28912098262087</v>
      </c>
      <c r="G446" s="15" t="n">
        <f aca="false">(1-(1-'3. The decision'!$B$9*MIN(1,('3. The decision'!$B$10/(52/12)))))+(1-(1-'3. The decision'!$B$9*MAX(0,MIN(1,('3. The decision'!$B$10/(52/12))-1))))*(1-'3. The decision'!$B$14)+(1-(1-'3. The decision'!$B$9*MAX(0,MIN(1,('3. The decision'!$B$10/(52/12))-2))))*(1-'3. The decision'!$B$14)*(1-'3. The decision'!$B$27)</f>
        <v>0.884576923076923</v>
      </c>
      <c r="H446" s="15" t="n">
        <f aca="false">IF(A446&lt;=0,0,MAX(0,ROUNDUP(LN('3. The decision'!$B$13)/LN(1+A446)-0.000000000001,0)-1))</f>
        <v>27</v>
      </c>
      <c r="I446" s="15" t="n">
        <f aca="false">IF(A446&lt;=0,1/(1-C446),(1+A446)*(1-(C446*(1+A446))^H446)/(1-C446*(1+A446))+'3. The decision'!$B$13*C446^H446/(1-C446))</f>
        <v>3.11264490502265</v>
      </c>
      <c r="J446" s="17" t="n">
        <f aca="false">F446+E446*D446/(1-C446)</f>
        <v>14.6602301107378</v>
      </c>
      <c r="K446" s="15" t="n">
        <f aca="false">F446-G446+E446*D446*I446</f>
        <v>14.3308557816067</v>
      </c>
      <c r="L446" s="17" t="n">
        <f aca="false">'3. The decision'!$B$8*'3. The decision'!$B$5/J446</f>
        <v>32.0349678315087</v>
      </c>
      <c r="M446" s="31" t="n">
        <f aca="false">L446*'3. The decision'!$B$6*'3. The decision'!$B$7*K446</f>
        <v>880542.644224178</v>
      </c>
      <c r="N446" s="31" t="n">
        <f aca="false">M446*(1+'3. The decision'!$B$19+'3. The decision'!$B$20+'3. The decision'!$B$22)</f>
        <v>973880.164511941</v>
      </c>
      <c r="O446" s="31" t="n">
        <f aca="false">'3. The decision'!$B$17+'3. The decision'!$B$18*L446*12+M446*('3. The decision'!$B$20*(1-'3. The decision'!$B$21)+'3. The decision'!$B$23)+N446*('3. The decision'!$B$24+'3. The decision'!$B$25)</f>
        <v>571197.771048862</v>
      </c>
      <c r="P446" s="31" t="n">
        <f aca="false">N446-O446</f>
        <v>402682.393463079</v>
      </c>
    </row>
    <row r="447" customFormat="false" ht="15" hidden="false" customHeight="false" outlineLevel="0" collapsed="false">
      <c r="A447" s="27" t="n">
        <f aca="false">8*0.0025</f>
        <v>0.02</v>
      </c>
      <c r="B447" s="27" t="n">
        <f aca="false">IF(A447&gt;0,MIN('3. The decision'!$B$15,'3. The decision'!$B$29*(A447/'3. The decision'!$B$28)^$B$436),0)</f>
        <v>0.000435280973868632</v>
      </c>
      <c r="C447" s="15" t="n">
        <f aca="false">(1-'3. The decision'!$B$27-B447)*(1-'3. The decision'!$B$27)^('3. The decision'!$B$12-1)</f>
        <v>0.661429224260429</v>
      </c>
      <c r="D447" s="15" t="n">
        <f aca="false">1+(1-'3. The decision'!$B$27-B447)*(1-(1-'3. The decision'!$B$27)^('3. The decision'!$B$12-1))/'3. The decision'!$B$27</f>
        <v>5.08474428219101</v>
      </c>
      <c r="E447" s="15" t="n">
        <f aca="false">(1-'3. The decision'!$B$14)*(1-'3. The decision'!$B$27)^('3. The decision'!$B$11-1)</f>
        <v>0.690273454655712</v>
      </c>
      <c r="F447" s="15" t="n">
        <f aca="false">1+(1-'3. The decision'!$B$14)*(1-(1-'3. The decision'!$B$27)^('3. The decision'!$B$11-1))/'3. The decision'!$B$27</f>
        <v>4.28912098262087</v>
      </c>
      <c r="G447" s="15" t="n">
        <f aca="false">(1-(1-'3. The decision'!$B$9*MIN(1,('3. The decision'!$B$10/(52/12)))))+(1-(1-'3. The decision'!$B$9*MAX(0,MIN(1,('3. The decision'!$B$10/(52/12))-1))))*(1-'3. The decision'!$B$14)+(1-(1-'3. The decision'!$B$9*MAX(0,MIN(1,('3. The decision'!$B$10/(52/12))-2))))*(1-'3. The decision'!$B$14)*(1-'3. The decision'!$B$27)</f>
        <v>0.884576923076923</v>
      </c>
      <c r="H447" s="15" t="n">
        <f aca="false">IF(A447&lt;=0,0,MAX(0,ROUNDUP(LN('3. The decision'!$B$13)/LN(1+A447)-0.000000000001,0)-1))</f>
        <v>24</v>
      </c>
      <c r="I447" s="15" t="n">
        <f aca="false">IF(A447&lt;=0,1/(1-C447),(1+A447)*(1-(C447*(1+A447))^H447)/(1-C447*(1+A447))+'3. The decision'!$B$13*C447^H447/(1-C447))</f>
        <v>3.13514786240459</v>
      </c>
      <c r="J447" s="17" t="n">
        <f aca="false">F447+E447*D447/(1-C447)</f>
        <v>14.6558278965356</v>
      </c>
      <c r="K447" s="15" t="n">
        <f aca="false">F447-G447+E447*D447*I447</f>
        <v>14.4084866818323</v>
      </c>
      <c r="L447" s="17" t="n">
        <f aca="false">'3. The decision'!$B$8*'3. The decision'!$B$5/J447</f>
        <v>32.0445902691732</v>
      </c>
      <c r="M447" s="31" t="n">
        <f aca="false">L447*'3. The decision'!$B$6*'3. The decision'!$B$7*K447</f>
        <v>885578.507889282</v>
      </c>
      <c r="N447" s="31" t="n">
        <f aca="false">M447*(1+'3. The decision'!$B$19+'3. The decision'!$B$20+'3. The decision'!$B$22)</f>
        <v>979449.829725546</v>
      </c>
      <c r="O447" s="31" t="n">
        <f aca="false">'3. The decision'!$B$17+'3. The decision'!$B$18*L447*12+M447*('3. The decision'!$B$20*(1-'3. The decision'!$B$21)+'3. The decision'!$B$23)+N447*('3. The decision'!$B$24+'3. The decision'!$B$25)</f>
        <v>571754.34232809</v>
      </c>
      <c r="P447" s="31" t="n">
        <f aca="false">N447-O447</f>
        <v>407695.487397457</v>
      </c>
    </row>
    <row r="448" customFormat="false" ht="15" hidden="false" customHeight="false" outlineLevel="0" collapsed="false">
      <c r="A448" s="27" t="n">
        <f aca="false">9*0.0025</f>
        <v>0.0225</v>
      </c>
      <c r="B448" s="27" t="n">
        <f aca="false">IF(A448&gt;0,MIN('3. The decision'!$B$15,'3. The decision'!$B$29*(A448/'3. The decision'!$B$28)^$B$436),0)</f>
        <v>0.000619765292871548</v>
      </c>
      <c r="C448" s="15" t="n">
        <f aca="false">(1-'3. The decision'!$B$27-B448)*(1-'3. The decision'!$B$27)^('3. The decision'!$B$12-1)</f>
        <v>0.661298447351263</v>
      </c>
      <c r="D448" s="15" t="n">
        <f aca="false">1+(1-'3. The decision'!$B$27-B448)*(1-(1-'3. The decision'!$B$27)^('3. The decision'!$B$12-1))/'3. The decision'!$B$27</f>
        <v>5.0839366519679</v>
      </c>
      <c r="E448" s="15" t="n">
        <f aca="false">(1-'3. The decision'!$B$14)*(1-'3. The decision'!$B$27)^('3. The decision'!$B$11-1)</f>
        <v>0.690273454655712</v>
      </c>
      <c r="F448" s="15" t="n">
        <f aca="false">1+(1-'3. The decision'!$B$14)*(1-(1-'3. The decision'!$B$27)^('3. The decision'!$B$11-1))/'3. The decision'!$B$27</f>
        <v>4.28912098262087</v>
      </c>
      <c r="G448" s="15" t="n">
        <f aca="false">(1-(1-'3. The decision'!$B$9*MIN(1,('3. The decision'!$B$10/(52/12)))))+(1-(1-'3. The decision'!$B$9*MAX(0,MIN(1,('3. The decision'!$B$10/(52/12))-1))))*(1-'3. The decision'!$B$14)+(1-(1-'3. The decision'!$B$9*MAX(0,MIN(1,('3. The decision'!$B$10/(52/12))-2))))*(1-'3. The decision'!$B$14)*(1-'3. The decision'!$B$27)</f>
        <v>0.884576923076923</v>
      </c>
      <c r="H448" s="15" t="n">
        <f aca="false">IF(A448&lt;=0,0,MAX(0,ROUNDUP(LN('3. The decision'!$B$13)/LN(1+A448)-0.000000000001,0)-1))</f>
        <v>21</v>
      </c>
      <c r="I448" s="15" t="n">
        <f aca="false">IF(A448&lt;=0,1/(1-C448),(1+A448)*(1-(C448*(1+A448))^H448)/(1-C448*(1+A448))+'3. The decision'!$B$13*C448^H448/(1-C448))</f>
        <v>3.15755243555589</v>
      </c>
      <c r="J448" s="17" t="n">
        <f aca="false">F448+E448*D448/(1-C448)</f>
        <v>14.6501792315747</v>
      </c>
      <c r="K448" s="15" t="n">
        <f aca="false">F448-G448+E448*D448*I448</f>
        <v>14.4853633962667</v>
      </c>
      <c r="L448" s="17" t="n">
        <f aca="false">'3. The decision'!$B$8*'3. The decision'!$B$5/J448</f>
        <v>32.0569456916821</v>
      </c>
      <c r="M448" s="31" t="n">
        <f aca="false">L448*'3. The decision'!$B$6*'3. The decision'!$B$7*K448</f>
        <v>890646.80043289</v>
      </c>
      <c r="N448" s="31" t="n">
        <f aca="false">M448*(1+'3. The decision'!$B$19+'3. The decision'!$B$20+'3. The decision'!$B$22)</f>
        <v>985055.361278776</v>
      </c>
      <c r="O448" s="31" t="n">
        <f aca="false">'3. The decision'!$B$17+'3. The decision'!$B$18*L448*12+M448*('3. The decision'!$B$20*(1-'3. The decision'!$B$21)+'3. The decision'!$B$23)+N448*('3. The decision'!$B$24+'3. The decision'!$B$25)</f>
        <v>572318.543844273</v>
      </c>
      <c r="P448" s="31" t="n">
        <f aca="false">N448-O448</f>
        <v>412736.817434503</v>
      </c>
    </row>
    <row r="449" customFormat="false" ht="15" hidden="false" customHeight="false" outlineLevel="0" collapsed="false">
      <c r="A449" s="27" t="n">
        <f aca="false">10*0.0025</f>
        <v>0.025</v>
      </c>
      <c r="B449" s="27" t="n">
        <f aca="false">IF(A449&gt;0,MIN('3. The decision'!$B$15,'3. The decision'!$B$29*(A449/'3. The decision'!$B$28)^$B$436),0)</f>
        <v>0.000850158152087172</v>
      </c>
      <c r="C449" s="15" t="n">
        <f aca="false">(1-'3. The decision'!$B$27-B449)*(1-'3. The decision'!$B$27)^('3. The decision'!$B$12-1)</f>
        <v>0.661135126879447</v>
      </c>
      <c r="D449" s="15" t="n">
        <f aca="false">1+(1-'3. The decision'!$B$27-B449)*(1-(1-'3. The decision'!$B$27)^('3. The decision'!$B$12-1))/'3. The decision'!$B$27</f>
        <v>5.08292804463858</v>
      </c>
      <c r="E449" s="15" t="n">
        <f aca="false">(1-'3. The decision'!$B$14)*(1-'3. The decision'!$B$27)^('3. The decision'!$B$11-1)</f>
        <v>0.690273454655712</v>
      </c>
      <c r="F449" s="15" t="n">
        <f aca="false">1+(1-'3. The decision'!$B$14)*(1-(1-'3. The decision'!$B$27)^('3. The decision'!$B$11-1))/'3. The decision'!$B$27</f>
        <v>4.28912098262087</v>
      </c>
      <c r="G449" s="15" t="n">
        <f aca="false">(1-(1-'3. The decision'!$B$9*MIN(1,('3. The decision'!$B$10/(52/12)))))+(1-(1-'3. The decision'!$B$9*MAX(0,MIN(1,('3. The decision'!$B$10/(52/12))-1))))*(1-'3. The decision'!$B$14)+(1-(1-'3. The decision'!$B$9*MAX(0,MIN(1,('3. The decision'!$B$10/(52/12))-2))))*(1-'3. The decision'!$B$14)*(1-'3. The decision'!$B$27)</f>
        <v>0.884576923076923</v>
      </c>
      <c r="H449" s="15" t="n">
        <f aca="false">IF(A449&lt;=0,0,MAX(0,ROUNDUP(LN('3. The decision'!$B$13)/LN(1+A449)-0.000000000001,0)-1))</f>
        <v>19</v>
      </c>
      <c r="I449" s="15" t="n">
        <f aca="false">IF(A449&lt;=0,1/(1-C449),(1+A449)*(1-(C449*(1+A449))^H449)/(1-C449*(1+A449))+'3. The decision'!$B$13*C449^H449/(1-C449))</f>
        <v>3.17979013443907</v>
      </c>
      <c r="J449" s="17" t="n">
        <f aca="false">F449+E449*D449/(1-C449)</f>
        <v>14.643131030428</v>
      </c>
      <c r="K449" s="15" t="n">
        <f aca="false">F449-G449+E449*D449*I449</f>
        <v>14.5611884806973</v>
      </c>
      <c r="L449" s="17" t="n">
        <f aca="false">'3. The decision'!$B$8*'3. The decision'!$B$5/J449</f>
        <v>32.0723757114584</v>
      </c>
      <c r="M449" s="31" t="n">
        <f aca="false">L449*'3. The decision'!$B$6*'3. The decision'!$B$7*K449</f>
        <v>895739.920718875</v>
      </c>
      <c r="N449" s="31" t="n">
        <f aca="false">M449*(1+'3. The decision'!$B$19+'3. The decision'!$B$20+'3. The decision'!$B$22)</f>
        <v>990688.352315076</v>
      </c>
      <c r="O449" s="31" t="n">
        <f aca="false">'3. The decision'!$B$17+'3. The decision'!$B$18*L449*12+M449*('3. The decision'!$B$20*(1-'3. The decision'!$B$21)+'3. The decision'!$B$23)+N449*('3. The decision'!$B$24+'3. The decision'!$B$25)</f>
        <v>572890.074995507</v>
      </c>
      <c r="P449" s="31" t="n">
        <f aca="false">N449-O449</f>
        <v>417798.277319569</v>
      </c>
    </row>
    <row r="450" customFormat="false" ht="15" hidden="false" customHeight="false" outlineLevel="0" collapsed="false">
      <c r="A450" s="27" t="n">
        <f aca="false">11*0.0025</f>
        <v>0.0275</v>
      </c>
      <c r="B450" s="27" t="n">
        <f aca="false">IF(A450&gt;0,MIN('3. The decision'!$B$15,'3. The decision'!$B$29*(A450/'3. The decision'!$B$28)^$B$436),0)</f>
        <v>0.00113156050042803</v>
      </c>
      <c r="C450" s="15" t="n">
        <f aca="false">(1-'3. The decision'!$B$27-B450)*(1-'3. The decision'!$B$27)^('3. The decision'!$B$12-1)</f>
        <v>0.660935646893576</v>
      </c>
      <c r="D450" s="15" t="n">
        <f aca="false">1+(1-'3. The decision'!$B$27-B450)*(1-(1-'3. The decision'!$B$27)^('3. The decision'!$B$12-1))/'3. The decision'!$B$27</f>
        <v>5.08169612941348</v>
      </c>
      <c r="E450" s="15" t="n">
        <f aca="false">(1-'3. The decision'!$B$14)*(1-'3. The decision'!$B$27)^('3. The decision'!$B$11-1)</f>
        <v>0.690273454655712</v>
      </c>
      <c r="F450" s="15" t="n">
        <f aca="false">1+(1-'3. The decision'!$B$14)*(1-(1-'3. The decision'!$B$27)^('3. The decision'!$B$11-1))/'3. The decision'!$B$27</f>
        <v>4.28912098262087</v>
      </c>
      <c r="G450" s="15" t="n">
        <f aca="false">(1-(1-'3. The decision'!$B$9*MIN(1,('3. The decision'!$B$10/(52/12)))))+(1-(1-'3. The decision'!$B$9*MAX(0,MIN(1,('3. The decision'!$B$10/(52/12))-1))))*(1-'3. The decision'!$B$14)+(1-(1-'3. The decision'!$B$9*MAX(0,MIN(1,('3. The decision'!$B$10/(52/12))-2))))*(1-'3. The decision'!$B$14)*(1-'3. The decision'!$B$27)</f>
        <v>0.884576923076923</v>
      </c>
      <c r="H450" s="15" t="n">
        <f aca="false">IF(A450&lt;=0,0,MAX(0,ROUNDUP(LN('3. The decision'!$B$13)/LN(1+A450)-0.000000000001,0)-1))</f>
        <v>17</v>
      </c>
      <c r="I450" s="15" t="n">
        <f aca="false">IF(A450&lt;=0,1/(1-C450),(1+A450)*(1-(C450*(1+A450))^H450)/(1-C450*(1+A450))+'3. The decision'!$B$13*C450^H450/(1-C450))</f>
        <v>3.20178227548657</v>
      </c>
      <c r="J450" s="17" t="n">
        <f aca="false">F450+E450*D450/(1-C450)</f>
        <v>14.6345315532797</v>
      </c>
      <c r="K450" s="15" t="n">
        <f aca="false">F450-G450+E450*D450*I450</f>
        <v>14.6356276709372</v>
      </c>
      <c r="L450" s="17" t="n">
        <f aca="false">'3. The decision'!$B$8*'3. The decision'!$B$5/J450</f>
        <v>32.0912219356109</v>
      </c>
      <c r="M450" s="31" t="n">
        <f aca="false">L450*'3. The decision'!$B$6*'3. The decision'!$B$7*K450</f>
        <v>900848.131932799</v>
      </c>
      <c r="N450" s="31" t="n">
        <f aca="false">M450*(1+'3. The decision'!$B$19+'3. The decision'!$B$20+'3. The decision'!$B$22)</f>
        <v>996338.033917676</v>
      </c>
      <c r="O450" s="31" t="n">
        <f aca="false">'3. The decision'!$B$17+'3. The decision'!$B$18*L450*12+M450*('3. The decision'!$B$20*(1-'3. The decision'!$B$21)+'3. The decision'!$B$23)+N450*('3. The decision'!$B$24+'3. The decision'!$B$25)</f>
        <v>573468.405315189</v>
      </c>
      <c r="P450" s="31" t="n">
        <f aca="false">N450-O450</f>
        <v>422869.628602486</v>
      </c>
    </row>
    <row r="451" customFormat="false" ht="15" hidden="false" customHeight="false" outlineLevel="0" collapsed="false">
      <c r="A451" s="27" t="n">
        <f aca="false">12*0.0025</f>
        <v>0.03</v>
      </c>
      <c r="B451" s="27" t="n">
        <f aca="false">IF(A451&gt;0,MIN('3. The decision'!$B$15,'3. The decision'!$B$29*(A451/'3. The decision'!$B$28)^$B$436),0)</f>
        <v>0.00146907328680663</v>
      </c>
      <c r="C451" s="15" t="n">
        <f aca="false">(1-'3. The decision'!$B$27-B451)*(1-'3. The decision'!$B$27)^('3. The decision'!$B$12-1)</f>
        <v>0.660696391442244</v>
      </c>
      <c r="D451" s="15" t="n">
        <f aca="false">1+(1-'3. The decision'!$B$27-B451)*(1-(1-'3. The decision'!$B$27)^('3. The decision'!$B$12-1))/'3. The decision'!$B$27</f>
        <v>5.080218575503</v>
      </c>
      <c r="E451" s="15" t="n">
        <f aca="false">(1-'3. The decision'!$B$14)*(1-'3. The decision'!$B$27)^('3. The decision'!$B$11-1)</f>
        <v>0.690273454655712</v>
      </c>
      <c r="F451" s="15" t="n">
        <f aca="false">1+(1-'3. The decision'!$B$14)*(1-(1-'3. The decision'!$B$27)^('3. The decision'!$B$11-1))/'3. The decision'!$B$27</f>
        <v>4.28912098262087</v>
      </c>
      <c r="G451" s="15" t="n">
        <f aca="false">(1-(1-'3. The decision'!$B$9*MIN(1,('3. The decision'!$B$10/(52/12)))))+(1-(1-'3. The decision'!$B$9*MAX(0,MIN(1,('3. The decision'!$B$10/(52/12))-1))))*(1-'3. The decision'!$B$14)+(1-(1-'3. The decision'!$B$9*MAX(0,MIN(1,('3. The decision'!$B$10/(52/12))-2))))*(1-'3. The decision'!$B$14)*(1-'3. The decision'!$B$27)</f>
        <v>0.884576923076923</v>
      </c>
      <c r="H451" s="15" t="n">
        <f aca="false">IF(A451&lt;=0,0,MAX(0,ROUNDUP(LN('3. The decision'!$B$13)/LN(1+A451)-0.000000000001,0)-1))</f>
        <v>16</v>
      </c>
      <c r="I451" s="15" t="n">
        <f aca="false">IF(A451&lt;=0,1/(1-C451),(1+A451)*(1-(C451*(1+A451))^H451)/(1-C451*(1+A451))+'3. The decision'!$B$13*C451^H451/(1-C451))</f>
        <v>3.22343550863017</v>
      </c>
      <c r="J451" s="17" t="n">
        <f aca="false">F451+E451*D451/(1-C451)</f>
        <v>14.6242307134732</v>
      </c>
      <c r="K451" s="15" t="n">
        <f aca="false">F451-G451+E451*D451*I451</f>
        <v>14.7082943805586</v>
      </c>
      <c r="L451" s="17" t="n">
        <f aca="false">'3. The decision'!$B$8*'3. The decision'!$B$5/J451</f>
        <v>32.1138259646932</v>
      </c>
      <c r="M451" s="31" t="n">
        <f aca="false">L451*'3. The decision'!$B$6*'3. The decision'!$B$7*K451</f>
        <v>905958.572317989</v>
      </c>
      <c r="N451" s="31" t="n">
        <f aca="false">M451*(1+'3. The decision'!$B$19+'3. The decision'!$B$20+'3. The decision'!$B$22)</f>
        <v>1001990.1809837</v>
      </c>
      <c r="O451" s="31" t="n">
        <f aca="false">'3. The decision'!$B$17+'3. The decision'!$B$18*L451*12+M451*('3. The decision'!$B$20*(1-'3. The decision'!$B$21)+'3. The decision'!$B$23)+N451*('3. The decision'!$B$24+'3. The decision'!$B$25)</f>
        <v>574052.667998627</v>
      </c>
      <c r="P451" s="31" t="n">
        <f aca="false">N451-O451</f>
        <v>427937.512985069</v>
      </c>
    </row>
    <row r="452" customFormat="false" ht="15" hidden="false" customHeight="false" outlineLevel="0" collapsed="false">
      <c r="A452" s="27" t="n">
        <f aca="false">13*0.0025</f>
        <v>0.0325</v>
      </c>
      <c r="B452" s="27" t="n">
        <f aca="false">IF(A452&gt;0,MIN('3. The decision'!$B$15,'3. The decision'!$B$29*(A452/'3. The decision'!$B$28)^$B$436),0)</f>
        <v>0.00186779746013552</v>
      </c>
      <c r="C452" s="15" t="n">
        <f aca="false">(1-'3. The decision'!$B$27-B452)*(1-'3. The decision'!$B$27)^('3. The decision'!$B$12-1)</f>
        <v>0.660413744574046</v>
      </c>
      <c r="D452" s="15" t="n">
        <f aca="false">1+(1-'3. The decision'!$B$27-B452)*(1-(1-'3. The decision'!$B$27)^('3. The decision'!$B$12-1))/'3. The decision'!$B$27</f>
        <v>5.07847305211757</v>
      </c>
      <c r="E452" s="15" t="n">
        <f aca="false">(1-'3. The decision'!$B$14)*(1-'3. The decision'!$B$27)^('3. The decision'!$B$11-1)</f>
        <v>0.690273454655712</v>
      </c>
      <c r="F452" s="15" t="n">
        <f aca="false">1+(1-'3. The decision'!$B$14)*(1-(1-'3. The decision'!$B$27)^('3. The decision'!$B$11-1))/'3. The decision'!$B$27</f>
        <v>4.28912098262087</v>
      </c>
      <c r="G452" s="15" t="n">
        <f aca="false">(1-(1-'3. The decision'!$B$9*MIN(1,('3. The decision'!$B$10/(52/12)))))+(1-(1-'3. The decision'!$B$9*MAX(0,MIN(1,('3. The decision'!$B$10/(52/12))-1))))*(1-'3. The decision'!$B$14)+(1-(1-'3. The decision'!$B$9*MAX(0,MIN(1,('3. The decision'!$B$10/(52/12))-2))))*(1-'3. The decision'!$B$14)*(1-'3. The decision'!$B$27)</f>
        <v>0.884576923076923</v>
      </c>
      <c r="H452" s="15" t="n">
        <f aca="false">IF(A452&lt;=0,0,MAX(0,ROUNDUP(LN('3. The decision'!$B$13)/LN(1+A452)-0.000000000001,0)-1))</f>
        <v>15</v>
      </c>
      <c r="I452" s="15" t="n">
        <f aca="false">IF(A452&lt;=0,1/(1-C452),(1+A452)*(1-(C452*(1+A452))^H452)/(1-C452*(1+A452))+'3. The decision'!$B$13*C452^H452/(1-C452))</f>
        <v>3.24466356635536</v>
      </c>
      <c r="J452" s="17" t="n">
        <f aca="false">F452+E452*D452/(1-C452)</f>
        <v>14.6120804135437</v>
      </c>
      <c r="K452" s="15" t="n">
        <f aca="false">F452-G452+E452*D452*I452</f>
        <v>14.7788262025894</v>
      </c>
      <c r="L452" s="17" t="n">
        <f aca="false">'3. The decision'!$B$8*'3. The decision'!$B$5/J452</f>
        <v>32.1405293913314</v>
      </c>
      <c r="M452" s="31" t="n">
        <f aca="false">L452*'3. The decision'!$B$6*'3. The decision'!$B$7*K452</f>
        <v>911059.924606624</v>
      </c>
      <c r="N452" s="31" t="n">
        <f aca="false">M452*(1+'3. The decision'!$B$19+'3. The decision'!$B$20+'3. The decision'!$B$22)</f>
        <v>1007632.27661493</v>
      </c>
      <c r="O452" s="31" t="n">
        <f aca="false">'3. The decision'!$B$17+'3. The decision'!$B$18*L452*12+M452*('3. The decision'!$B$20*(1-'3. The decision'!$B$21)+'3. The decision'!$B$23)+N452*('3. The decision'!$B$24+'3. The decision'!$B$25)</f>
        <v>574642.162457821</v>
      </c>
      <c r="P452" s="31" t="n">
        <f aca="false">N452-O452</f>
        <v>432990.114157105</v>
      </c>
    </row>
    <row r="453" customFormat="false" ht="15" hidden="false" customHeight="false" outlineLevel="0" collapsed="false">
      <c r="A453" s="27" t="n">
        <f aca="false">14*0.0025</f>
        <v>0.035</v>
      </c>
      <c r="B453" s="27" t="n">
        <f aca="false">IF(A453&gt;0,MIN('3. The decision'!$B$15,'3. The decision'!$B$29*(A453/'3. The decision'!$B$28)^$B$436),0)</f>
        <v>0.0023328339693272</v>
      </c>
      <c r="C453" s="15" t="n">
        <f aca="false">(1-'3. The decision'!$B$27-B453)*(1-'3. The decision'!$B$27)^('3. The decision'!$B$12-1)</f>
        <v>0.660084090337576</v>
      </c>
      <c r="D453" s="15" t="n">
        <f aca="false">1+(1-'3. The decision'!$B$27-B453)*(1-(1-'3. The decision'!$B$27)^('3. The decision'!$B$12-1))/'3. The decision'!$B$27</f>
        <v>5.07643722846762</v>
      </c>
      <c r="E453" s="15" t="n">
        <f aca="false">(1-'3. The decision'!$B$14)*(1-'3. The decision'!$B$27)^('3. The decision'!$B$11-1)</f>
        <v>0.690273454655712</v>
      </c>
      <c r="F453" s="15" t="n">
        <f aca="false">1+(1-'3. The decision'!$B$14)*(1-(1-'3. The decision'!$B$27)^('3. The decision'!$B$11-1))/'3. The decision'!$B$27</f>
        <v>4.28912098262087</v>
      </c>
      <c r="G453" s="15" t="n">
        <f aca="false">(1-(1-'3. The decision'!$B$9*MIN(1,('3. The decision'!$B$10/(52/12)))))+(1-(1-'3. The decision'!$B$9*MAX(0,MIN(1,('3. The decision'!$B$10/(52/12))-1))))*(1-'3. The decision'!$B$14)+(1-(1-'3. The decision'!$B$9*MAX(0,MIN(1,('3. The decision'!$B$10/(52/12))-2))))*(1-'3. The decision'!$B$14)*(1-'3. The decision'!$B$27)</f>
        <v>0.884576923076923</v>
      </c>
      <c r="H453" s="15" t="n">
        <f aca="false">IF(A453&lt;=0,0,MAX(0,ROUNDUP(LN('3. The decision'!$B$13)/LN(1+A453)-0.000000000001,0)-1))</f>
        <v>14</v>
      </c>
      <c r="I453" s="15" t="n">
        <f aca="false">IF(A453&lt;=0,1/(1-C453),(1+A453)*(1-(C453*(1+A453))^H453)/(1-C453*(1+A453))+'3. The decision'!$B$13*C453^H453/(1-C453))</f>
        <v>3.26535482177213</v>
      </c>
      <c r="J453" s="17" t="n">
        <f aca="false">F453+E453*D453/(1-C453)</f>
        <v>14.5979349081509</v>
      </c>
      <c r="K453" s="15" t="n">
        <f aca="false">F453-G453+E453*D453*I453</f>
        <v>14.8467714039282</v>
      </c>
      <c r="L453" s="17" t="n">
        <f aca="false">'3. The decision'!$B$8*'3. The decision'!$B$5/J453</f>
        <v>32.1716737987214</v>
      </c>
      <c r="M453" s="31" t="n">
        <f aca="false">L453*'3. The decision'!$B$6*'3. The decision'!$B$7*K453</f>
        <v>916135.377204574</v>
      </c>
      <c r="N453" s="31" t="n">
        <f aca="false">M453*(1+'3. The decision'!$B$19+'3. The decision'!$B$20+'3. The decision'!$B$22)</f>
        <v>1013245.72718826</v>
      </c>
      <c r="O453" s="31" t="n">
        <f aca="false">'3. The decision'!$B$17+'3. The decision'!$B$18*L453*12+M453*('3. The decision'!$B$20*(1-'3. The decision'!$B$21)+'3. The decision'!$B$23)+N453*('3. The decision'!$B$24+'3. The decision'!$B$25)</f>
        <v>575235.596752629</v>
      </c>
      <c r="P453" s="31" t="n">
        <f aca="false">N453-O453</f>
        <v>438010.130435629</v>
      </c>
    </row>
    <row r="454" customFormat="false" ht="15" hidden="false" customHeight="false" outlineLevel="0" collapsed="false">
      <c r="A454" s="27" t="n">
        <f aca="false">15*0.0025</f>
        <v>0.0375</v>
      </c>
      <c r="B454" s="27" t="n">
        <f aca="false">IF(A454&gt;0,MIN('3. The decision'!$B$15,'3. The decision'!$B$29*(A454/'3. The decision'!$B$28)^$B$436),0)</f>
        <v>0.00286928376329421</v>
      </c>
      <c r="C454" s="15" t="n">
        <f aca="false">(1-'3. The decision'!$B$27-B454)*(1-'3. The decision'!$B$27)^('3. The decision'!$B$12-1)</f>
        <v>0.659703812781429</v>
      </c>
      <c r="D454" s="15" t="n">
        <f aca="false">1+(1-'3. The decision'!$B$27-B454)*(1-(1-'3. The decision'!$B$27)^('3. The decision'!$B$12-1))/'3. The decision'!$B$27</f>
        <v>5.07408877376356</v>
      </c>
      <c r="E454" s="15" t="n">
        <f aca="false">(1-'3. The decision'!$B$14)*(1-'3. The decision'!$B$27)^('3. The decision'!$B$11-1)</f>
        <v>0.690273454655712</v>
      </c>
      <c r="F454" s="15" t="n">
        <f aca="false">1+(1-'3. The decision'!$B$14)*(1-(1-'3. The decision'!$B$27)^('3. The decision'!$B$11-1))/'3. The decision'!$B$27</f>
        <v>4.28912098262087</v>
      </c>
      <c r="G454" s="15" t="n">
        <f aca="false">(1-(1-'3. The decision'!$B$9*MIN(1,('3. The decision'!$B$10/(52/12)))))+(1-(1-'3. The decision'!$B$9*MAX(0,MIN(1,('3. The decision'!$B$10/(52/12))-1))))*(1-'3. The decision'!$B$14)+(1-(1-'3. The decision'!$B$9*MAX(0,MIN(1,('3. The decision'!$B$10/(52/12))-2))))*(1-'3. The decision'!$B$14)*(1-'3. The decision'!$B$27)</f>
        <v>0.884576923076923</v>
      </c>
      <c r="H454" s="15" t="n">
        <f aca="false">IF(A454&lt;=0,0,MAX(0,ROUNDUP(LN('3. The decision'!$B$13)/LN(1+A454)-0.000000000001,0)-1))</f>
        <v>13</v>
      </c>
      <c r="I454" s="15" t="n">
        <f aca="false">IF(A454&lt;=0,1/(1-C454),(1+A454)*(1-(C454*(1+A454))^H454)/(1-C454*(1+A454))+'3. The decision'!$B$13*C454^H454/(1-C454))</f>
        <v>3.28538961996323</v>
      </c>
      <c r="J454" s="17" t="n">
        <f aca="false">F454+E454*D454/(1-C454)</f>
        <v>14.5816511920349</v>
      </c>
      <c r="K454" s="15" t="n">
        <f aca="false">F454-G454+E454*D454*I454</f>
        <v>14.9116500724976</v>
      </c>
      <c r="L454" s="17" t="n">
        <f aca="false">'3. The decision'!$B$8*'3. The decision'!$B$5/J454</f>
        <v>32.2076007589962</v>
      </c>
      <c r="M454" s="31" t="n">
        <f aca="false">L454*'3. The decision'!$B$6*'3. The decision'!$B$7*K454</f>
        <v>921166.325866942</v>
      </c>
      <c r="N454" s="31" t="n">
        <f aca="false">M454*(1+'3. The decision'!$B$19+'3. The decision'!$B$20+'3. The decision'!$B$22)</f>
        <v>1018809.95640884</v>
      </c>
      <c r="O454" s="31" t="n">
        <f aca="false">'3. The decision'!$B$17+'3. The decision'!$B$18*L454*12+M454*('3. The decision'!$B$20*(1-'3. The decision'!$B$21)+'3. The decision'!$B$23)+N454*('3. The decision'!$B$24+'3. The decision'!$B$25)</f>
        <v>575831.485988529</v>
      </c>
      <c r="P454" s="31" t="n">
        <f aca="false">N454-O454</f>
        <v>442978.470420309</v>
      </c>
    </row>
    <row r="455" customFormat="false" ht="15" hidden="false" customHeight="false" outlineLevel="0" collapsed="false">
      <c r="A455" s="27" t="n">
        <f aca="false">16*0.0025</f>
        <v>0.04</v>
      </c>
      <c r="B455" s="27" t="n">
        <f aca="false">IF(A455&gt;0,MIN('3. The decision'!$B$15,'3. The decision'!$B$29*(A455/'3. The decision'!$B$28)^$B$436),0)</f>
        <v>0.00348224779094906</v>
      </c>
      <c r="C455" s="15" t="n">
        <f aca="false">(1-'3. The decision'!$B$27-B455)*(1-'3. The decision'!$B$27)^('3. The decision'!$B$12-1)</f>
        <v>0.6592692959542</v>
      </c>
      <c r="D455" s="15" t="n">
        <f aca="false">1+(1-'3. The decision'!$B$27-B455)*(1-(1-'3. The decision'!$B$27)^('3. The decision'!$B$12-1))/'3. The decision'!$B$27</f>
        <v>5.07140535721581</v>
      </c>
      <c r="E455" s="15" t="n">
        <f aca="false">(1-'3. The decision'!$B$14)*(1-'3. The decision'!$B$27)^('3. The decision'!$B$11-1)</f>
        <v>0.690273454655712</v>
      </c>
      <c r="F455" s="15" t="n">
        <f aca="false">1+(1-'3. The decision'!$B$14)*(1-(1-'3. The decision'!$B$27)^('3. The decision'!$B$11-1))/'3. The decision'!$B$27</f>
        <v>4.28912098262087</v>
      </c>
      <c r="G455" s="15" t="n">
        <f aca="false">(1-(1-'3. The decision'!$B$9*MIN(1,('3. The decision'!$B$10/(52/12)))))+(1-(1-'3. The decision'!$B$9*MAX(0,MIN(1,('3. The decision'!$B$10/(52/12))-1))))*(1-'3. The decision'!$B$14)+(1-(1-'3. The decision'!$B$9*MAX(0,MIN(1,('3. The decision'!$B$10/(52/12))-2))))*(1-'3. The decision'!$B$14)*(1-'3. The decision'!$B$27)</f>
        <v>0.884576923076923</v>
      </c>
      <c r="H455" s="15" t="n">
        <f aca="false">IF(A455&lt;=0,0,MAX(0,ROUNDUP(LN('3. The decision'!$B$13)/LN(1+A455)-0.000000000001,0)-1))</f>
        <v>12</v>
      </c>
      <c r="I455" s="15" t="n">
        <f aca="false">IF(A455&lt;=0,1/(1-C455),(1+A455)*(1-(C455*(1+A455))^H455)/(1-C455*(1+A455))+'3. The decision'!$B$13*C455^H455/(1-C455))</f>
        <v>3.30465428544753</v>
      </c>
      <c r="J455" s="17" t="n">
        <f aca="false">F455+E455*D455/(1-C455)</f>
        <v>14.5630894108207</v>
      </c>
      <c r="K455" s="15" t="n">
        <f aca="false">F455-G455+E455*D455*I455</f>
        <v>14.9730035505495</v>
      </c>
      <c r="L455" s="17" t="n">
        <f aca="false">'3. The decision'!$B$8*'3. The decision'!$B$5/J455</f>
        <v>32.2486518314615</v>
      </c>
      <c r="M455" s="31" t="n">
        <f aca="false">L455*'3. The decision'!$B$6*'3. The decision'!$B$7*K455</f>
        <v>926135.36179466</v>
      </c>
      <c r="N455" s="31" t="n">
        <f aca="false">M455*(1+'3. The decision'!$B$19+'3. The decision'!$B$20+'3. The decision'!$B$22)</f>
        <v>1024305.71014489</v>
      </c>
      <c r="O455" s="31" t="n">
        <f aca="false">'3. The decision'!$B$17+'3. The decision'!$B$18*L455*12+M455*('3. The decision'!$B$20*(1-'3. The decision'!$B$21)+'3. The decision'!$B$23)+N455*('3. The decision'!$B$24+'3. The decision'!$B$25)</f>
        <v>576428.473913811</v>
      </c>
      <c r="P455" s="31" t="n">
        <f aca="false">N455-O455</f>
        <v>447877.236231082</v>
      </c>
    </row>
    <row r="456" customFormat="false" ht="15" hidden="false" customHeight="false" outlineLevel="0" collapsed="false">
      <c r="A456" s="27" t="n">
        <f aca="false">17*0.0025</f>
        <v>0.0425</v>
      </c>
      <c r="B456" s="27" t="n">
        <f aca="false">IF(A456&gt;0,MIN('3. The decision'!$B$15,'3. The decision'!$B$29*(A456/'3. The decision'!$B$28)^$B$436),0)</f>
        <v>0.00417682700120428</v>
      </c>
      <c r="C456" s="15" t="n">
        <f aca="false">(1-'3. The decision'!$B$27-B456)*(1-'3. The decision'!$B$27)^('3. The decision'!$B$12-1)</f>
        <v>0.658776923904481</v>
      </c>
      <c r="D456" s="15" t="n">
        <f aca="false">1+(1-'3. The decision'!$B$27-B456)*(1-(1-'3. The decision'!$B$27)^('3. The decision'!$B$12-1))/'3. The decision'!$B$27</f>
        <v>5.0683646480348</v>
      </c>
      <c r="E456" s="15" t="n">
        <f aca="false">(1-'3. The decision'!$B$14)*(1-'3. The decision'!$B$27)^('3. The decision'!$B$11-1)</f>
        <v>0.690273454655712</v>
      </c>
      <c r="F456" s="15" t="n">
        <f aca="false">1+(1-'3. The decision'!$B$14)*(1-(1-'3. The decision'!$B$27)^('3. The decision'!$B$11-1))/'3. The decision'!$B$27</f>
        <v>4.28912098262087</v>
      </c>
      <c r="G456" s="15" t="n">
        <f aca="false">(1-(1-'3. The decision'!$B$9*MIN(1,('3. The decision'!$B$10/(52/12)))))+(1-(1-'3. The decision'!$B$9*MAX(0,MIN(1,('3. The decision'!$B$10/(52/12))-1))))*(1-'3. The decision'!$B$14)+(1-(1-'3. The decision'!$B$9*MAX(0,MIN(1,('3. The decision'!$B$10/(52/12))-2))))*(1-'3. The decision'!$B$14)*(1-'3. The decision'!$B$27)</f>
        <v>0.884576923076923</v>
      </c>
      <c r="H456" s="15" t="n">
        <f aca="false">IF(A456&lt;=0,0,MAX(0,ROUNDUP(LN('3. The decision'!$B$13)/LN(1+A456)-0.000000000001,0)-1))</f>
        <v>11</v>
      </c>
      <c r="I456" s="15" t="n">
        <f aca="false">IF(A456&lt;=0,1/(1-C456),(1+A456)*(1-(C456*(1+A456))^H456)/(1-C456*(1+A456))+'3. The decision'!$B$13*C456^H456/(1-C456))</f>
        <v>3.32307266051131</v>
      </c>
      <c r="J456" s="17" t="n">
        <f aca="false">F456+E456*D456/(1-C456)</f>
        <v>14.542113292187</v>
      </c>
      <c r="K456" s="15" t="n">
        <f aca="false">F456-G456+E456*D456*I456</f>
        <v>15.0305050884302</v>
      </c>
      <c r="L456" s="17" t="n">
        <f aca="false">'3. The decision'!$B$8*'3. The decision'!$B$5/J456</f>
        <v>32.2951685607016</v>
      </c>
      <c r="M456" s="31" t="n">
        <f aca="false">L456*'3. The decision'!$B$6*'3. The decision'!$B$7*K456</f>
        <v>931033.068012587</v>
      </c>
      <c r="N456" s="31" t="n">
        <f aca="false">M456*(1+'3. The decision'!$B$19+'3. The decision'!$B$20+'3. The decision'!$B$22)</f>
        <v>1029722.57322192</v>
      </c>
      <c r="O456" s="31" t="n">
        <f aca="false">'3. The decision'!$B$17+'3. The decision'!$B$18*L456*12+M456*('3. The decision'!$B$20*(1-'3. The decision'!$B$21)+'3. The decision'!$B$23)+N456*('3. The decision'!$B$24+'3. The decision'!$B$25)</f>
        <v>577026.064390503</v>
      </c>
      <c r="P456" s="31" t="n">
        <f aca="false">N456-O456</f>
        <v>452696.508831418</v>
      </c>
    </row>
    <row r="457" customFormat="false" ht="15" hidden="false" customHeight="false" outlineLevel="0" collapsed="false">
      <c r="A457" s="27" t="n">
        <f aca="false">18*0.0025</f>
        <v>0.045</v>
      </c>
      <c r="B457" s="27" t="n">
        <f aca="false">IF(A457&gt;0,MIN('3. The decision'!$B$15,'3. The decision'!$B$29*(A457/'3. The decision'!$B$28)^$B$436),0)</f>
        <v>0.00495812234297239</v>
      </c>
      <c r="C457" s="15" t="n">
        <f aca="false">(1-'3. The decision'!$B$27-B457)*(1-'3. The decision'!$B$27)^('3. The decision'!$B$12-1)</f>
        <v>0.658223080680869</v>
      </c>
      <c r="D457" s="15" t="n">
        <f aca="false">1+(1-'3. The decision'!$B$27-B457)*(1-(1-'3. The decision'!$B$27)^('3. The decision'!$B$12-1))/'3. The decision'!$B$27</f>
        <v>5.06494431543095</v>
      </c>
      <c r="E457" s="15" t="n">
        <f aca="false">(1-'3. The decision'!$B$14)*(1-'3. The decision'!$B$27)^('3. The decision'!$B$11-1)</f>
        <v>0.690273454655712</v>
      </c>
      <c r="F457" s="15" t="n">
        <f aca="false">1+(1-'3. The decision'!$B$14)*(1-(1-'3. The decision'!$B$27)^('3. The decision'!$B$11-1))/'3. The decision'!$B$27</f>
        <v>4.28912098262087</v>
      </c>
      <c r="G457" s="15" t="n">
        <f aca="false">(1-(1-'3. The decision'!$B$9*MIN(1,('3. The decision'!$B$10/(52/12)))))+(1-(1-'3. The decision'!$B$9*MAX(0,MIN(1,('3. The decision'!$B$10/(52/12))-1))))*(1-'3. The decision'!$B$14)+(1-(1-'3. The decision'!$B$9*MAX(0,MIN(1,('3. The decision'!$B$10/(52/12))-2))))*(1-'3. The decision'!$B$14)*(1-'3. The decision'!$B$27)</f>
        <v>0.884576923076923</v>
      </c>
      <c r="H457" s="15" t="n">
        <f aca="false">IF(A457&lt;=0,0,MAX(0,ROUNDUP(LN('3. The decision'!$B$13)/LN(1+A457)-0.000000000001,0)-1))</f>
        <v>10</v>
      </c>
      <c r="I457" s="15" t="n">
        <f aca="false">IF(A457&lt;=0,1/(1-C457),(1+A457)*(1-(C457*(1+A457))^H457)/(1-C457*(1+A457))+'3. The decision'!$B$13*C457^H457/(1-C457))</f>
        <v>3.34066996334795</v>
      </c>
      <c r="J457" s="17" t="n">
        <f aca="false">F457+E457*D457/(1-C457)</f>
        <v>14.5185905946013</v>
      </c>
      <c r="K457" s="15" t="n">
        <f aca="false">F457-G457+E457*D457*I457</f>
        <v>15.0841830613695</v>
      </c>
      <c r="L457" s="17" t="n">
        <f aca="false">'3. The decision'!$B$8*'3. The decision'!$B$5/J457</f>
        <v>32.3474924745543</v>
      </c>
      <c r="M457" s="31" t="n">
        <f aca="false">L457*'3. The decision'!$B$6*'3. The decision'!$B$7*K457</f>
        <v>935871.86341424</v>
      </c>
      <c r="N457" s="31" t="n">
        <f aca="false">M457*(1+'3. The decision'!$B$19+'3. The decision'!$B$20+'3. The decision'!$B$22)</f>
        <v>1035074.28093615</v>
      </c>
      <c r="O457" s="31" t="n">
        <f aca="false">'3. The decision'!$B$17+'3. The decision'!$B$18*L457*12+M457*('3. The decision'!$B$20*(1-'3. The decision'!$B$21)+'3. The decision'!$B$23)+N457*('3. The decision'!$B$24+'3. The decision'!$B$25)</f>
        <v>577626.111384298</v>
      </c>
      <c r="P457" s="31" t="n">
        <f aca="false">N457-O457</f>
        <v>457448.169551852</v>
      </c>
    </row>
    <row r="458" customFormat="false" ht="15" hidden="false" customHeight="false" outlineLevel="0" collapsed="false">
      <c r="A458" s="27" t="n">
        <f aca="false">19*0.0025</f>
        <v>0.0475</v>
      </c>
      <c r="B458" s="27" t="n">
        <f aca="false">IF(A458&gt;0,MIN('3. The decision'!$B$15,'3. The decision'!$B$29*(A458/'3. The decision'!$B$28)^$B$436),0)</f>
        <v>0.00583123476516591</v>
      </c>
      <c r="C458" s="15" t="n">
        <f aca="false">(1-'3. The decision'!$B$27-B458)*(1-'3. The decision'!$B$27)^('3. The decision'!$B$12-1)</f>
        <v>0.657604150331958</v>
      </c>
      <c r="D458" s="15" t="n">
        <f aca="false">1+(1-'3. The decision'!$B$27-B458)*(1-(1-'3. The decision'!$B$27)^('3. The decision'!$B$12-1))/'3. The decision'!$B$27</f>
        <v>5.06112202861467</v>
      </c>
      <c r="E458" s="15" t="n">
        <f aca="false">(1-'3. The decision'!$B$14)*(1-'3. The decision'!$B$27)^('3. The decision'!$B$11-1)</f>
        <v>0.690273454655712</v>
      </c>
      <c r="F458" s="15" t="n">
        <f aca="false">1+(1-'3. The decision'!$B$14)*(1-(1-'3. The decision'!$B$27)^('3. The decision'!$B$11-1))/'3. The decision'!$B$27</f>
        <v>4.28912098262087</v>
      </c>
      <c r="G458" s="15" t="n">
        <f aca="false">(1-(1-'3. The decision'!$B$9*MIN(1,('3. The decision'!$B$10/(52/12)))))+(1-(1-'3. The decision'!$B$9*MAX(0,MIN(1,('3. The decision'!$B$10/(52/12))-1))))*(1-'3. The decision'!$B$14)+(1-(1-'3. The decision'!$B$9*MAX(0,MIN(1,('3. The decision'!$B$10/(52/12))-2))))*(1-'3. The decision'!$B$14)*(1-'3. The decision'!$B$27)</f>
        <v>0.884576923076923</v>
      </c>
      <c r="H458" s="15" t="n">
        <f aca="false">IF(A458&lt;=0,0,MAX(0,ROUNDUP(LN('3. The decision'!$B$13)/LN(1+A458)-0.000000000001,0)-1))</f>
        <v>10</v>
      </c>
      <c r="I458" s="15" t="n">
        <f aca="false">IF(A458&lt;=0,1/(1-C458),(1+A458)*(1-(C458*(1+A458))^H458)/(1-C458*(1+A458))+'3. The decision'!$B$13*C458^H458/(1-C458))</f>
        <v>3.35701667605662</v>
      </c>
      <c r="J458" s="17" t="n">
        <f aca="false">F458+E458*D458/(1-C458)</f>
        <v>14.492393570513</v>
      </c>
      <c r="K458" s="15" t="n">
        <f aca="false">F458-G458+E458*D458*I458</f>
        <v>15.1324771525</v>
      </c>
      <c r="L458" s="17" t="n">
        <f aca="false">'3. The decision'!$B$8*'3. The decision'!$B$5/J458</f>
        <v>32.4059650819554</v>
      </c>
      <c r="M458" s="31" t="n">
        <f aca="false">L458*'3. The decision'!$B$6*'3. The decision'!$B$7*K458</f>
        <v>940565.321461334</v>
      </c>
      <c r="N458" s="31" t="n">
        <f aca="false">M458*(1+'3. The decision'!$B$19+'3. The decision'!$B$20+'3. The decision'!$B$22)</f>
        <v>1040265.24553624</v>
      </c>
      <c r="O458" s="31" t="n">
        <f aca="false">'3. The decision'!$B$17+'3. The decision'!$B$18*L458*12+M458*('3. The decision'!$B$20*(1-'3. The decision'!$B$21)+'3. The decision'!$B$23)+N458*('3. The decision'!$B$24+'3. The decision'!$B$25)</f>
        <v>578219.830394968</v>
      </c>
      <c r="P458" s="31" t="n">
        <f aca="false">N458-O458</f>
        <v>462045.415141268</v>
      </c>
    </row>
    <row r="459" customFormat="false" ht="15" hidden="false" customHeight="false" outlineLevel="0" collapsed="false">
      <c r="A459" s="27" t="n">
        <f aca="false">20*0.0025</f>
        <v>0.05</v>
      </c>
      <c r="B459" s="27" t="n">
        <f aca="false">IF(A459&gt;0,MIN('3. The decision'!$B$15,'3. The decision'!$B$29*(A459/'3. The decision'!$B$28)^$B$436),0)</f>
        <v>0.00680126521669738</v>
      </c>
      <c r="C459" s="15" t="n">
        <f aca="false">(1-'3. The decision'!$B$27-B459)*(1-'3. The decision'!$B$27)^('3. The decision'!$B$12-1)</f>
        <v>0.656916516906342</v>
      </c>
      <c r="D459" s="15" t="n">
        <f aca="false">1+(1-'3. The decision'!$B$27-B459)*(1-(1-'3. The decision'!$B$27)^('3. The decision'!$B$12-1))/'3. The decision'!$B$27</f>
        <v>5.0568754567964</v>
      </c>
      <c r="E459" s="15" t="n">
        <f aca="false">(1-'3. The decision'!$B$14)*(1-'3. The decision'!$B$27)^('3. The decision'!$B$11-1)</f>
        <v>0.690273454655712</v>
      </c>
      <c r="F459" s="15" t="n">
        <f aca="false">1+(1-'3. The decision'!$B$14)*(1-(1-'3. The decision'!$B$27)^('3. The decision'!$B$11-1))/'3. The decision'!$B$27</f>
        <v>4.28912098262087</v>
      </c>
      <c r="G459" s="15" t="n">
        <f aca="false">(1-(1-'3. The decision'!$B$9*MIN(1,('3. The decision'!$B$10/(52/12)))))+(1-(1-'3. The decision'!$B$9*MAX(0,MIN(1,('3. The decision'!$B$10/(52/12))-1))))*(1-'3. The decision'!$B$14)+(1-(1-'3. The decision'!$B$9*MAX(0,MIN(1,('3. The decision'!$B$10/(52/12))-2))))*(1-'3. The decision'!$B$14)*(1-'3. The decision'!$B$27)</f>
        <v>0.884576923076923</v>
      </c>
      <c r="H459" s="15" t="n">
        <f aca="false">IF(A459&lt;=0,0,MAX(0,ROUNDUP(LN('3. The decision'!$B$13)/LN(1+A459)-0.000000000001,0)-1))</f>
        <v>9</v>
      </c>
      <c r="I459" s="15" t="n">
        <f aca="false">IF(A459&lt;=0,1/(1-C459),(1+A459)*(1-(C459*(1+A459))^H459)/(1-C459*(1+A459))+'3. The decision'!$B$13*C459^H459/(1-C459))</f>
        <v>3.37245974272869</v>
      </c>
      <c r="J459" s="17" t="n">
        <f aca="false">F459+E459*D459/(1-C459)</f>
        <v>14.463399440595</v>
      </c>
      <c r="K459" s="15" t="n">
        <f aca="false">F459-G459+E459*D459*I459</f>
        <v>15.1765427274289</v>
      </c>
      <c r="L459" s="17" t="n">
        <f aca="false">'3. The decision'!$B$8*'3. The decision'!$B$5/J459</f>
        <v>32.4709278706528</v>
      </c>
      <c r="M459" s="31" t="n">
        <f aca="false">L459*'3. The decision'!$B$6*'3. The decision'!$B$7*K459</f>
        <v>945195.235144205</v>
      </c>
      <c r="N459" s="31" t="n">
        <f aca="false">M459*(1+'3. The decision'!$B$19+'3. The decision'!$B$20+'3. The decision'!$B$22)</f>
        <v>1045385.93006949</v>
      </c>
      <c r="O459" s="31" t="n">
        <f aca="false">'3. The decision'!$B$17+'3. The decision'!$B$18*L459*12+M459*('3. The decision'!$B$20*(1-'3. The decision'!$B$21)+'3. The decision'!$B$23)+N459*('3. The decision'!$B$24+'3. The decision'!$B$25)</f>
        <v>578816.541853396</v>
      </c>
      <c r="P459" s="31" t="n">
        <f aca="false">N459-O459</f>
        <v>466569.388216095</v>
      </c>
    </row>
    <row r="460" customFormat="false" ht="15" hidden="false" customHeight="false" outlineLevel="0" collapsed="false">
      <c r="A460" s="27" t="n">
        <f aca="false">21*0.0025</f>
        <v>0.0525</v>
      </c>
      <c r="B460" s="27" t="n">
        <f aca="false">IF(A460&gt;0,MIN('3. The decision'!$B$15,'3. The decision'!$B$29*(A460/'3. The decision'!$B$28)^$B$436),0)</f>
        <v>0.0078733146464793</v>
      </c>
      <c r="C460" s="15" t="n">
        <f aca="false">(1-'3. The decision'!$B$27-B460)*(1-'3. The decision'!$B$27)^('3. The decision'!$B$12-1)</f>
        <v>0.656156564452616</v>
      </c>
      <c r="D460" s="15" t="n">
        <f aca="false">1+(1-'3. The decision'!$B$27-B460)*(1-(1-'3. The decision'!$B$27)^('3. The decision'!$B$12-1))/'3. The decision'!$B$27</f>
        <v>5.05218226918654</v>
      </c>
      <c r="E460" s="15" t="n">
        <f aca="false">(1-'3. The decision'!$B$14)*(1-'3. The decision'!$B$27)^('3. The decision'!$B$11-1)</f>
        <v>0.690273454655712</v>
      </c>
      <c r="F460" s="15" t="n">
        <f aca="false">1+(1-'3. The decision'!$B$14)*(1-(1-'3. The decision'!$B$27)^('3. The decision'!$B$11-1))/'3. The decision'!$B$27</f>
        <v>4.28912098262087</v>
      </c>
      <c r="G460" s="15" t="n">
        <f aca="false">(1-(1-'3. The decision'!$B$9*MIN(1,('3. The decision'!$B$10/(52/12)))))+(1-(1-'3. The decision'!$B$9*MAX(0,MIN(1,('3. The decision'!$B$10/(52/12))-1))))*(1-'3. The decision'!$B$14)+(1-(1-'3. The decision'!$B$9*MAX(0,MIN(1,('3. The decision'!$B$10/(52/12))-2))))*(1-'3. The decision'!$B$14)*(1-'3. The decision'!$B$27)</f>
        <v>0.884576923076923</v>
      </c>
      <c r="H460" s="15" t="n">
        <f aca="false">IF(A460&lt;=0,0,MAX(0,ROUNDUP(LN('3. The decision'!$B$13)/LN(1+A460)-0.000000000001,0)-1))</f>
        <v>9</v>
      </c>
      <c r="I460" s="15" t="n">
        <f aca="false">IF(A460&lt;=0,1/(1-C460),(1+A460)*(1-(C460*(1+A460))^H460)/(1-C460*(1+A460))+'3. The decision'!$B$13*C460^H460/(1-C460))</f>
        <v>3.38646611252534</v>
      </c>
      <c r="J460" s="17" t="n">
        <f aca="false">F460+E460*D460/(1-C460)</f>
        <v>14.4314908753308</v>
      </c>
      <c r="K460" s="15" t="n">
        <f aca="false">F460-G460+E460*D460*I460</f>
        <v>15.214463001036</v>
      </c>
      <c r="L460" s="17" t="n">
        <f aca="false">'3. The decision'!$B$8*'3. The decision'!$B$5/J460</f>
        <v>32.54272230479</v>
      </c>
      <c r="M460" s="31" t="n">
        <f aca="false">L460*'3. The decision'!$B$6*'3. The decision'!$B$7*K460</f>
        <v>949651.993884001</v>
      </c>
      <c r="N460" s="31" t="n">
        <f aca="false">M460*(1+'3. The decision'!$B$19+'3. The decision'!$B$20+'3. The decision'!$B$22)</f>
        <v>1050315.1052357</v>
      </c>
      <c r="O460" s="31" t="n">
        <f aca="false">'3. The decision'!$B$17+'3. The decision'!$B$18*L460*12+M460*('3. The decision'!$B$20*(1-'3. The decision'!$B$21)+'3. The decision'!$B$23)+N460*('3. The decision'!$B$24+'3. The decision'!$B$25)</f>
        <v>579404.965962767</v>
      </c>
      <c r="P460" s="31" t="n">
        <f aca="false">N460-O460</f>
        <v>470910.139272938</v>
      </c>
    </row>
    <row r="461" customFormat="false" ht="15" hidden="false" customHeight="false" outlineLevel="0" collapsed="false">
      <c r="A461" s="27" t="n">
        <f aca="false">22*0.0025</f>
        <v>0.055</v>
      </c>
      <c r="B461" s="27" t="n">
        <f aca="false">IF(A461&gt;0,MIN('3. The decision'!$B$15,'3. The decision'!$B$29*(A461/'3. The decision'!$B$28)^$B$436),0)</f>
        <v>0.00905248400342421</v>
      </c>
      <c r="C461" s="15" t="n">
        <f aca="false">(1-'3. The decision'!$B$27-B461)*(1-'3. The decision'!$B$27)^('3. The decision'!$B$12-1)</f>
        <v>0.655320677019373</v>
      </c>
      <c r="D461" s="15" t="n">
        <f aca="false">1+(1-'3. The decision'!$B$27-B461)*(1-(1-'3. The decision'!$B$27)^('3. The decision'!$B$12-1))/'3. The decision'!$B$27</f>
        <v>5.04702013499553</v>
      </c>
      <c r="E461" s="15" t="n">
        <f aca="false">(1-'3. The decision'!$B$14)*(1-'3. The decision'!$B$27)^('3. The decision'!$B$11-1)</f>
        <v>0.690273454655712</v>
      </c>
      <c r="F461" s="15" t="n">
        <f aca="false">1+(1-'3. The decision'!$B$14)*(1-(1-'3. The decision'!$B$27)^('3. The decision'!$B$11-1))/'3. The decision'!$B$27</f>
        <v>4.28912098262087</v>
      </c>
      <c r="G461" s="15" t="n">
        <f aca="false">(1-(1-'3. The decision'!$B$9*MIN(1,('3. The decision'!$B$10/(52/12)))))+(1-(1-'3. The decision'!$B$9*MAX(0,MIN(1,('3. The decision'!$B$10/(52/12))-1))))*(1-'3. The decision'!$B$14)+(1-(1-'3. The decision'!$B$9*MAX(0,MIN(1,('3. The decision'!$B$10/(52/12))-2))))*(1-'3. The decision'!$B$14)*(1-'3. The decision'!$B$27)</f>
        <v>0.884576923076923</v>
      </c>
      <c r="H461" s="15" t="n">
        <f aca="false">IF(A461&lt;=0,0,MAX(0,ROUNDUP(LN('3. The decision'!$B$13)/LN(1+A461)-0.000000000001,0)-1))</f>
        <v>9</v>
      </c>
      <c r="I461" s="15" t="n">
        <f aca="false">IF(A461&lt;=0,1/(1-C461),(1+A461)*(1-(C461*(1+A461))^H461)/(1-C461*(1+A461))+'3. The decision'!$B$13*C461^H461/(1-C461))</f>
        <v>3.39965950386294</v>
      </c>
      <c r="J461" s="17" t="n">
        <f aca="false">F461+E461*D461/(1-C461)</f>
        <v>14.3965564799806</v>
      </c>
      <c r="K461" s="15" t="n">
        <f aca="false">F461-G461+E461*D461*I461</f>
        <v>15.2483595135425</v>
      </c>
      <c r="L461" s="17" t="n">
        <f aca="false">'3. The decision'!$B$8*'3. The decision'!$B$5/J461</f>
        <v>32.6216898223591</v>
      </c>
      <c r="M461" s="31" t="n">
        <f aca="false">L461*'3. The decision'!$B$6*'3. The decision'!$B$7*K461</f>
        <v>954077.277203032</v>
      </c>
      <c r="N461" s="31" t="n">
        <f aca="false">M461*(1+'3. The decision'!$B$19+'3. The decision'!$B$20+'3. The decision'!$B$22)</f>
        <v>1055209.46858655</v>
      </c>
      <c r="O461" s="31" t="n">
        <f aca="false">'3. The decision'!$B$17+'3. The decision'!$B$18*L461*12+M461*('3. The decision'!$B$20*(1-'3. The decision'!$B$21)+'3. The decision'!$B$23)+N461*('3. The decision'!$B$24+'3. The decision'!$B$25)</f>
        <v>580000.868486369</v>
      </c>
      <c r="P461" s="31" t="n">
        <f aca="false">N461-O461</f>
        <v>475208.600100184</v>
      </c>
    </row>
    <row r="462" customFormat="false" ht="15" hidden="false" customHeight="false" outlineLevel="0" collapsed="false">
      <c r="A462" s="27" t="n">
        <f aca="false">23*0.0025</f>
        <v>0.0575</v>
      </c>
      <c r="B462" s="27" t="n">
        <f aca="false">IF(A462&gt;0,MIN('3. The decision'!$B$15,'3. The decision'!$B$29*(A462/'3. The decision'!$B$28)^$B$436),0)</f>
        <v>0.0103438742364446</v>
      </c>
      <c r="C462" s="15" t="n">
        <f aca="false">(1-'3. The decision'!$B$27-B462)*(1-'3. The decision'!$B$27)^('3. The decision'!$B$12-1)</f>
        <v>0.65440523865521</v>
      </c>
      <c r="D462" s="15" t="n">
        <f aca="false">1+(1-'3. The decision'!$B$27-B462)*(1-(1-'3. The decision'!$B$27)^('3. The decision'!$B$12-1))/'3. The decision'!$B$27</f>
        <v>5.04136672343377</v>
      </c>
      <c r="E462" s="15" t="n">
        <f aca="false">(1-'3. The decision'!$B$14)*(1-'3. The decision'!$B$27)^('3. The decision'!$B$11-1)</f>
        <v>0.690273454655712</v>
      </c>
      <c r="F462" s="15" t="n">
        <f aca="false">1+(1-'3. The decision'!$B$14)*(1-(1-'3. The decision'!$B$27)^('3. The decision'!$B$11-1))/'3. The decision'!$B$27</f>
        <v>4.28912098262087</v>
      </c>
      <c r="G462" s="15" t="n">
        <f aca="false">(1-(1-'3. The decision'!$B$9*MIN(1,('3. The decision'!$B$10/(52/12)))))+(1-(1-'3. The decision'!$B$9*MAX(0,MIN(1,('3. The decision'!$B$10/(52/12))-1))))*(1-'3. The decision'!$B$14)+(1-(1-'3. The decision'!$B$9*MAX(0,MIN(1,('3. The decision'!$B$10/(52/12))-2))))*(1-'3. The decision'!$B$14)*(1-'3. The decision'!$B$27)</f>
        <v>0.884576923076923</v>
      </c>
      <c r="H462" s="15" t="n">
        <f aca="false">IF(A462&lt;=0,0,MAX(0,ROUNDUP(LN('3. The decision'!$B$13)/LN(1+A462)-0.000000000001,0)-1))</f>
        <v>8</v>
      </c>
      <c r="I462" s="15" t="n">
        <f aca="false">IF(A462&lt;=0,1/(1-C462),(1+A462)*(1-(C462*(1+A462))^H462)/(1-C462*(1+A462))+'3. The decision'!$B$13*C462^H462/(1-C462))</f>
        <v>3.41084390540134</v>
      </c>
      <c r="J462" s="17" t="n">
        <f aca="false">F462+E462*D462/(1-C462)</f>
        <v>14.358491278715</v>
      </c>
      <c r="K462" s="15" t="n">
        <f aca="false">F462-G462+E462*D462*I462</f>
        <v>15.274013523304</v>
      </c>
      <c r="L462" s="17" t="n">
        <f aca="false">'3. The decision'!$B$8*'3. The decision'!$B$5/J462</f>
        <v>32.7081718325235</v>
      </c>
      <c r="M462" s="31" t="n">
        <f aca="false">L462*'3. The decision'!$B$6*'3. The decision'!$B$7*K462</f>
        <v>958215.997516564</v>
      </c>
      <c r="N462" s="31" t="n">
        <f aca="false">M462*(1+'3. The decision'!$B$19+'3. The decision'!$B$20+'3. The decision'!$B$22)</f>
        <v>1059786.89325332</v>
      </c>
      <c r="O462" s="31" t="n">
        <f aca="false">'3. The decision'!$B$17+'3. The decision'!$B$18*L462*12+M462*('3. The decision'!$B$20*(1-'3. The decision'!$B$21)+'3. The decision'!$B$23)+N462*('3. The decision'!$B$24+'3. The decision'!$B$25)</f>
        <v>580577.312290389</v>
      </c>
      <c r="P462" s="31" t="n">
        <f aca="false">N462-O462</f>
        <v>479209.58096293</v>
      </c>
    </row>
    <row r="463" customFormat="false" ht="15" hidden="false" customHeight="false" outlineLevel="0" collapsed="false">
      <c r="A463" s="27" t="n">
        <f aca="false">24*0.0025</f>
        <v>0.06</v>
      </c>
      <c r="B463" s="27" t="n">
        <f aca="false">IF(A463&gt;0,MIN('3. The decision'!$B$15,'3. The decision'!$B$29*(A463/'3. The decision'!$B$28)^$B$436),0)</f>
        <v>0.0117525862944531</v>
      </c>
      <c r="C463" s="15" t="n">
        <f aca="false">(1-'3. The decision'!$B$27-B463)*(1-'3. The decision'!$B$27)^('3. The decision'!$B$12-1)</f>
        <v>0.653406633408719</v>
      </c>
      <c r="D463" s="15" t="n">
        <f aca="false">1+(1-'3. The decision'!$B$27-B463)*(1-(1-'3. The decision'!$B$27)^('3. The decision'!$B$12-1))/'3. The decision'!$B$27</f>
        <v>5.0351997037117</v>
      </c>
      <c r="E463" s="15" t="n">
        <f aca="false">(1-'3. The decision'!$B$14)*(1-'3. The decision'!$B$27)^('3. The decision'!$B$11-1)</f>
        <v>0.690273454655712</v>
      </c>
      <c r="F463" s="15" t="n">
        <f aca="false">1+(1-'3. The decision'!$B$14)*(1-(1-'3. The decision'!$B$27)^('3. The decision'!$B$11-1))/'3. The decision'!$B$27</f>
        <v>4.28912098262087</v>
      </c>
      <c r="G463" s="15" t="n">
        <f aca="false">(1-(1-'3. The decision'!$B$9*MIN(1,('3. The decision'!$B$10/(52/12)))))+(1-(1-'3. The decision'!$B$9*MAX(0,MIN(1,('3. The decision'!$B$10/(52/12))-1))))*(1-'3. The decision'!$B$14)+(1-(1-'3. The decision'!$B$9*MAX(0,MIN(1,('3. The decision'!$B$10/(52/12))-2))))*(1-'3. The decision'!$B$14)*(1-'3. The decision'!$B$27)</f>
        <v>0.884576923076923</v>
      </c>
      <c r="H463" s="15" t="n">
        <f aca="false">IF(A463&lt;=0,0,MAX(0,ROUNDUP(LN('3. The decision'!$B$13)/LN(1+A463)-0.000000000001,0)-1))</f>
        <v>8</v>
      </c>
      <c r="I463" s="15" t="n">
        <f aca="false">IF(A463&lt;=0,1/(1-C463),(1+A463)*(1-(C463*(1+A463))^H463)/(1-C463*(1+A463))+'3. The decision'!$B$13*C463^H463/(1-C463))</f>
        <v>3.42108314150201</v>
      </c>
      <c r="J463" s="17" t="n">
        <f aca="false">F463+E463*D463/(1-C463)</f>
        <v>14.3171971934999</v>
      </c>
      <c r="K463" s="15" t="n">
        <f aca="false">F463-G463+E463*D463*I463</f>
        <v>15.2950819509412</v>
      </c>
      <c r="L463" s="17" t="n">
        <f aca="false">'3. The decision'!$B$8*'3. The decision'!$B$5/J463</f>
        <v>32.8025097128103</v>
      </c>
      <c r="M463" s="31" t="n">
        <f aca="false">L463*'3. The decision'!$B$6*'3. The decision'!$B$7*K463</f>
        <v>962305.253570045</v>
      </c>
      <c r="N463" s="31" t="n">
        <f aca="false">M463*(1+'3. The decision'!$B$19+'3. The decision'!$B$20+'3. The decision'!$B$22)</f>
        <v>1064309.61044847</v>
      </c>
      <c r="O463" s="31" t="n">
        <f aca="false">'3. The decision'!$B$17+'3. The decision'!$B$18*L463*12+M463*('3. The decision'!$B$20*(1-'3. The decision'!$B$21)+'3. The decision'!$B$23)+N463*('3. The decision'!$B$24+'3. The decision'!$B$25)</f>
        <v>581160.33273125</v>
      </c>
      <c r="P463" s="31" t="n">
        <f aca="false">N463-O463</f>
        <v>483149.27771722</v>
      </c>
    </row>
    <row r="464" customFormat="false" ht="15" hidden="false" customHeight="false" outlineLevel="0" collapsed="false">
      <c r="A464" s="27" t="n">
        <f aca="false">25*0.0025</f>
        <v>0.0625</v>
      </c>
      <c r="B464" s="27" t="n">
        <f aca="false">IF(A464&gt;0,MIN('3. The decision'!$B$15,'3. The decision'!$B$29*(A464/'3. The decision'!$B$28)^$B$436),0)</f>
        <v>0.0132837211263621</v>
      </c>
      <c r="C464" s="15" t="n">
        <f aca="false">(1-'3. The decision'!$B$27-B464)*(1-'3. The decision'!$B$27)^('3. The decision'!$B$12-1)</f>
        <v>0.652321245328496</v>
      </c>
      <c r="D464" s="15" t="n">
        <f aca="false">1+(1-'3. The decision'!$B$27-B464)*(1-(1-'3. The decision'!$B$27)^('3. The decision'!$B$12-1))/'3. The decision'!$B$27</f>
        <v>5.02849674503973</v>
      </c>
      <c r="E464" s="15" t="n">
        <f aca="false">(1-'3. The decision'!$B$14)*(1-'3. The decision'!$B$27)^('3. The decision'!$B$11-1)</f>
        <v>0.690273454655712</v>
      </c>
      <c r="F464" s="15" t="n">
        <f aca="false">1+(1-'3. The decision'!$B$14)*(1-(1-'3. The decision'!$B$27)^('3. The decision'!$B$11-1))/'3. The decision'!$B$27</f>
        <v>4.28912098262087</v>
      </c>
      <c r="G464" s="15" t="n">
        <f aca="false">(1-(1-'3. The decision'!$B$9*MIN(1,('3. The decision'!$B$10/(52/12)))))+(1-(1-'3. The decision'!$B$9*MAX(0,MIN(1,('3. The decision'!$B$10/(52/12))-1))))*(1-'3. The decision'!$B$14)+(1-(1-'3. The decision'!$B$9*MAX(0,MIN(1,('3. The decision'!$B$10/(52/12))-2))))*(1-'3. The decision'!$B$14)*(1-'3. The decision'!$B$27)</f>
        <v>0.884576923076923</v>
      </c>
      <c r="H464" s="15" t="n">
        <f aca="false">IF(A464&lt;=0,0,MAX(0,ROUNDUP(LN('3. The decision'!$B$13)/LN(1+A464)-0.000000000001,0)-1))</f>
        <v>7</v>
      </c>
      <c r="I464" s="15" t="n">
        <f aca="false">IF(A464&lt;=0,1/(1-C464),(1+A464)*(1-(C464*(1+A464))^H464)/(1-C464*(1+A464))+'3. The decision'!$B$13*C464^H464/(1-C464))</f>
        <v>3.43014896643154</v>
      </c>
      <c r="J464" s="17" t="n">
        <f aca="false">F464+E464*D464/(1-C464)</f>
        <v>14.2725835131488</v>
      </c>
      <c r="K464" s="15" t="n">
        <f aca="false">F464-G464+E464*D464*I464</f>
        <v>15.3107208499996</v>
      </c>
      <c r="L464" s="17" t="n">
        <f aca="false">'3. The decision'!$B$8*'3. The decision'!$B$5/J464</f>
        <v>32.9050448061725</v>
      </c>
      <c r="M464" s="31" t="n">
        <f aca="false">L464*'3. The decision'!$B$6*'3. The decision'!$B$7*K464</f>
        <v>966300.269385398</v>
      </c>
      <c r="N464" s="31" t="n">
        <f aca="false">M464*(1+'3. The decision'!$B$19+'3. The decision'!$B$20+'3. The decision'!$B$22)</f>
        <v>1068728.09794025</v>
      </c>
      <c r="O464" s="31" t="n">
        <f aca="false">'3. The decision'!$B$17+'3. The decision'!$B$18*L464*12+M464*('3. The decision'!$B$20*(1-'3. The decision'!$B$21)+'3. The decision'!$B$23)+N464*('3. The decision'!$B$24+'3. The decision'!$B$25)</f>
        <v>581745.627782131</v>
      </c>
      <c r="P464" s="31" t="n">
        <f aca="false">N464-O464</f>
        <v>486982.470158119</v>
      </c>
    </row>
    <row r="465" customFormat="false" ht="15" hidden="false" customHeight="false" outlineLevel="0" collapsed="false">
      <c r="A465" s="27" t="n">
        <f aca="false">26*0.0025</f>
        <v>0.065</v>
      </c>
      <c r="B465" s="27" t="n">
        <f aca="false">IF(A465&gt;0,MIN('3. The decision'!$B$15,'3. The decision'!$B$29*(A465/'3. The decision'!$B$28)^$B$436),0)</f>
        <v>0.0149423796810841</v>
      </c>
      <c r="C465" s="15" t="n">
        <f aca="false">(1-'3. The decision'!$B$27-B465)*(1-'3. The decision'!$B$27)^('3. The decision'!$B$12-1)</f>
        <v>0.651145458463135</v>
      </c>
      <c r="D465" s="15" t="n">
        <f aca="false">1+(1-'3. The decision'!$B$27-B465)*(1-(1-'3. The decision'!$B$27)^('3. The decision'!$B$12-1))/'3. The decision'!$B$27</f>
        <v>5.02123551662829</v>
      </c>
      <c r="E465" s="15" t="n">
        <f aca="false">(1-'3. The decision'!$B$14)*(1-'3. The decision'!$B$27)^('3. The decision'!$B$11-1)</f>
        <v>0.690273454655712</v>
      </c>
      <c r="F465" s="15" t="n">
        <f aca="false">1+(1-'3. The decision'!$B$14)*(1-(1-'3. The decision'!$B$27)^('3. The decision'!$B$11-1))/'3. The decision'!$B$27</f>
        <v>4.28912098262087</v>
      </c>
      <c r="G465" s="15" t="n">
        <f aca="false">(1-(1-'3. The decision'!$B$9*MIN(1,('3. The decision'!$B$10/(52/12)))))+(1-(1-'3. The decision'!$B$9*MAX(0,MIN(1,('3. The decision'!$B$10/(52/12))-1))))*(1-'3. The decision'!$B$14)+(1-(1-'3. The decision'!$B$9*MAX(0,MIN(1,('3. The decision'!$B$10/(52/12))-2))))*(1-'3. The decision'!$B$14)*(1-'3. The decision'!$B$27)</f>
        <v>0.884576923076923</v>
      </c>
      <c r="H465" s="15" t="n">
        <f aca="false">IF(A465&lt;=0,0,MAX(0,ROUNDUP(LN('3. The decision'!$B$13)/LN(1+A465)-0.000000000001,0)-1))</f>
        <v>7</v>
      </c>
      <c r="I465" s="15" t="n">
        <f aca="false">IF(A465&lt;=0,1/(1-C465),(1+A465)*(1-(C465*(1+A465))^H465)/(1-C465*(1+A465))+'3. The decision'!$B$13*C465^H465/(1-C465))</f>
        <v>3.43688477368906</v>
      </c>
      <c r="J465" s="17" t="n">
        <f aca="false">F465+E465*D465/(1-C465)</f>
        <v>14.224567347841</v>
      </c>
      <c r="K465" s="15" t="n">
        <f aca="false">F465-G465+E465*D465*I465</f>
        <v>15.3168746237001</v>
      </c>
      <c r="L465" s="17" t="n">
        <f aca="false">'3. The decision'!$B$8*'3. The decision'!$B$5/J465</f>
        <v>33.0161184179203</v>
      </c>
      <c r="M465" s="31" t="n">
        <f aca="false">L465*'3. The decision'!$B$6*'3. The decision'!$B$7*K465</f>
        <v>969951.785284736</v>
      </c>
      <c r="N465" s="31" t="n">
        <f aca="false">M465*(1+'3. The decision'!$B$19+'3. The decision'!$B$20+'3. The decision'!$B$22)</f>
        <v>1072766.67452492</v>
      </c>
      <c r="O465" s="31" t="n">
        <f aca="false">'3. The decision'!$B$17+'3. The decision'!$B$18*L465*12+M465*('3. The decision'!$B$20*(1-'3. The decision'!$B$21)+'3. The decision'!$B$23)+N465*('3. The decision'!$B$24+'3. The decision'!$B$25)</f>
        <v>582306.88739203</v>
      </c>
      <c r="P465" s="31" t="n">
        <f aca="false">N465-O465</f>
        <v>490459.787132888</v>
      </c>
    </row>
    <row r="466" customFormat="false" ht="15" hidden="false" customHeight="false" outlineLevel="0" collapsed="false">
      <c r="A466" s="27" t="n">
        <f aca="false">27*0.0025</f>
        <v>0.0675</v>
      </c>
      <c r="B466" s="27" t="n">
        <f aca="false">IF(A466&gt;0,MIN('3. The decision'!$B$15,'3. The decision'!$B$29*(A466/'3. The decision'!$B$28)^$B$436),0)</f>
        <v>0.0167336629075318</v>
      </c>
      <c r="C466" s="15" t="n">
        <f aca="false">(1-'3. The decision'!$B$27-B466)*(1-'3. The decision'!$B$27)^('3. The decision'!$B$12-1)</f>
        <v>0.64987565686123</v>
      </c>
      <c r="D466" s="15" t="n">
        <f aca="false">1+(1-'3. The decision'!$B$27-B466)*(1-(1-'3. The decision'!$B$27)^('3. The decision'!$B$12-1))/'3. The decision'!$B$27</f>
        <v>5.01339368768779</v>
      </c>
      <c r="E466" s="15" t="n">
        <f aca="false">(1-'3. The decision'!$B$14)*(1-'3. The decision'!$B$27)^('3. The decision'!$B$11-1)</f>
        <v>0.690273454655712</v>
      </c>
      <c r="F466" s="15" t="n">
        <f aca="false">1+(1-'3. The decision'!$B$14)*(1-(1-'3. The decision'!$B$27)^('3. The decision'!$B$11-1))/'3. The decision'!$B$27</f>
        <v>4.28912098262087</v>
      </c>
      <c r="G466" s="15" t="n">
        <f aca="false">(1-(1-'3. The decision'!$B$9*MIN(1,('3. The decision'!$B$10/(52/12)))))+(1-(1-'3. The decision'!$B$9*MAX(0,MIN(1,('3. The decision'!$B$10/(52/12))-1))))*(1-'3. The decision'!$B$14)+(1-(1-'3. The decision'!$B$9*MAX(0,MIN(1,('3. The decision'!$B$10/(52/12))-2))))*(1-'3. The decision'!$B$14)*(1-'3. The decision'!$B$27)</f>
        <v>0.884576923076923</v>
      </c>
      <c r="H466" s="15" t="n">
        <f aca="false">IF(A466&lt;=0,0,MAX(0,ROUNDUP(LN('3. The decision'!$B$13)/LN(1+A466)-0.000000000001,0)-1))</f>
        <v>7</v>
      </c>
      <c r="I466" s="15" t="n">
        <f aca="false">IF(A466&lt;=0,1/(1-C466),(1+A466)*(1-(C466*(1+A466))^H466)/(1-C466*(1+A466))+'3. The decision'!$B$13*C466^H466/(1-C466))</f>
        <v>3.44257749066366</v>
      </c>
      <c r="J466" s="17" t="n">
        <f aca="false">F466+E466*D466/(1-C466)</f>
        <v>14.1730740643345</v>
      </c>
      <c r="K466" s="15" t="n">
        <f aca="false">F466-G466+E466*D466*I466</f>
        <v>15.3179710325622</v>
      </c>
      <c r="L466" s="17" t="n">
        <f aca="false">'3. The decision'!$B$8*'3. The decision'!$B$5/J466</f>
        <v>33.1360718125234</v>
      </c>
      <c r="M466" s="31" t="n">
        <f aca="false">L466*'3. The decision'!$B$6*'3. The decision'!$B$7*K466</f>
        <v>973545.474694598</v>
      </c>
      <c r="N466" s="31" t="n">
        <f aca="false">M466*(1+'3. The decision'!$B$19+'3. The decision'!$B$20+'3. The decision'!$B$22)</f>
        <v>1076741.29501223</v>
      </c>
      <c r="O466" s="31" t="n">
        <f aca="false">'3. The decision'!$B$17+'3. The decision'!$B$18*L466*12+M466*('3. The decision'!$B$20*(1-'3. The decision'!$B$21)+'3. The decision'!$B$23)+N466*('3. The decision'!$B$24+'3. The decision'!$B$25)</f>
        <v>582875.374693306</v>
      </c>
      <c r="P466" s="31" t="n">
        <f aca="false">N466-O466</f>
        <v>493865.920318919</v>
      </c>
    </row>
    <row r="467" customFormat="false" ht="15" hidden="false" customHeight="false" outlineLevel="0" collapsed="false">
      <c r="A467" s="27" t="n">
        <f aca="false">28*0.0025</f>
        <v>0.07</v>
      </c>
      <c r="B467" s="27" t="n">
        <f aca="false">IF(A467&gt;0,MIN('3. The decision'!$B$15,'3. The decision'!$B$29*(A467/'3. The decision'!$B$28)^$B$436),0)</f>
        <v>0.0186626717546176</v>
      </c>
      <c r="C467" s="15" t="n">
        <f aca="false">(1-'3. The decision'!$B$27-B467)*(1-'3. The decision'!$B$27)^('3. The decision'!$B$12-1)</f>
        <v>0.648508224571377</v>
      </c>
      <c r="D467" s="15" t="n">
        <f aca="false">1+(1-'3. The decision'!$B$27-B467)*(1-(1-'3. The decision'!$B$27)^('3. The decision'!$B$12-1))/'3. The decision'!$B$27</f>
        <v>5.00494892742866</v>
      </c>
      <c r="E467" s="15" t="n">
        <f aca="false">(1-'3. The decision'!$B$14)*(1-'3. The decision'!$B$27)^('3. The decision'!$B$11-1)</f>
        <v>0.690273454655712</v>
      </c>
      <c r="F467" s="15" t="n">
        <f aca="false">1+(1-'3. The decision'!$B$14)*(1-(1-'3. The decision'!$B$27)^('3. The decision'!$B$11-1))/'3. The decision'!$B$27</f>
        <v>4.28912098262087</v>
      </c>
      <c r="G467" s="15" t="n">
        <f aca="false">(1-(1-'3. The decision'!$B$9*MIN(1,('3. The decision'!$B$10/(52/12)))))+(1-(1-'3. The decision'!$B$9*MAX(0,MIN(1,('3. The decision'!$B$10/(52/12))-1))))*(1-'3. The decision'!$B$14)+(1-(1-'3. The decision'!$B$9*MAX(0,MIN(1,('3. The decision'!$B$10/(52/12))-2))))*(1-'3. The decision'!$B$14)*(1-'3. The decision'!$B$27)</f>
        <v>0.884576923076923</v>
      </c>
      <c r="H467" s="15" t="n">
        <f aca="false">IF(A467&lt;=0,0,MAX(0,ROUNDUP(LN('3. The decision'!$B$13)/LN(1+A467)-0.000000000001,0)-1))</f>
        <v>7</v>
      </c>
      <c r="I467" s="15" t="n">
        <f aca="false">IF(A467&lt;=0,1/(1-C467),(1+A467)*(1-(C467*(1+A467))^H467)/(1-C467*(1+A467))+'3. The decision'!$B$13*C467^H467/(1-C467))</f>
        <v>3.44718572838345</v>
      </c>
      <c r="J467" s="17" t="n">
        <f aca="false">F467+E467*D467/(1-C467)</f>
        <v>14.1180376970978</v>
      </c>
      <c r="K467" s="15" t="n">
        <f aca="false">F467-G467+E467*D467*I467</f>
        <v>15.3138240441829</v>
      </c>
      <c r="L467" s="17" t="n">
        <f aca="false">'3. The decision'!$B$8*'3. The decision'!$B$5/J467</f>
        <v>33.2652462102819</v>
      </c>
      <c r="M467" s="31" t="n">
        <f aca="false">L467*'3. The decision'!$B$6*'3. The decision'!$B$7*K467</f>
        <v>977076.055954568</v>
      </c>
      <c r="N467" s="31" t="n">
        <f aca="false">M467*(1+'3. The decision'!$B$19+'3. The decision'!$B$20+'3. The decision'!$B$22)</f>
        <v>1080646.11788575</v>
      </c>
      <c r="O467" s="31" t="n">
        <f aca="false">'3. The decision'!$B$17+'3. The decision'!$B$18*L467*12+M467*('3. The decision'!$B$20*(1-'3. The decision'!$B$21)+'3. The decision'!$B$23)+N467*('3. The decision'!$B$24+'3. The decision'!$B$25)</f>
        <v>583451.038128269</v>
      </c>
      <c r="P467" s="31" t="n">
        <f aca="false">N467-O467</f>
        <v>497195.079757483</v>
      </c>
    </row>
    <row r="468" customFormat="false" ht="15" hidden="false" customHeight="false" outlineLevel="0" collapsed="false">
      <c r="A468" s="27" t="n">
        <f aca="false">29*0.0025</f>
        <v>0.0725</v>
      </c>
      <c r="B468" s="27" t="n">
        <f aca="false">IF(A468&gt;0,MIN('3. The decision'!$B$15,'3. The decision'!$B$29*(A468/'3. The decision'!$B$28)^$B$436),0)</f>
        <v>0.020734507171254</v>
      </c>
      <c r="C468" s="15" t="n">
        <f aca="false">(1-'3. The decision'!$B$27-B468)*(1-'3. The decision'!$B$27)^('3. The decision'!$B$12-1)</f>
        <v>0.647039545642169</v>
      </c>
      <c r="D468" s="15" t="n">
        <f aca="false">1+(1-'3. The decision'!$B$27-B468)*(1-(1-'3. The decision'!$B$27)^('3. The decision'!$B$12-1))/'3. The decision'!$B$27</f>
        <v>4.99587890506131</v>
      </c>
      <c r="E468" s="15" t="n">
        <f aca="false">(1-'3. The decision'!$B$14)*(1-'3. The decision'!$B$27)^('3. The decision'!$B$11-1)</f>
        <v>0.690273454655712</v>
      </c>
      <c r="F468" s="15" t="n">
        <f aca="false">1+(1-'3. The decision'!$B$14)*(1-(1-'3. The decision'!$B$27)^('3. The decision'!$B$11-1))/'3. The decision'!$B$27</f>
        <v>4.28912098262087</v>
      </c>
      <c r="G468" s="15" t="n">
        <f aca="false">(1-(1-'3. The decision'!$B$9*MIN(1,('3. The decision'!$B$10/(52/12)))))+(1-(1-'3. The decision'!$B$9*MAX(0,MIN(1,('3. The decision'!$B$10/(52/12))-1))))*(1-'3. The decision'!$B$14)+(1-(1-'3. The decision'!$B$9*MAX(0,MIN(1,('3. The decision'!$B$10/(52/12))-2))))*(1-'3. The decision'!$B$14)*(1-'3. The decision'!$B$27)</f>
        <v>0.884576923076923</v>
      </c>
      <c r="H468" s="15" t="n">
        <f aca="false">IF(A468&lt;=0,0,MAX(0,ROUNDUP(LN('3. The decision'!$B$13)/LN(1+A468)-0.000000000001,0)-1))</f>
        <v>6</v>
      </c>
      <c r="I468" s="15" t="n">
        <f aca="false">IF(A468&lt;=0,1/(1-C468),(1+A468)*(1-(C468*(1+A468))^H468)/(1-C468*(1+A468))+'3. The decision'!$B$13*C468^H468/(1-C468))</f>
        <v>3.4497723809629</v>
      </c>
      <c r="J468" s="17" t="n">
        <f aca="false">F468+E468*D468/(1-C468)</f>
        <v>14.0594013306345</v>
      </c>
      <c r="K468" s="15" t="n">
        <f aca="false">F468-G468+E468*D468*I468</f>
        <v>15.3011620485444</v>
      </c>
      <c r="L468" s="17" t="n">
        <f aca="false">'3. The decision'!$B$8*'3. The decision'!$B$5/J468</f>
        <v>33.4039827838677</v>
      </c>
      <c r="M468" s="31" t="n">
        <f aca="false">L468*'3. The decision'!$B$6*'3. The decision'!$B$7*K468</f>
        <v>980339.815752132</v>
      </c>
      <c r="N468" s="31" t="n">
        <f aca="false">M468*(1+'3. The decision'!$B$19+'3. The decision'!$B$20+'3. The decision'!$B$22)</f>
        <v>1084255.83622186</v>
      </c>
      <c r="O468" s="31" t="n">
        <f aca="false">'3. The decision'!$B$17+'3. The decision'!$B$18*L468*12+M468*('3. The decision'!$B$20*(1-'3. The decision'!$B$21)+'3. The decision'!$B$23)+N468*('3. The decision'!$B$24+'3. The decision'!$B$25)</f>
        <v>584012.469463657</v>
      </c>
      <c r="P468" s="31" t="n">
        <f aca="false">N468-O468</f>
        <v>500243.366758201</v>
      </c>
    </row>
    <row r="469" customFormat="false" ht="15" hidden="false" customHeight="false" outlineLevel="0" collapsed="false">
      <c r="A469" s="27" t="n">
        <f aca="false">30*0.0025</f>
        <v>0.075</v>
      </c>
      <c r="B469" s="27" t="n">
        <f aca="false">IF(A469&gt;0,MIN('3. The decision'!$B$15,'3. The decision'!$B$29*(A469/'3. The decision'!$B$28)^$B$436),0)</f>
        <v>0.0229542701063536</v>
      </c>
      <c r="C469" s="15" t="n">
        <f aca="false">(1-'3. The decision'!$B$27-B469)*(1-'3. The decision'!$B$27)^('3. The decision'!$B$12-1)</f>
        <v>0.645466004122201</v>
      </c>
      <c r="D469" s="15" t="n">
        <f aca="false">1+(1-'3. The decision'!$B$27-B469)*(1-(1-'3. The decision'!$B$27)^('3. The decision'!$B$12-1))/'3. The decision'!$B$27</f>
        <v>4.98616128979618</v>
      </c>
      <c r="E469" s="15" t="n">
        <f aca="false">(1-'3. The decision'!$B$14)*(1-'3. The decision'!$B$27)^('3. The decision'!$B$11-1)</f>
        <v>0.690273454655712</v>
      </c>
      <c r="F469" s="15" t="n">
        <f aca="false">1+(1-'3. The decision'!$B$14)*(1-(1-'3. The decision'!$B$27)^('3. The decision'!$B$11-1))/'3. The decision'!$B$27</f>
        <v>4.28912098262087</v>
      </c>
      <c r="G469" s="15" t="n">
        <f aca="false">(1-(1-'3. The decision'!$B$9*MIN(1,('3. The decision'!$B$10/(52/12)))))+(1-(1-'3. The decision'!$B$9*MAX(0,MIN(1,('3. The decision'!$B$10/(52/12))-1))))*(1-'3. The decision'!$B$14)+(1-(1-'3. The decision'!$B$9*MAX(0,MIN(1,('3. The decision'!$B$10/(52/12))-2))))*(1-'3. The decision'!$B$14)*(1-'3. The decision'!$B$27)</f>
        <v>0.884576923076923</v>
      </c>
      <c r="H469" s="15" t="n">
        <f aca="false">IF(A469&lt;=0,0,MAX(0,ROUNDUP(LN('3. The decision'!$B$13)/LN(1+A469)-0.000000000001,0)-1))</f>
        <v>6</v>
      </c>
      <c r="I469" s="15" t="n">
        <f aca="false">IF(A469&lt;=0,1/(1-C469),(1+A469)*(1-(C469*(1+A469))^H469)/(1-C469*(1+A469))+'3. The decision'!$B$13*C469^H469/(1-C469))</f>
        <v>3.45016780125805</v>
      </c>
      <c r="J469" s="17" t="n">
        <f aca="false">F469+E469*D469/(1-C469)</f>
        <v>13.9971174483942</v>
      </c>
      <c r="K469" s="15" t="n">
        <f aca="false">F469-G469+E469*D469*I469</f>
        <v>15.2793825878686</v>
      </c>
      <c r="L469" s="17" t="n">
        <f aca="false">'3. The decision'!$B$8*'3. The decision'!$B$5/J469</f>
        <v>33.5526226547365</v>
      </c>
      <c r="M469" s="31" t="n">
        <f aca="false">L469*'3. The decision'!$B$6*'3. The decision'!$B$7*K469</f>
        <v>983300.486243276</v>
      </c>
      <c r="N469" s="31" t="n">
        <f aca="false">M469*(1+'3. The decision'!$B$19+'3. The decision'!$B$20+'3. The decision'!$B$22)</f>
        <v>1087530.33778506</v>
      </c>
      <c r="O469" s="31" t="n">
        <f aca="false">'3. The decision'!$B$17+'3. The decision'!$B$18*L469*12+M469*('3. The decision'!$B$20*(1-'3. The decision'!$B$21)+'3. The decision'!$B$23)+N469*('3. The decision'!$B$24+'3. The decision'!$B$25)</f>
        <v>584556.282042062</v>
      </c>
      <c r="P469" s="31" t="n">
        <f aca="false">N469-O469</f>
        <v>502974.055743001</v>
      </c>
    </row>
    <row r="470" customFormat="false" ht="15" hidden="false" customHeight="false" outlineLevel="0" collapsed="false">
      <c r="A470" s="27" t="n">
        <f aca="false">31*0.0025</f>
        <v>0.0775</v>
      </c>
      <c r="B470" s="27" t="n">
        <f aca="false">IF(A470&gt;0,MIN('3. The decision'!$B$15,'3. The decision'!$B$29*(A470/'3. The decision'!$B$28)^$B$436),0)</f>
        <v>0.0253270615088289</v>
      </c>
      <c r="C470" s="15" t="n">
        <f aca="false">(1-'3. The decision'!$B$27-B470)*(1-'3. The decision'!$B$27)^('3. The decision'!$B$12-1)</f>
        <v>0.643783984060067</v>
      </c>
      <c r="D470" s="15" t="n">
        <f aca="false">1+(1-'3. The decision'!$B$27-B470)*(1-(1-'3. The decision'!$B$27)^('3. The decision'!$B$12-1))/'3. The decision'!$B$27</f>
        <v>4.97577375084367</v>
      </c>
      <c r="E470" s="15" t="n">
        <f aca="false">(1-'3. The decision'!$B$14)*(1-'3. The decision'!$B$27)^('3. The decision'!$B$11-1)</f>
        <v>0.690273454655712</v>
      </c>
      <c r="F470" s="15" t="n">
        <f aca="false">1+(1-'3. The decision'!$B$14)*(1-(1-'3. The decision'!$B$27)^('3. The decision'!$B$11-1))/'3. The decision'!$B$27</f>
        <v>4.28912098262087</v>
      </c>
      <c r="G470" s="15" t="n">
        <f aca="false">(1-(1-'3. The decision'!$B$9*MIN(1,('3. The decision'!$B$10/(52/12)))))+(1-(1-'3. The decision'!$B$9*MAX(0,MIN(1,('3. The decision'!$B$10/(52/12))-1))))*(1-'3. The decision'!$B$14)+(1-(1-'3. The decision'!$B$9*MAX(0,MIN(1,('3. The decision'!$B$10/(52/12))-2))))*(1-'3. The decision'!$B$14)*(1-'3. The decision'!$B$27)</f>
        <v>0.884576923076923</v>
      </c>
      <c r="H470" s="15" t="n">
        <f aca="false">IF(A470&lt;=0,0,MAX(0,ROUNDUP(LN('3. The decision'!$B$13)/LN(1+A470)-0.000000000001,0)-1))</f>
        <v>6</v>
      </c>
      <c r="I470" s="15" t="n">
        <f aca="false">IF(A470&lt;=0,1/(1-C470),(1+A470)*(1-(C470*(1+A470))^H470)/(1-C470*(1+A470))+'3. The decision'!$B$13*C470^H470/(1-C470))</f>
        <v>3.44939941741157</v>
      </c>
      <c r="J470" s="17" t="n">
        <f aca="false">F470+E470*D470/(1-C470)</f>
        <v>13.9311482438523</v>
      </c>
      <c r="K470" s="15" t="n">
        <f aca="false">F470-G470+E470*D470*I470</f>
        <v>15.2520049230391</v>
      </c>
      <c r="L470" s="17" t="n">
        <f aca="false">'3. The decision'!$B$8*'3. The decision'!$B$5/J470</f>
        <v>33.7115068894087</v>
      </c>
      <c r="M470" s="31" t="n">
        <f aca="false">L470*'3. The decision'!$B$6*'3. The decision'!$B$7*K470</f>
        <v>986186.557017597</v>
      </c>
      <c r="N470" s="31" t="n">
        <f aca="false">M470*(1+'3. The decision'!$B$19+'3. The decision'!$B$20+'3. The decision'!$B$22)</f>
        <v>1090722.33206146</v>
      </c>
      <c r="O470" s="31" t="n">
        <f aca="false">'3. The decision'!$B$17+'3. The decision'!$B$18*L470*12+M470*('3. The decision'!$B$20*(1-'3. The decision'!$B$21)+'3. The decision'!$B$23)+N470*('3. The decision'!$B$24+'3. The decision'!$B$25)</f>
        <v>585107.584171168</v>
      </c>
      <c r="P470" s="31" t="n">
        <f aca="false">N470-O470</f>
        <v>505614.747890294</v>
      </c>
    </row>
    <row r="471" customFormat="false" ht="15" hidden="false" customHeight="false" outlineLevel="0" collapsed="false">
      <c r="A471" s="27" t="n">
        <f aca="false">32*0.0025</f>
        <v>0.08</v>
      </c>
      <c r="B471" s="27" t="n">
        <f aca="false">IF(A471&gt;0,MIN('3. The decision'!$B$15,'3. The decision'!$B$29*(A471/'3. The decision'!$B$28)^$B$436),0)</f>
        <v>0.0278579823275925</v>
      </c>
      <c r="C471" s="15" t="n">
        <f aca="false">(1-'3. The decision'!$B$27-B471)*(1-'3. The decision'!$B$27)^('3. The decision'!$B$12-1)</f>
        <v>0.641989869504362</v>
      </c>
      <c r="D471" s="15" t="n">
        <f aca="false">1+(1-'3. The decision'!$B$27-B471)*(1-(1-'3. The decision'!$B$27)^('3. The decision'!$B$12-1))/'3. The decision'!$B$27</f>
        <v>4.96469395741422</v>
      </c>
      <c r="E471" s="15" t="n">
        <f aca="false">(1-'3. The decision'!$B$14)*(1-'3. The decision'!$B$27)^('3. The decision'!$B$11-1)</f>
        <v>0.690273454655712</v>
      </c>
      <c r="F471" s="15" t="n">
        <f aca="false">1+(1-'3. The decision'!$B$14)*(1-(1-'3. The decision'!$B$27)^('3. The decision'!$B$11-1))/'3. The decision'!$B$27</f>
        <v>4.28912098262087</v>
      </c>
      <c r="G471" s="15" t="n">
        <f aca="false">(1-(1-'3. The decision'!$B$9*MIN(1,('3. The decision'!$B$10/(52/12)))))+(1-(1-'3. The decision'!$B$9*MAX(0,MIN(1,('3. The decision'!$B$10/(52/12))-1))))*(1-'3. The decision'!$B$14)+(1-(1-'3. The decision'!$B$9*MAX(0,MIN(1,('3. The decision'!$B$10/(52/12))-2))))*(1-'3. The decision'!$B$14)*(1-'3. The decision'!$B$27)</f>
        <v>0.884576923076923</v>
      </c>
      <c r="H471" s="15" t="n">
        <f aca="false">IF(A471&lt;=0,0,MAX(0,ROUNDUP(LN('3. The decision'!$B$13)/LN(1+A471)-0.000000000001,0)-1))</f>
        <v>6</v>
      </c>
      <c r="I471" s="15" t="n">
        <f aca="false">IF(A471&lt;=0,1/(1-C471),(1+A471)*(1-(C471*(1+A471))^H471)/(1-C471*(1+A471))+'3. The decision'!$B$13*C471^H471/(1-C471))</f>
        <v>3.44743928972694</v>
      </c>
      <c r="J471" s="17" t="n">
        <f aca="false">F471+E471*D471/(1-C471)</f>
        <v>13.8614658895883</v>
      </c>
      <c r="K471" s="15" t="n">
        <f aca="false">F471-G471+E471*D471*I471</f>
        <v>15.2189062645902</v>
      </c>
      <c r="L471" s="17" t="n">
        <f aca="false">'3. The decision'!$B$8*'3. The decision'!$B$5/J471</f>
        <v>33.8809764956216</v>
      </c>
      <c r="M471" s="31" t="n">
        <f aca="false">L471*'3. The decision'!$B$6*'3. The decision'!$B$7*K471</f>
        <v>988993.270954728</v>
      </c>
      <c r="N471" s="31" t="n">
        <f aca="false">M471*(1+'3. The decision'!$B$19+'3. The decision'!$B$20+'3. The decision'!$B$22)</f>
        <v>1093826.55767593</v>
      </c>
      <c r="O471" s="31" t="n">
        <f aca="false">'3. The decision'!$B$17+'3. The decision'!$B$18*L471*12+M471*('3. The decision'!$B$20*(1-'3. The decision'!$B$21)+'3. The decision'!$B$23)+N471*('3. The decision'!$B$24+'3. The decision'!$B$25)</f>
        <v>585666.380425956</v>
      </c>
      <c r="P471" s="31" t="n">
        <f aca="false">N471-O471</f>
        <v>508160.177249973</v>
      </c>
    </row>
    <row r="472" customFormat="false" ht="15" hidden="false" customHeight="false" outlineLevel="0" collapsed="false">
      <c r="A472" s="27" t="n">
        <f aca="false">33*0.0025</f>
        <v>0.0825</v>
      </c>
      <c r="B472" s="27" t="n">
        <f aca="false">IF(A472&gt;0,MIN('3. The decision'!$B$15,'3. The decision'!$B$29*(A472/'3. The decision'!$B$28)^$B$436),0)</f>
        <v>0.0305521335115567</v>
      </c>
      <c r="C472" s="15" t="n">
        <f aca="false">(1-'3. The decision'!$B$27-B472)*(1-'3. The decision'!$B$27)^('3. The decision'!$B$12-1)</f>
        <v>0.640080044503681</v>
      </c>
      <c r="D472" s="15" t="n">
        <f aca="false">1+(1-'3. The decision'!$B$27-B472)*(1-(1-'3. The decision'!$B$27)^('3. The decision'!$B$12-1))/'3. The decision'!$B$27</f>
        <v>4.95289957871823</v>
      </c>
      <c r="E472" s="15" t="n">
        <f aca="false">(1-'3. The decision'!$B$14)*(1-'3. The decision'!$B$27)^('3. The decision'!$B$11-1)</f>
        <v>0.690273454655712</v>
      </c>
      <c r="F472" s="15" t="n">
        <f aca="false">1+(1-'3. The decision'!$B$14)*(1-(1-'3. The decision'!$B$27)^('3. The decision'!$B$11-1))/'3. The decision'!$B$27</f>
        <v>4.28912098262087</v>
      </c>
      <c r="G472" s="15" t="n">
        <f aca="false">(1-(1-'3. The decision'!$B$9*MIN(1,('3. The decision'!$B$10/(52/12)))))+(1-(1-'3. The decision'!$B$9*MAX(0,MIN(1,('3. The decision'!$B$10/(52/12))-1))))*(1-'3. The decision'!$B$14)+(1-(1-'3. The decision'!$B$9*MAX(0,MIN(1,('3. The decision'!$B$10/(52/12))-2))))*(1-'3. The decision'!$B$14)*(1-'3. The decision'!$B$27)</f>
        <v>0.884576923076923</v>
      </c>
      <c r="H472" s="15" t="n">
        <f aca="false">IF(A472&lt;=0,0,MAX(0,ROUNDUP(LN('3. The decision'!$B$13)/LN(1+A472)-0.000000000001,0)-1))</f>
        <v>6</v>
      </c>
      <c r="I472" s="15" t="n">
        <f aca="false">IF(A472&lt;=0,1/(1-C472),(1+A472)*(1-(C472*(1+A472))^H472)/(1-C472*(1+A472))+'3. The decision'!$B$13*C472^H472/(1-C472))</f>
        <v>3.44426189955781</v>
      </c>
      <c r="J472" s="17" t="n">
        <f aca="false">F472+E472*D472/(1-C472)</f>
        <v>13.7880527605217</v>
      </c>
      <c r="K472" s="15" t="n">
        <f aca="false">F472-G472+E472*D472*I472</f>
        <v>15.179976430105</v>
      </c>
      <c r="L472" s="17" t="n">
        <f aca="false">'3. The decision'!$B$8*'3. The decision'!$B$5/J472</f>
        <v>34.0613724183507</v>
      </c>
      <c r="M472" s="31" t="n">
        <f aca="false">L472*'3. The decision'!$B$6*'3. The decision'!$B$7*K472</f>
        <v>991715.761877963</v>
      </c>
      <c r="N472" s="31" t="n">
        <f aca="false">M472*(1+'3. The decision'!$B$19+'3. The decision'!$B$20+'3. The decision'!$B$22)</f>
        <v>1096837.63263703</v>
      </c>
      <c r="O472" s="31" t="n">
        <f aca="false">'3. The decision'!$B$17+'3. The decision'!$B$18*L472*12+M472*('3. The decision'!$B$20*(1-'3. The decision'!$B$21)+'3. The decision'!$B$23)+N472*('3. The decision'!$B$24+'3. The decision'!$B$25)</f>
        <v>586232.663548929</v>
      </c>
      <c r="P472" s="31" t="n">
        <f aca="false">N472-O472</f>
        <v>510604.969088098</v>
      </c>
    </row>
    <row r="473" customFormat="false" ht="15" hidden="false" customHeight="false" outlineLevel="0" collapsed="false">
      <c r="A473" s="27" t="n">
        <f aca="false">34*0.0025</f>
        <v>0.085</v>
      </c>
      <c r="B473" s="27" t="n">
        <f aca="false">IF(A473&gt;0,MIN('3. The decision'!$B$15,'3. The decision'!$B$29*(A473/'3. The decision'!$B$28)^$B$436),0)</f>
        <v>0.0334146160096342</v>
      </c>
      <c r="C473" s="15" t="n">
        <f aca="false">(1-'3. The decision'!$B$27-B473)*(1-'3. The decision'!$B$27)^('3. The decision'!$B$12-1)</f>
        <v>0.638050893106617</v>
      </c>
      <c r="D473" s="15" t="n">
        <f aca="false">1+(1-'3. The decision'!$B$27-B473)*(1-(1-'3. The decision'!$B$27)^('3. The decision'!$B$12-1))/'3. The decision'!$B$27</f>
        <v>4.94036828396614</v>
      </c>
      <c r="E473" s="15" t="n">
        <f aca="false">(1-'3. The decision'!$B$14)*(1-'3. The decision'!$B$27)^('3. The decision'!$B$11-1)</f>
        <v>0.690273454655712</v>
      </c>
      <c r="F473" s="15" t="n">
        <f aca="false">1+(1-'3. The decision'!$B$14)*(1-(1-'3. The decision'!$B$27)^('3. The decision'!$B$11-1))/'3. The decision'!$B$27</f>
        <v>4.28912098262087</v>
      </c>
      <c r="G473" s="15" t="n">
        <f aca="false">(1-(1-'3. The decision'!$B$9*MIN(1,('3. The decision'!$B$10/(52/12)))))+(1-(1-'3. The decision'!$B$9*MAX(0,MIN(1,('3. The decision'!$B$10/(52/12))-1))))*(1-'3. The decision'!$B$14)+(1-(1-'3. The decision'!$B$9*MAX(0,MIN(1,('3. The decision'!$B$10/(52/12))-2))))*(1-'3. The decision'!$B$14)*(1-'3. The decision'!$B$27)</f>
        <v>0.884576923076923</v>
      </c>
      <c r="H473" s="15" t="n">
        <f aca="false">IF(A473&lt;=0,0,MAX(0,ROUNDUP(LN('3. The decision'!$B$13)/LN(1+A473)-0.000000000001,0)-1))</f>
        <v>5</v>
      </c>
      <c r="I473" s="15" t="n">
        <f aca="false">IF(A473&lt;=0,1/(1-C473),(1+A473)*(1-(C473*(1+A473))^H473)/(1-C473*(1+A473))+'3. The decision'!$B$13*C473^H473/(1-C473))</f>
        <v>3.43863158647593</v>
      </c>
      <c r="J473" s="17" t="n">
        <f aca="false">F473+E473*D473/(1-C473)</f>
        <v>13.7109016078438</v>
      </c>
      <c r="K473" s="15" t="n">
        <f aca="false">F473-G473+E473*D473*I473</f>
        <v>15.1309829730872</v>
      </c>
      <c r="L473" s="17" t="n">
        <f aca="false">'3. The decision'!$B$8*'3. The decision'!$B$5/J473</f>
        <v>34.2530355357029</v>
      </c>
      <c r="M473" s="31" t="n">
        <f aca="false">L473*'3. The decision'!$B$6*'3. The decision'!$B$7*K473</f>
        <v>994077.361161488</v>
      </c>
      <c r="N473" s="31" t="n">
        <f aca="false">M473*(1+'3. The decision'!$B$19+'3. The decision'!$B$20+'3. The decision'!$B$22)</f>
        <v>1099449.56144461</v>
      </c>
      <c r="O473" s="31" t="n">
        <f aca="false">'3. The decision'!$B$17+'3. The decision'!$B$18*L473*12+M473*('3. The decision'!$B$20*(1-'3. The decision'!$B$21)+'3. The decision'!$B$23)+N473*('3. The decision'!$B$24+'3. The decision'!$B$25)</f>
        <v>586777.172899104</v>
      </c>
      <c r="P473" s="31" t="n">
        <f aca="false">N473-O473</f>
        <v>512672.388545502</v>
      </c>
    </row>
    <row r="474" customFormat="false" ht="15" hidden="false" customHeight="false" outlineLevel="0" collapsed="false">
      <c r="A474" s="27" t="n">
        <f aca="false">35*0.0025</f>
        <v>0.0875</v>
      </c>
      <c r="B474" s="27" t="n">
        <f aca="false">IF(A474&gt;0,MIN('3. The decision'!$B$15,'3. The decision'!$B$29*(A474/'3. The decision'!$B$28)^$B$436),0)</f>
        <v>0.0364505307707375</v>
      </c>
      <c r="C474" s="15" t="n">
        <f aca="false">(1-'3. The decision'!$B$27-B474)*(1-'3. The decision'!$B$27)^('3. The decision'!$B$12-1)</f>
        <v>0.635898799361766</v>
      </c>
      <c r="D474" s="15" t="n">
        <f aca="false">1+(1-'3. The decision'!$B$27-B474)*(1-(1-'3. The decision'!$B$27)^('3. The decision'!$B$12-1))/'3. The decision'!$B$27</f>
        <v>4.92707774236836</v>
      </c>
      <c r="E474" s="15" t="n">
        <f aca="false">(1-'3. The decision'!$B$14)*(1-'3. The decision'!$B$27)^('3. The decision'!$B$11-1)</f>
        <v>0.690273454655712</v>
      </c>
      <c r="F474" s="15" t="n">
        <f aca="false">1+(1-'3. The decision'!$B$14)*(1-(1-'3. The decision'!$B$27)^('3. The decision'!$B$11-1))/'3. The decision'!$B$27</f>
        <v>4.28912098262087</v>
      </c>
      <c r="G474" s="15" t="n">
        <f aca="false">(1-(1-'3. The decision'!$B$9*MIN(1,('3. The decision'!$B$10/(52/12)))))+(1-(1-'3. The decision'!$B$9*MAX(0,MIN(1,('3. The decision'!$B$10/(52/12))-1))))*(1-'3. The decision'!$B$14)+(1-(1-'3. The decision'!$B$9*MAX(0,MIN(1,('3. The decision'!$B$10/(52/12))-2))))*(1-'3. The decision'!$B$14)*(1-'3. The decision'!$B$27)</f>
        <v>0.884576923076923</v>
      </c>
      <c r="H474" s="15" t="n">
        <f aca="false">IF(A474&lt;=0,0,MAX(0,ROUNDUP(LN('3. The decision'!$B$13)/LN(1+A474)-0.000000000001,0)-1))</f>
        <v>5</v>
      </c>
      <c r="I474" s="15" t="n">
        <f aca="false">IF(A474&lt;=0,1/(1-C474),(1+A474)*(1-(C474*(1+A474))^H474)/(1-C474*(1+A474))+'3. The decision'!$B$13*C474^H474/(1-C474))</f>
        <v>3.43061492981967</v>
      </c>
      <c r="J474" s="17" t="n">
        <f aca="false">F474+E474*D474/(1-C474)</f>
        <v>13.630015680634</v>
      </c>
      <c r="K474" s="15" t="n">
        <f aca="false">F474-G474+E474*D474*I474</f>
        <v>15.0721716977237</v>
      </c>
      <c r="L474" s="17" t="n">
        <f aca="false">'3. The decision'!$B$8*'3. The decision'!$B$5/J474</f>
        <v>34.4563066546785</v>
      </c>
      <c r="M474" s="31" t="n">
        <f aca="false">L474*'3. The decision'!$B$6*'3. The decision'!$B$7*K474</f>
        <v>996089.890717285</v>
      </c>
      <c r="N474" s="31" t="n">
        <f aca="false">M474*(1+'3. The decision'!$B$19+'3. The decision'!$B$20+'3. The decision'!$B$22)</f>
        <v>1101675.41913332</v>
      </c>
      <c r="O474" s="31" t="n">
        <f aca="false">'3. The decision'!$B$17+'3. The decision'!$B$18*L474*12+M474*('3. The decision'!$B$20*(1-'3. The decision'!$B$21)+'3. The decision'!$B$23)+N474*('3. The decision'!$B$24+'3. The decision'!$B$25)</f>
        <v>587301.697098896</v>
      </c>
      <c r="P474" s="31" t="n">
        <f aca="false">N474-O474</f>
        <v>514373.722034421</v>
      </c>
    </row>
    <row r="475" customFormat="false" ht="15" hidden="false" customHeight="false" outlineLevel="0" collapsed="false">
      <c r="A475" s="27" t="n">
        <f aca="false">36*0.0025</f>
        <v>0.09</v>
      </c>
      <c r="B475" s="27" t="n">
        <f aca="false">IF(A475&gt;0,MIN('3. The decision'!$B$15,'3. The decision'!$B$29*(A475/'3. The decision'!$B$28)^$B$436),0)</f>
        <v>0.0396649787437791</v>
      </c>
      <c r="C475" s="15" t="n">
        <f aca="false">(1-'3. The decision'!$B$27-B475)*(1-'3. The decision'!$B$27)^('3. The decision'!$B$12-1)</f>
        <v>0.633620147317722</v>
      </c>
      <c r="D475" s="15" t="n">
        <f aca="false">1+(1-'3. The decision'!$B$27-B475)*(1-(1-'3. The decision'!$B$27)^('3. The decision'!$B$12-1))/'3. The decision'!$B$27</f>
        <v>4.91300562313532</v>
      </c>
      <c r="E475" s="15" t="n">
        <f aca="false">(1-'3. The decision'!$B$14)*(1-'3. The decision'!$B$27)^('3. The decision'!$B$11-1)</f>
        <v>0.690273454655712</v>
      </c>
      <c r="F475" s="15" t="n">
        <f aca="false">1+(1-'3. The decision'!$B$14)*(1-(1-'3. The decision'!$B$27)^('3. The decision'!$B$11-1))/'3. The decision'!$B$27</f>
        <v>4.28912098262087</v>
      </c>
      <c r="G475" s="15" t="n">
        <f aca="false">(1-(1-'3. The decision'!$B$9*MIN(1,('3. The decision'!$B$10/(52/12)))))+(1-(1-'3. The decision'!$B$9*MAX(0,MIN(1,('3. The decision'!$B$10/(52/12))-1))))*(1-'3. The decision'!$B$14)+(1-(1-'3. The decision'!$B$9*MAX(0,MIN(1,('3. The decision'!$B$10/(52/12))-2))))*(1-'3. The decision'!$B$14)*(1-'3. The decision'!$B$27)</f>
        <v>0.884576923076923</v>
      </c>
      <c r="H475" s="15" t="n">
        <f aca="false">IF(A475&lt;=0,0,MAX(0,ROUNDUP(LN('3. The decision'!$B$13)/LN(1+A475)-0.000000000001,0)-1))</f>
        <v>5</v>
      </c>
      <c r="I475" s="15" t="n">
        <f aca="false">IF(A475&lt;=0,1/(1-C475),(1+A475)*(1-(C475*(1+A475))^H475)/(1-C475*(1+A475))+'3. The decision'!$B$13*C475^H475/(1-C475))</f>
        <v>3.42137811555813</v>
      </c>
      <c r="J475" s="17" t="n">
        <f aca="false">F475+E475*D475/(1-C475)</f>
        <v>13.5454087926536</v>
      </c>
      <c r="K475" s="15" t="n">
        <f aca="false">F475-G475+E475*D475*I475</f>
        <v>15.0075230724141</v>
      </c>
      <c r="L475" s="17" t="n">
        <f aca="false">'3. The decision'!$B$8*'3. The decision'!$B$5/J475</f>
        <v>34.6715265068051</v>
      </c>
      <c r="M475" s="31" t="n">
        <f aca="false">L475*'3. The decision'!$B$6*'3. The decision'!$B$7*K475</f>
        <v>998012.448727005</v>
      </c>
      <c r="N475" s="31" t="n">
        <f aca="false">M475*(1+'3. The decision'!$B$19+'3. The decision'!$B$20+'3. The decision'!$B$22)</f>
        <v>1103801.76829207</v>
      </c>
      <c r="O475" s="31" t="n">
        <f aca="false">'3. The decision'!$B$17+'3. The decision'!$B$18*L475*12+M475*('3. The decision'!$B$20*(1-'3. The decision'!$B$21)+'3. The decision'!$B$23)+N475*('3. The decision'!$B$24+'3. The decision'!$B$25)</f>
        <v>587834.638259467</v>
      </c>
      <c r="P475" s="31" t="n">
        <f aca="false">N475-O475</f>
        <v>515967.130032601</v>
      </c>
    </row>
    <row r="476" customFormat="false" ht="15" hidden="false" customHeight="false" outlineLevel="0" collapsed="false">
      <c r="A476" s="27" t="n">
        <f aca="false">37*0.0025</f>
        <v>0.0925</v>
      </c>
      <c r="B476" s="27" t="n">
        <f aca="false">IF(A476&gt;0,MIN('3. The decision'!$B$15,'3. The decision'!$B$29*(A476/'3. The decision'!$B$28)^$B$436),0)</f>
        <v>0.0430630608776715</v>
      </c>
      <c r="C476" s="15" t="n">
        <f aca="false">(1-'3. The decision'!$B$27-B476)*(1-'3. The decision'!$B$27)^('3. The decision'!$B$12-1)</f>
        <v>0.631211321023079</v>
      </c>
      <c r="D476" s="15" t="n">
        <f aca="false">1+(1-'3. The decision'!$B$27-B476)*(1-(1-'3. The decision'!$B$27)^('3. The decision'!$B$12-1))/'3. The decision'!$B$27</f>
        <v>4.89812959547743</v>
      </c>
      <c r="E476" s="15" t="n">
        <f aca="false">(1-'3. The decision'!$B$14)*(1-'3. The decision'!$B$27)^('3. The decision'!$B$11-1)</f>
        <v>0.690273454655712</v>
      </c>
      <c r="F476" s="15" t="n">
        <f aca="false">1+(1-'3. The decision'!$B$14)*(1-(1-'3. The decision'!$B$27)^('3. The decision'!$B$11-1))/'3. The decision'!$B$27</f>
        <v>4.28912098262087</v>
      </c>
      <c r="G476" s="15" t="n">
        <f aca="false">(1-(1-'3. The decision'!$B$9*MIN(1,('3. The decision'!$B$10/(52/12)))))+(1-(1-'3. The decision'!$B$9*MAX(0,MIN(1,('3. The decision'!$B$10/(52/12))-1))))*(1-'3. The decision'!$B$14)+(1-(1-'3. The decision'!$B$9*MAX(0,MIN(1,('3. The decision'!$B$10/(52/12))-2))))*(1-'3. The decision'!$B$14)*(1-'3. The decision'!$B$27)</f>
        <v>0.884576923076923</v>
      </c>
      <c r="H476" s="15" t="n">
        <f aca="false">IF(A476&lt;=0,0,MAX(0,ROUNDUP(LN('3. The decision'!$B$13)/LN(1+A476)-0.000000000001,0)-1))</f>
        <v>5</v>
      </c>
      <c r="I476" s="15" t="n">
        <f aca="false">IF(A476&lt;=0,1/(1-C476),(1+A476)*(1-(C476*(1+A476))^H476)/(1-C476*(1+A476))+'3. The decision'!$B$13*C476^H476/(1-C476))</f>
        <v>3.41091284969659</v>
      </c>
      <c r="J476" s="17" t="n">
        <f aca="false">F476+E476*D476/(1-C476)</f>
        <v>13.4571053323606</v>
      </c>
      <c r="K476" s="15" t="n">
        <f aca="false">F476-G476+E476*D476*I476</f>
        <v>14.9370069838748</v>
      </c>
      <c r="L476" s="17" t="n">
        <f aca="false">'3. The decision'!$B$8*'3. The decision'!$B$5/J476</f>
        <v>34.8990357436415</v>
      </c>
      <c r="M476" s="31" t="n">
        <f aca="false">L476*'3. The decision'!$B$6*'3. The decision'!$B$7*K476</f>
        <v>999841.10525998</v>
      </c>
      <c r="N476" s="31" t="n">
        <f aca="false">M476*(1+'3. The decision'!$B$19+'3. The decision'!$B$20+'3. The decision'!$B$22)</f>
        <v>1105824.26241754</v>
      </c>
      <c r="O476" s="31" t="n">
        <f aca="false">'3. The decision'!$B$17+'3. The decision'!$B$18*L476*12+M476*('3. The decision'!$B$20*(1-'3. The decision'!$B$21)+'3. The decision'!$B$23)+N476*('3. The decision'!$B$24+'3. The decision'!$B$25)</f>
        <v>588376.089444193</v>
      </c>
      <c r="P476" s="31" t="n">
        <f aca="false">N476-O476</f>
        <v>517448.172973345</v>
      </c>
    </row>
    <row r="477" customFormat="false" ht="15" hidden="false" customHeight="false" outlineLevel="0" collapsed="false">
      <c r="A477" s="27" t="n">
        <f aca="false">38*0.0025</f>
        <v>0.095</v>
      </c>
      <c r="B477" s="27" t="n">
        <f aca="false">IF(A477&gt;0,MIN('3. The decision'!$B$15,'3. The decision'!$B$29*(A477/'3. The decision'!$B$28)^$B$436),0)</f>
        <v>0.0466498781213273</v>
      </c>
      <c r="C477" s="15" t="n">
        <f aca="false">(1-'3. The decision'!$B$27-B477)*(1-'3. The decision'!$B$27)^('3. The decision'!$B$12-1)</f>
        <v>0.628668704526432</v>
      </c>
      <c r="D477" s="15" t="n">
        <f aca="false">1+(1-'3. The decision'!$B$27-B477)*(1-(1-'3. The decision'!$B$27)^('3. The decision'!$B$12-1))/'3. The decision'!$B$27</f>
        <v>4.88242732860512</v>
      </c>
      <c r="E477" s="15" t="n">
        <f aca="false">(1-'3. The decision'!$B$14)*(1-'3. The decision'!$B$27)^('3. The decision'!$B$11-1)</f>
        <v>0.690273454655712</v>
      </c>
      <c r="F477" s="15" t="n">
        <f aca="false">1+(1-'3. The decision'!$B$14)*(1-(1-'3. The decision'!$B$27)^('3. The decision'!$B$11-1))/'3. The decision'!$B$27</f>
        <v>4.28912098262087</v>
      </c>
      <c r="G477" s="15" t="n">
        <f aca="false">(1-(1-'3. The decision'!$B$9*MIN(1,('3. The decision'!$B$10/(52/12)))))+(1-(1-'3. The decision'!$B$9*MAX(0,MIN(1,('3. The decision'!$B$10/(52/12))-1))))*(1-'3. The decision'!$B$14)+(1-(1-'3. The decision'!$B$9*MAX(0,MIN(1,('3. The decision'!$B$10/(52/12))-2))))*(1-'3. The decision'!$B$14)*(1-'3. The decision'!$B$27)</f>
        <v>0.884576923076923</v>
      </c>
      <c r="H477" s="15" t="n">
        <f aca="false">IF(A477&lt;=0,0,MAX(0,ROUNDUP(LN('3. The decision'!$B$13)/LN(1+A477)-0.000000000001,0)-1))</f>
        <v>5</v>
      </c>
      <c r="I477" s="15" t="n">
        <f aca="false">IF(A477&lt;=0,1/(1-C477),(1+A477)*(1-(C477*(1+A477))^H477)/(1-C477*(1+A477))+'3. The decision'!$B$13*C477^H477/(1-C477))</f>
        <v>3.39921370986097</v>
      </c>
      <c r="J477" s="17" t="n">
        <f aca="false">F477+E477*D477/(1-C477)</f>
        <v>13.3651402147828</v>
      </c>
      <c r="K477" s="15" t="n">
        <f aca="false">F477-G477+E477*D477*I477</f>
        <v>14.8606080260247</v>
      </c>
      <c r="L477" s="17" t="n">
        <f aca="false">'3. The decision'!$B$8*'3. The decision'!$B$5/J477</f>
        <v>35.1391749321525</v>
      </c>
      <c r="M477" s="31" t="n">
        <f aca="false">L477*'3. The decision'!$B$6*'3. The decision'!$B$7*K477</f>
        <v>1001571.86157465</v>
      </c>
      <c r="N477" s="31" t="n">
        <f aca="false">M477*(1+'3. The decision'!$B$19+'3. The decision'!$B$20+'3. The decision'!$B$22)</f>
        <v>1107738.47890156</v>
      </c>
      <c r="O477" s="31" t="n">
        <f aca="false">'3. The decision'!$B$17+'3. The decision'!$B$18*L477*12+M477*('3. The decision'!$B$20*(1-'3. The decision'!$B$21)+'3. The decision'!$B$23)+N477*('3. The decision'!$B$24+'3. The decision'!$B$25)</f>
        <v>588926.136182396</v>
      </c>
      <c r="P477" s="31" t="n">
        <f aca="false">N477-O477</f>
        <v>518812.342719164</v>
      </c>
    </row>
    <row r="478" customFormat="false" ht="15" hidden="false" customHeight="false" outlineLevel="0" collapsed="false">
      <c r="A478" s="27" t="n">
        <f aca="false">39*0.0025</f>
        <v>0.0975</v>
      </c>
      <c r="B478" s="27" t="n">
        <f aca="false">IF(A478&gt;0,MIN('3. The decision'!$B$15,'3. The decision'!$B$29*(A478/'3. The decision'!$B$28)^$B$436),0)</f>
        <v>0.050430531423659</v>
      </c>
      <c r="C478" s="15" t="n">
        <f aca="false">(1-'3. The decision'!$B$27-B478)*(1-'3. The decision'!$B$27)^('3. The decision'!$B$12-1)</f>
        <v>0.625988681876376</v>
      </c>
      <c r="D478" s="15" t="n">
        <f aca="false">1+(1-'3. The decision'!$B$27-B478)*(1-(1-'3. The decision'!$B$27)^('3. The decision'!$B$12-1))/'3. The decision'!$B$27</f>
        <v>4.8658764917288</v>
      </c>
      <c r="E478" s="15" t="n">
        <f aca="false">(1-'3. The decision'!$B$14)*(1-'3. The decision'!$B$27)^('3. The decision'!$B$11-1)</f>
        <v>0.690273454655712</v>
      </c>
      <c r="F478" s="15" t="n">
        <f aca="false">1+(1-'3. The decision'!$B$14)*(1-(1-'3. The decision'!$B$27)^('3. The decision'!$B$11-1))/'3. The decision'!$B$27</f>
        <v>4.28912098262087</v>
      </c>
      <c r="G478" s="15" t="n">
        <f aca="false">(1-(1-'3. The decision'!$B$9*MIN(1,('3. The decision'!$B$10/(52/12)))))+(1-(1-'3. The decision'!$B$9*MAX(0,MIN(1,('3. The decision'!$B$10/(52/12))-1))))*(1-'3. The decision'!$B$14)+(1-(1-'3. The decision'!$B$9*MAX(0,MIN(1,('3. The decision'!$B$10/(52/12))-2))))*(1-'3. The decision'!$B$14)*(1-'3. The decision'!$B$27)</f>
        <v>0.884576923076923</v>
      </c>
      <c r="H478" s="15" t="n">
        <f aca="false">IF(A478&lt;=0,0,MAX(0,ROUNDUP(LN('3. The decision'!$B$13)/LN(1+A478)-0.000000000001,0)-1))</f>
        <v>5</v>
      </c>
      <c r="I478" s="15" t="n">
        <f aca="false">IF(A478&lt;=0,1/(1-C478),(1+A478)*(1-(C478*(1+A478))^H478)/(1-C478*(1+A478))+'3. The decision'!$B$13*C478^H478/(1-C478))</f>
        <v>3.38627815916586</v>
      </c>
      <c r="J478" s="17" t="n">
        <f aca="false">F478+E478*D478/(1-C478)</f>
        <v>13.2695587745153</v>
      </c>
      <c r="K478" s="15" t="n">
        <f aca="false">F478-G478+E478*D478*I478</f>
        <v>14.7783256191906</v>
      </c>
      <c r="L478" s="17" t="n">
        <f aca="false">'3. The decision'!$B$8*'3. The decision'!$B$5/J478</f>
        <v>35.3922845499551</v>
      </c>
      <c r="M478" s="31" t="n">
        <f aca="false">L478*'3. The decision'!$B$6*'3. The decision'!$B$7*K478</f>
        <v>1003200.64821062</v>
      </c>
      <c r="N478" s="31" t="n">
        <f aca="false">M478*(1+'3. The decision'!$B$19+'3. The decision'!$B$20+'3. The decision'!$B$22)</f>
        <v>1109539.91692095</v>
      </c>
      <c r="O478" s="31" t="n">
        <f aca="false">'3. The decision'!$B$17+'3. The decision'!$B$18*L478*12+M478*('3. The decision'!$B$20*(1-'3. The decision'!$B$21)+'3. The decision'!$B$23)+N478*('3. The decision'!$B$24+'3. The decision'!$B$25)</f>
        <v>589484.856256797</v>
      </c>
      <c r="P478" s="31" t="n">
        <f aca="false">N478-O478</f>
        <v>520055.060664151</v>
      </c>
    </row>
    <row r="479" customFormat="false" ht="15" hidden="false" customHeight="false" outlineLevel="0" collapsed="false">
      <c r="A479" s="27" t="n">
        <f aca="false">40*0.0025</f>
        <v>0.1</v>
      </c>
      <c r="B479" s="27" t="n">
        <f aca="false">IF(A479&gt;0,MIN('3. The decision'!$B$15,'3. The decision'!$B$29*(A479/'3. The decision'!$B$28)^$B$436),0)</f>
        <v>0.054410121733579</v>
      </c>
      <c r="C479" s="15" t="n">
        <f aca="false">(1-'3. The decision'!$B$27-B479)*(1-'3. The decision'!$B$27)^('3. The decision'!$B$12-1)</f>
        <v>0.623167637121504</v>
      </c>
      <c r="D479" s="15" t="n">
        <f aca="false">1+(1-'3. The decision'!$B$27-B479)*(1-(1-'3. The decision'!$B$27)^('3. The decision'!$B$12-1))/'3. The decision'!$B$27</f>
        <v>4.84845475405891</v>
      </c>
      <c r="E479" s="15" t="n">
        <f aca="false">(1-'3. The decision'!$B$14)*(1-'3. The decision'!$B$27)^('3. The decision'!$B$11-1)</f>
        <v>0.690273454655712</v>
      </c>
      <c r="F479" s="15" t="n">
        <f aca="false">1+(1-'3. The decision'!$B$14)*(1-(1-'3. The decision'!$B$27)^('3. The decision'!$B$11-1))/'3. The decision'!$B$27</f>
        <v>4.28912098262087</v>
      </c>
      <c r="G479" s="15" t="n">
        <f aca="false">(1-(1-'3. The decision'!$B$9*MIN(1,('3. The decision'!$B$10/(52/12)))))+(1-(1-'3. The decision'!$B$9*MAX(0,MIN(1,('3. The decision'!$B$10/(52/12))-1))))*(1-'3. The decision'!$B$14)+(1-(1-'3. The decision'!$B$9*MAX(0,MIN(1,('3. The decision'!$B$10/(52/12))-2))))*(1-'3. The decision'!$B$14)*(1-'3. The decision'!$B$27)</f>
        <v>0.884576923076923</v>
      </c>
      <c r="H479" s="15" t="n">
        <f aca="false">IF(A479&lt;=0,0,MAX(0,ROUNDUP(LN('3. The decision'!$B$13)/LN(1+A479)-0.000000000001,0)-1))</f>
        <v>5</v>
      </c>
      <c r="I479" s="15" t="n">
        <f aca="false">IF(A479&lt;=0,1/(1-C479),(1+A479)*(1-(C479*(1+A479))^H479)/(1-C479*(1+A479))+'3. The decision'!$B$13*C479^H479/(1-C479))</f>
        <v>3.37210654481081</v>
      </c>
      <c r="J479" s="17" t="n">
        <f aca="false">F479+E479*D479/(1-C479)</f>
        <v>13.1704165997525</v>
      </c>
      <c r="K479" s="15" t="n">
        <f aca="false">F479-G479+E479*D479*I479</f>
        <v>14.6901740538635</v>
      </c>
      <c r="L479" s="17" t="n">
        <f aca="false">'3. The decision'!$B$8*'3. The decision'!$B$5/J479</f>
        <v>35.6587049804351</v>
      </c>
      <c r="M479" s="31" t="n">
        <f aca="false">L479*'3. The decision'!$B$6*'3. The decision'!$B$7*K479</f>
        <v>1004723.32354038</v>
      </c>
      <c r="N479" s="31" t="n">
        <f aca="false">M479*(1+'3. The decision'!$B$19+'3. The decision'!$B$20+'3. The decision'!$B$22)</f>
        <v>1111223.99583566</v>
      </c>
      <c r="O479" s="31" t="n">
        <f aca="false">'3. The decision'!$B$17+'3. The decision'!$B$18*L479*12+M479*('3. The decision'!$B$20*(1-'3. The decision'!$B$21)+'3. The decision'!$B$23)+N479*('3. The decision'!$B$24+'3. The decision'!$B$25)</f>
        <v>590052.319540238</v>
      </c>
      <c r="P479" s="31" t="n">
        <f aca="false">N479-O479</f>
        <v>521171.676295423</v>
      </c>
    </row>
    <row r="480" customFormat="false" ht="15" hidden="false" customHeight="false" outlineLevel="0" collapsed="false">
      <c r="A480" s="27" t="n">
        <f aca="false">41*0.0025</f>
        <v>0.1025</v>
      </c>
      <c r="B480" s="27" t="n">
        <f aca="false">IF(A480&gt;0,MIN('3. The decision'!$B$15,'3. The decision'!$B$29*(A480/'3. The decision'!$B$28)^$B$436),0)</f>
        <v>0.05859375</v>
      </c>
      <c r="C480" s="15" t="n">
        <f aca="false">(1-'3. The decision'!$B$27-B480)*(1-'3. The decision'!$B$27)^('3. The decision'!$B$12-1)</f>
        <v>0.620201954310411</v>
      </c>
      <c r="D480" s="15" t="n">
        <f aca="false">1+(1-'3. The decision'!$B$27-B480)*(1-(1-'3. The decision'!$B$27)^('3. The decision'!$B$12-1))/'3. The decision'!$B$27</f>
        <v>4.83013978480585</v>
      </c>
      <c r="E480" s="15" t="n">
        <f aca="false">(1-'3. The decision'!$B$14)*(1-'3. The decision'!$B$27)^('3. The decision'!$B$11-1)</f>
        <v>0.690273454655712</v>
      </c>
      <c r="F480" s="15" t="n">
        <f aca="false">1+(1-'3. The decision'!$B$14)*(1-(1-'3. The decision'!$B$27)^('3. The decision'!$B$11-1))/'3. The decision'!$B$27</f>
        <v>4.28912098262087</v>
      </c>
      <c r="G480" s="15" t="n">
        <f aca="false">(1-(1-'3. The decision'!$B$9*MIN(1,('3. The decision'!$B$10/(52/12)))))+(1-(1-'3. The decision'!$B$9*MAX(0,MIN(1,('3. The decision'!$B$10/(52/12))-1))))*(1-'3. The decision'!$B$14)+(1-(1-'3. The decision'!$B$9*MAX(0,MIN(1,('3. The decision'!$B$10/(52/12))-2))))*(1-'3. The decision'!$B$14)*(1-'3. The decision'!$B$27)</f>
        <v>0.884576923076923</v>
      </c>
      <c r="H480" s="15" t="n">
        <f aca="false">IF(A480&lt;=0,0,MAX(0,ROUNDUP(LN('3. The decision'!$B$13)/LN(1+A480)-0.000000000001,0)-1))</f>
        <v>4</v>
      </c>
      <c r="I480" s="15" t="n">
        <f aca="false">IF(A480&lt;=0,1/(1-C480),(1+A480)*(1-(C480*(1+A480))^H480)/(1-C480*(1+A480))+'3. The decision'!$B$13*C480^H480/(1-C480))</f>
        <v>3.35538606836108</v>
      </c>
      <c r="J480" s="17" t="n">
        <f aca="false">F480+E480*D480/(1-C480)</f>
        <v>13.0677793079271</v>
      </c>
      <c r="K480" s="15" t="n">
        <f aca="false">F480-G480+E480*D480*I480</f>
        <v>14.5917947168034</v>
      </c>
      <c r="L480" s="17" t="n">
        <f aca="false">'3. The decision'!$B$8*'3. The decision'!$B$5/J480</f>
        <v>35.9387765077354</v>
      </c>
      <c r="M480" s="31" t="n">
        <f aca="false">L480*'3. The decision'!$B$6*'3. The decision'!$B$7*K480</f>
        <v>1005833.2195724</v>
      </c>
      <c r="N480" s="31" t="n">
        <f aca="false">M480*(1+'3. The decision'!$B$19+'3. The decision'!$B$20+'3. The decision'!$B$22)</f>
        <v>1112451.54084708</v>
      </c>
      <c r="O480" s="31" t="n">
        <f aca="false">'3. The decision'!$B$17+'3. The decision'!$B$18*L480*12+M480*('3. The decision'!$B$20*(1-'3. The decision'!$B$21)+'3. The decision'!$B$23)+N480*('3. The decision'!$B$24+'3. The decision'!$B$25)</f>
        <v>590596.035750248</v>
      </c>
      <c r="P480" s="31" t="n">
        <f aca="false">N480-O480</f>
        <v>521855.505096829</v>
      </c>
    </row>
    <row r="481" customFormat="false" ht="15" hidden="false" customHeight="false" outlineLevel="0" collapsed="false">
      <c r="A481" s="27" t="n">
        <f aca="false">42*0.0025</f>
        <v>0.105</v>
      </c>
      <c r="B481" s="27" t="n">
        <f aca="false">IF(A481&gt;0,MIN('3. The decision'!$B$15,'3. The decision'!$B$29*(A481/'3. The decision'!$B$28)^$B$436),0)</f>
        <v>0.0629865171718344</v>
      </c>
      <c r="C481" s="15" t="n">
        <f aca="false">(1-'3. The decision'!$B$27-B481)*(1-'3. The decision'!$B$27)^('3. The decision'!$B$12-1)</f>
        <v>0.617088017491692</v>
      </c>
      <c r="D481" s="15" t="n">
        <f aca="false">1+(1-'3. The decision'!$B$27-B481)*(1-(1-'3. The decision'!$B$27)^('3. The decision'!$B$12-1))/'3. The decision'!$B$27</f>
        <v>4.81090925318006</v>
      </c>
      <c r="E481" s="15" t="n">
        <f aca="false">(1-'3. The decision'!$B$14)*(1-'3. The decision'!$B$27)^('3. The decision'!$B$11-1)</f>
        <v>0.690273454655712</v>
      </c>
      <c r="F481" s="15" t="n">
        <f aca="false">1+(1-'3. The decision'!$B$14)*(1-(1-'3. The decision'!$B$27)^('3. The decision'!$B$11-1))/'3. The decision'!$B$27</f>
        <v>4.28912098262087</v>
      </c>
      <c r="G481" s="15" t="n">
        <f aca="false">(1-(1-'3. The decision'!$B$9*MIN(1,('3. The decision'!$B$10/(52/12)))))+(1-(1-'3. The decision'!$B$9*MAX(0,MIN(1,('3. The decision'!$B$10/(52/12))-1))))*(1-'3. The decision'!$B$14)+(1-(1-'3. The decision'!$B$9*MAX(0,MIN(1,('3. The decision'!$B$10/(52/12))-2))))*(1-'3. The decision'!$B$14)*(1-'3. The decision'!$B$27)</f>
        <v>0.884576923076923</v>
      </c>
      <c r="H481" s="15" t="n">
        <f aca="false">IF(A481&lt;=0,0,MAX(0,ROUNDUP(LN('3. The decision'!$B$13)/LN(1+A481)-0.000000000001,0)-1))</f>
        <v>4</v>
      </c>
      <c r="I481" s="15" t="n">
        <f aca="false">IF(A481&lt;=0,1/(1-C481),(1+A481)*(1-(C481*(1+A481))^H481)/(1-C481*(1+A481))+'3. The decision'!$B$13*C481^H481/(1-C481))</f>
        <v>3.33609085212128</v>
      </c>
      <c r="J481" s="17" t="n">
        <f aca="false">F481+E481*D481/(1-C481)</f>
        <v>12.9617222641848</v>
      </c>
      <c r="K481" s="15" t="n">
        <f aca="false">F481-G481+E481*D481*I481</f>
        <v>14.4831778471301</v>
      </c>
      <c r="L481" s="17" t="n">
        <f aca="false">'3. The decision'!$B$8*'3. The decision'!$B$5/J481</f>
        <v>36.2328393116158</v>
      </c>
      <c r="M481" s="31" t="n">
        <f aca="false">L481*'3. The decision'!$B$6*'3. The decision'!$B$7*K481</f>
        <v>1006514.89763953</v>
      </c>
      <c r="N481" s="31" t="n">
        <f aca="false">M481*(1+'3. The decision'!$B$19+'3. The decision'!$B$20+'3. The decision'!$B$22)</f>
        <v>1113205.47678932</v>
      </c>
      <c r="O481" s="31" t="n">
        <f aca="false">'3. The decision'!$B$17+'3. The decision'!$B$18*L481*12+M481*('3. The decision'!$B$20*(1-'3. The decision'!$B$21)+'3. The decision'!$B$23)+N481*('3. The decision'!$B$24+'3. The decision'!$B$25)</f>
        <v>591114.858584726</v>
      </c>
      <c r="P481" s="31" t="n">
        <f aca="false">N481-O481</f>
        <v>522090.618204593</v>
      </c>
    </row>
    <row r="482" customFormat="false" ht="15" hidden="false" customHeight="false" outlineLevel="0" collapsed="false">
      <c r="A482" s="27" t="n">
        <f aca="false">43*0.0025</f>
        <v>0.1075</v>
      </c>
      <c r="B482" s="27" t="n">
        <f aca="false">IF(A482&gt;0,MIN('3. The decision'!$B$15,'3. The decision'!$B$29*(A482/'3. The decision'!$B$28)^$B$436),0)</f>
        <v>0.0675935241979948</v>
      </c>
      <c r="C482" s="15" t="n">
        <f aca="false">(1-'3. The decision'!$B$27-B482)*(1-'3. The decision'!$B$27)^('3. The decision'!$B$12-1)</f>
        <v>0.613822210713941</v>
      </c>
      <c r="D482" s="15" t="n">
        <f aca="false">1+(1-'3. The decision'!$B$27-B482)*(1-(1-'3. The decision'!$B$27)^('3. The decision'!$B$12-1))/'3. The decision'!$B$27</f>
        <v>4.79074082839194</v>
      </c>
      <c r="E482" s="15" t="n">
        <f aca="false">(1-'3. The decision'!$B$14)*(1-'3. The decision'!$B$27)^('3. The decision'!$B$11-1)</f>
        <v>0.690273454655712</v>
      </c>
      <c r="F482" s="15" t="n">
        <f aca="false">1+(1-'3. The decision'!$B$14)*(1-(1-'3. The decision'!$B$27)^('3. The decision'!$B$11-1))/'3. The decision'!$B$27</f>
        <v>4.28912098262087</v>
      </c>
      <c r="G482" s="15" t="n">
        <f aca="false">(1-(1-'3. The decision'!$B$9*MIN(1,('3. The decision'!$B$10/(52/12)))))+(1-(1-'3. The decision'!$B$9*MAX(0,MIN(1,('3. The decision'!$B$10/(52/12))-1))))*(1-'3. The decision'!$B$14)+(1-(1-'3. The decision'!$B$9*MAX(0,MIN(1,('3. The decision'!$B$10/(52/12))-2))))*(1-'3. The decision'!$B$14)*(1-'3. The decision'!$B$27)</f>
        <v>0.884576923076923</v>
      </c>
      <c r="H482" s="15" t="n">
        <f aca="false">IF(A482&lt;=0,0,MAX(0,ROUNDUP(LN('3. The decision'!$B$13)/LN(1+A482)-0.000000000001,0)-1))</f>
        <v>4</v>
      </c>
      <c r="I482" s="15" t="n">
        <f aca="false">IF(A482&lt;=0,1/(1-C482),(1+A482)*(1-(C482*(1+A482))^H482)/(1-C482*(1+A482))+'3. The decision'!$B$13*C482^H482/(1-C482))</f>
        <v>3.31566759069079</v>
      </c>
      <c r="J482" s="17" t="n">
        <f aca="false">F482+E482*D482/(1-C482)</f>
        <v>12.8523302445722</v>
      </c>
      <c r="K482" s="15" t="n">
        <f aca="false">F482-G482+E482*D482*I482</f>
        <v>14.3691955802116</v>
      </c>
      <c r="L482" s="17" t="n">
        <f aca="false">'3. The decision'!$B$8*'3. The decision'!$B$5/J482</f>
        <v>36.5412334621839</v>
      </c>
      <c r="M482" s="31" t="n">
        <f aca="false">L482*'3. The decision'!$B$6*'3. The decision'!$B$7*K482</f>
        <v>1007093.13327482</v>
      </c>
      <c r="N482" s="31" t="n">
        <f aca="false">M482*(1+'3. The decision'!$B$19+'3. The decision'!$B$20+'3. The decision'!$B$22)</f>
        <v>1113845.00540195</v>
      </c>
      <c r="O482" s="31" t="n">
        <f aca="false">'3. The decision'!$B$17+'3. The decision'!$B$18*L482*12+M482*('3. The decision'!$B$20*(1-'3. The decision'!$B$21)+'3. The decision'!$B$23)+N482*('3. The decision'!$B$24+'3. The decision'!$B$25)</f>
        <v>591644.257809192</v>
      </c>
      <c r="P482" s="31" t="n">
        <f aca="false">N482-O482</f>
        <v>522200.747592753</v>
      </c>
    </row>
    <row r="483" customFormat="false" ht="15" hidden="false" customHeight="false" outlineLevel="0" collapsed="false">
      <c r="A483" s="27" t="n">
        <f aca="false">44*0.0025</f>
        <v>0.11</v>
      </c>
      <c r="B483" s="27" t="n">
        <f aca="false">IF(A483&gt;0,MIN('3. The decision'!$B$15,'3. The decision'!$B$29*(A483/'3. The decision'!$B$28)^$B$436),0)</f>
        <v>0.0724198720273937</v>
      </c>
      <c r="C483" s="15" t="n">
        <f aca="false">(1-'3. The decision'!$B$27-B483)*(1-'3. The decision'!$B$27)^('3. The decision'!$B$12-1)</f>
        <v>0.610400918025753</v>
      </c>
      <c r="D483" s="15" t="n">
        <f aca="false">1+(1-'3. The decision'!$B$27-B483)*(1-(1-'3. The decision'!$B$27)^('3. The decision'!$B$12-1))/'3. The decision'!$B$27</f>
        <v>4.76961217965193</v>
      </c>
      <c r="E483" s="15" t="n">
        <f aca="false">(1-'3. The decision'!$B$14)*(1-'3. The decision'!$B$27)^('3. The decision'!$B$11-1)</f>
        <v>0.690273454655712</v>
      </c>
      <c r="F483" s="15" t="n">
        <f aca="false">1+(1-'3. The decision'!$B$14)*(1-(1-'3. The decision'!$B$27)^('3. The decision'!$B$11-1))/'3. The decision'!$B$27</f>
        <v>4.28912098262087</v>
      </c>
      <c r="G483" s="15" t="n">
        <f aca="false">(1-(1-'3. The decision'!$B$9*MIN(1,('3. The decision'!$B$10/(52/12)))))+(1-(1-'3. The decision'!$B$9*MAX(0,MIN(1,('3. The decision'!$B$10/(52/12))-1))))*(1-'3. The decision'!$B$14)+(1-(1-'3. The decision'!$B$9*MAX(0,MIN(1,('3. The decision'!$B$10/(52/12))-2))))*(1-'3. The decision'!$B$14)*(1-'3. The decision'!$B$27)</f>
        <v>0.884576923076923</v>
      </c>
      <c r="H483" s="15" t="n">
        <f aca="false">IF(A483&lt;=0,0,MAX(0,ROUNDUP(LN('3. The decision'!$B$13)/LN(1+A483)-0.000000000001,0)-1))</f>
        <v>4</v>
      </c>
      <c r="I483" s="15" t="n">
        <f aca="false">IF(A483&lt;=0,1/(1-C483),(1+A483)*(1-(C483*(1+A483))^H483)/(1-C483*(1+A483))+'3. The decision'!$B$13*C483^H483/(1-C483))</f>
        <v>3.29413445225339</v>
      </c>
      <c r="J483" s="17" t="n">
        <f aca="false">F483+E483*D483/(1-C483)</f>
        <v>12.739697046437</v>
      </c>
      <c r="K483" s="15" t="n">
        <f aca="false">F483-G483+E483*D483*I483</f>
        <v>14.2499437344031</v>
      </c>
      <c r="L483" s="17" t="n">
        <f aca="false">'3. The decision'!$B$8*'3. The decision'!$B$5/J483</f>
        <v>36.864298914498</v>
      </c>
      <c r="M483" s="31" t="n">
        <f aca="false">L483*'3. The decision'!$B$6*'3. The decision'!$B$7*K483</f>
        <v>1007565.07256413</v>
      </c>
      <c r="N483" s="31" t="n">
        <f aca="false">M483*(1+'3. The decision'!$B$19+'3. The decision'!$B$20+'3. The decision'!$B$22)</f>
        <v>1114366.97025593</v>
      </c>
      <c r="O483" s="31" t="n">
        <f aca="false">'3. The decision'!$B$17+'3. The decision'!$B$18*L483*12+M483*('3. The decision'!$B$20*(1-'3. The decision'!$B$21)+'3. The decision'!$B$23)+N483*('3. The decision'!$B$24+'3. The decision'!$B$25)</f>
        <v>592184.441240375</v>
      </c>
      <c r="P483" s="31" t="n">
        <f aca="false">N483-O483</f>
        <v>522182.529015552</v>
      </c>
    </row>
    <row r="484" customFormat="false" ht="15" hidden="false" customHeight="false" outlineLevel="0" collapsed="false">
      <c r="A484" s="27" t="n">
        <f aca="false">45*0.0025</f>
        <v>0.1125</v>
      </c>
      <c r="B484" s="27" t="n">
        <f aca="false">IF(A484&gt;0,MIN('3. The decision'!$B$15,'3. The decision'!$B$29*(A484/'3. The decision'!$B$28)^$B$436),0)</f>
        <v>0.0774706616089436</v>
      </c>
      <c r="C484" s="15" t="n">
        <f aca="false">(1-'3. The decision'!$B$27-B484)*(1-'3. The decision'!$B$27)^('3. The decision'!$B$12-1)</f>
        <v>0.606820523475722</v>
      </c>
      <c r="D484" s="15" t="n">
        <f aca="false">1+(1-'3. The decision'!$B$27-B484)*(1-(1-'3. The decision'!$B$27)^('3. The decision'!$B$12-1))/'3. The decision'!$B$27</f>
        <v>4.74750097617044</v>
      </c>
      <c r="E484" s="15" t="n">
        <f aca="false">(1-'3. The decision'!$B$14)*(1-'3. The decision'!$B$27)^('3. The decision'!$B$11-1)</f>
        <v>0.690273454655712</v>
      </c>
      <c r="F484" s="15" t="n">
        <f aca="false">1+(1-'3. The decision'!$B$14)*(1-(1-'3. The decision'!$B$27)^('3. The decision'!$B$11-1))/'3. The decision'!$B$27</f>
        <v>4.28912098262087</v>
      </c>
      <c r="G484" s="15" t="n">
        <f aca="false">(1-(1-'3. The decision'!$B$9*MIN(1,('3. The decision'!$B$10/(52/12)))))+(1-(1-'3. The decision'!$B$9*MAX(0,MIN(1,('3. The decision'!$B$10/(52/12))-1))))*(1-'3. The decision'!$B$14)+(1-(1-'3. The decision'!$B$9*MAX(0,MIN(1,('3. The decision'!$B$10/(52/12))-2))))*(1-'3. The decision'!$B$14)*(1-'3. The decision'!$B$27)</f>
        <v>0.884576923076923</v>
      </c>
      <c r="H484" s="15" t="n">
        <f aca="false">IF(A484&lt;=0,0,MAX(0,ROUNDUP(LN('3. The decision'!$B$13)/LN(1+A484)-0.000000000001,0)-1))</f>
        <v>4</v>
      </c>
      <c r="I484" s="15" t="n">
        <f aca="false">IF(A484&lt;=0,1/(1-C484),(1+A484)*(1-(C484*(1+A484))^H484)/(1-C484*(1+A484))+'3. The decision'!$B$13*C484^H484/(1-C484))</f>
        <v>3.27151211833141</v>
      </c>
      <c r="J484" s="17" t="n">
        <f aca="false">F484+E484*D484/(1-C484)</f>
        <v>12.6239250491301</v>
      </c>
      <c r="K484" s="15" t="n">
        <f aca="false">F484-G484+E484*D484*I484</f>
        <v>14.1255310354155</v>
      </c>
      <c r="L484" s="17" t="n">
        <f aca="false">'3. The decision'!$B$8*'3. The decision'!$B$5/J484</f>
        <v>37.2023755030422</v>
      </c>
      <c r="M484" s="31" t="n">
        <f aca="false">L484*'3. The decision'!$B$6*'3. The decision'!$B$7*K484</f>
        <v>1007927.8176886</v>
      </c>
      <c r="N484" s="31" t="n">
        <f aca="false">M484*(1+'3. The decision'!$B$19+'3. The decision'!$B$20+'3. The decision'!$B$22)</f>
        <v>1114768.16636359</v>
      </c>
      <c r="O484" s="31" t="n">
        <f aca="false">'3. The decision'!$B$17+'3. The decision'!$B$18*L484*12+M484*('3. The decision'!$B$20*(1-'3. The decision'!$B$21)+'3. The decision'!$B$23)+N484*('3. The decision'!$B$24+'3. The decision'!$B$25)</f>
        <v>592735.611787016</v>
      </c>
      <c r="P484" s="31" t="n">
        <f aca="false">N484-O484</f>
        <v>522032.554576575</v>
      </c>
    </row>
    <row r="485" customFormat="false" ht="15" hidden="false" customHeight="false" outlineLevel="0" collapsed="false">
      <c r="A485" s="27" t="n">
        <f aca="false">46*0.0025</f>
        <v>0.115</v>
      </c>
      <c r="B485" s="27" t="n">
        <f aca="false">IF(A485&gt;0,MIN('3. The decision'!$B$15,'3. The decision'!$B$29*(A485/'3. The decision'!$B$28)^$B$436),0)</f>
        <v>0.082750993891557</v>
      </c>
      <c r="C485" s="15" t="n">
        <f aca="false">(1-'3. The decision'!$B$27-B485)*(1-'3. The decision'!$B$27)^('3. The decision'!$B$12-1)</f>
        <v>0.603077411112443</v>
      </c>
      <c r="D485" s="15" t="n">
        <f aca="false">1+(1-'3. The decision'!$B$27-B485)*(1-(1-'3. The decision'!$B$27)^('3. The decision'!$B$12-1))/'3. The decision'!$B$27</f>
        <v>4.72438488715789</v>
      </c>
      <c r="E485" s="15" t="n">
        <f aca="false">(1-'3. The decision'!$B$14)*(1-'3. The decision'!$B$27)^('3. The decision'!$B$11-1)</f>
        <v>0.690273454655712</v>
      </c>
      <c r="F485" s="15" t="n">
        <f aca="false">1+(1-'3. The decision'!$B$14)*(1-(1-'3. The decision'!$B$27)^('3. The decision'!$B$11-1))/'3. The decision'!$B$27</f>
        <v>4.28912098262087</v>
      </c>
      <c r="G485" s="15" t="n">
        <f aca="false">(1-(1-'3. The decision'!$B$9*MIN(1,('3. The decision'!$B$10/(52/12)))))+(1-(1-'3. The decision'!$B$9*MAX(0,MIN(1,('3. The decision'!$B$10/(52/12))-1))))*(1-'3. The decision'!$B$14)+(1-(1-'3. The decision'!$B$9*MAX(0,MIN(1,('3. The decision'!$B$10/(52/12))-2))))*(1-'3. The decision'!$B$14)*(1-'3. The decision'!$B$27)</f>
        <v>0.884576923076923</v>
      </c>
      <c r="H485" s="15" t="n">
        <f aca="false">IF(A485&lt;=0,0,MAX(0,ROUNDUP(LN('3. The decision'!$B$13)/LN(1+A485)-0.000000000001,0)-1))</f>
        <v>4</v>
      </c>
      <c r="I485" s="15" t="n">
        <f aca="false">IF(A485&lt;=0,1/(1-C485),(1+A485)*(1-(C485*(1+A485))^H485)/(1-C485*(1+A485))+'3. The decision'!$B$13*C485^H485/(1-C485))</f>
        <v>3.24782365861984</v>
      </c>
      <c r="J485" s="17" t="n">
        <f aca="false">F485+E485*D485/(1-C485)</f>
        <v>12.5051247286449</v>
      </c>
      <c r="K485" s="15" t="n">
        <f aca="false">F485-G485+E485*D485*I485</f>
        <v>13.9960785554734</v>
      </c>
      <c r="L485" s="17" t="n">
        <f aca="false">'3. The decision'!$B$8*'3. The decision'!$B$5/J485</f>
        <v>37.555802936073</v>
      </c>
      <c r="M485" s="31" t="n">
        <f aca="false">L485*'3. The decision'!$B$6*'3. The decision'!$B$7*K485</f>
        <v>1008178.42349995</v>
      </c>
      <c r="N485" s="31" t="n">
        <f aca="false">M485*(1+'3. The decision'!$B$19+'3. The decision'!$B$20+'3. The decision'!$B$22)</f>
        <v>1115045.33639095</v>
      </c>
      <c r="O485" s="31" t="n">
        <f aca="false">'3. The decision'!$B$17+'3. The decision'!$B$18*L485*12+M485*('3. The decision'!$B$20*(1-'3. The decision'!$B$21)+'3. The decision'!$B$23)+N485*('3. The decision'!$B$24+'3. The decision'!$B$25)</f>
        <v>593297.967072723</v>
      </c>
      <c r="P485" s="31" t="n">
        <f aca="false">N485-O485</f>
        <v>521747.369318224</v>
      </c>
    </row>
    <row r="486" customFormat="false" ht="15" hidden="false" customHeight="false" outlineLevel="0" collapsed="false">
      <c r="A486" s="27" t="n">
        <f aca="false">47*0.0025</f>
        <v>0.1175</v>
      </c>
      <c r="B486" s="27" t="n">
        <f aca="false">IF(A486&gt;0,MIN('3. The decision'!$B$15,'3. The decision'!$B$29*(A486/'3. The decision'!$B$28)^$B$436),0)</f>
        <v>0.0882659698241465</v>
      </c>
      <c r="C486" s="15" t="n">
        <f aca="false">(1-'3. The decision'!$B$27-B486)*(1-'3. The decision'!$B$27)^('3. The decision'!$B$12-1)</f>
        <v>0.59916796498451</v>
      </c>
      <c r="D486" s="15" t="n">
        <f aca="false">1+(1-'3. The decision'!$B$27-B486)*(1-(1-'3. The decision'!$B$27)^('3. The decision'!$B$12-1))/'3. The decision'!$B$27</f>
        <v>4.70024158182471</v>
      </c>
      <c r="E486" s="15" t="n">
        <f aca="false">(1-'3. The decision'!$B$14)*(1-'3. The decision'!$B$27)^('3. The decision'!$B$11-1)</f>
        <v>0.690273454655712</v>
      </c>
      <c r="F486" s="15" t="n">
        <f aca="false">1+(1-'3. The decision'!$B$14)*(1-(1-'3. The decision'!$B$27)^('3. The decision'!$B$11-1))/'3. The decision'!$B$27</f>
        <v>4.28912098262087</v>
      </c>
      <c r="G486" s="15" t="n">
        <f aca="false">(1-(1-'3. The decision'!$B$9*MIN(1,('3. The decision'!$B$10/(52/12)))))+(1-(1-'3. The decision'!$B$9*MAX(0,MIN(1,('3. The decision'!$B$10/(52/12))-1))))*(1-'3. The decision'!$B$14)+(1-(1-'3. The decision'!$B$9*MAX(0,MIN(1,('3. The decision'!$B$10/(52/12))-2))))*(1-'3. The decision'!$B$14)*(1-'3. The decision'!$B$27)</f>
        <v>0.884576923076923</v>
      </c>
      <c r="H486" s="15" t="n">
        <f aca="false">IF(A486&lt;=0,0,MAX(0,ROUNDUP(LN('3. The decision'!$B$13)/LN(1+A486)-0.000000000001,0)-1))</f>
        <v>4</v>
      </c>
      <c r="I486" s="15" t="n">
        <f aca="false">IF(A486&lt;=0,1/(1-C486),(1+A486)*(1-(C486*(1+A486))^H486)/(1-C486*(1+A486))+'3. The decision'!$B$13*C486^H486/(1-C486))</f>
        <v>3.22309439430647</v>
      </c>
      <c r="J486" s="17" t="n">
        <f aca="false">F486+E486*D486/(1-C486)</f>
        <v>12.383414130316</v>
      </c>
      <c r="K486" s="15" t="n">
        <f aca="false">F486-G486+E486*D486*I486</f>
        <v>13.8617190952993</v>
      </c>
      <c r="L486" s="17" t="n">
        <f aca="false">'3. The decision'!$B$8*'3. The decision'!$B$5/J486</f>
        <v>37.9249207898384</v>
      </c>
      <c r="M486" s="31" t="n">
        <f aca="false">L486*'3. The decision'!$B$6*'3. The decision'!$B$7*K486</f>
        <v>1008313.89465343</v>
      </c>
      <c r="N486" s="31" t="n">
        <f aca="false">M486*(1+'3. The decision'!$B$19+'3. The decision'!$B$20+'3. The decision'!$B$22)</f>
        <v>1115195.16748669</v>
      </c>
      <c r="O486" s="31" t="n">
        <f aca="false">'3. The decision'!$B$17+'3. The decision'!$B$18*L486*12+M486*('3. The decision'!$B$20*(1-'3. The decision'!$B$21)+'3. The decision'!$B$23)+N486*('3. The decision'!$B$24+'3. The decision'!$B$25)</f>
        <v>593871.699118636</v>
      </c>
      <c r="P486" s="31" t="n">
        <f aca="false">N486-O486</f>
        <v>521323.468368054</v>
      </c>
    </row>
    <row r="487" customFormat="false" ht="15" hidden="false" customHeight="false" outlineLevel="0" collapsed="false">
      <c r="A487" s="27" t="n">
        <f aca="false">48*0.0025</f>
        <v>0.12</v>
      </c>
      <c r="B487" s="27" t="n">
        <f aca="false">IF(A487&gt;0,MIN('3. The decision'!$B$15,'3. The decision'!$B$29*(A487/'3. The decision'!$B$28)^$B$436),0)</f>
        <v>0.0940206903556245</v>
      </c>
      <c r="C487" s="15" t="n">
        <f aca="false">(1-'3. The decision'!$B$27-B487)*(1-'3. The decision'!$B$27)^('3. The decision'!$B$12-1)</f>
        <v>0.595088569140518</v>
      </c>
      <c r="D487" s="15" t="n">
        <f aca="false">1+(1-'3. The decision'!$B$27-B487)*(1-(1-'3. The decision'!$B$27)^('3. The decision'!$B$12-1))/'3. The decision'!$B$27</f>
        <v>4.67504872938132</v>
      </c>
      <c r="E487" s="15" t="n">
        <f aca="false">(1-'3. The decision'!$B$14)*(1-'3. The decision'!$B$27)^('3. The decision'!$B$11-1)</f>
        <v>0.690273454655712</v>
      </c>
      <c r="F487" s="15" t="n">
        <f aca="false">1+(1-'3. The decision'!$B$14)*(1-(1-'3. The decision'!$B$27)^('3. The decision'!$B$11-1))/'3. The decision'!$B$27</f>
        <v>4.28912098262087</v>
      </c>
      <c r="G487" s="15" t="n">
        <f aca="false">(1-(1-'3. The decision'!$B$9*MIN(1,('3. The decision'!$B$10/(52/12)))))+(1-(1-'3. The decision'!$B$9*MAX(0,MIN(1,('3. The decision'!$B$10/(52/12))-1))))*(1-'3. The decision'!$B$14)+(1-(1-'3. The decision'!$B$9*MAX(0,MIN(1,('3. The decision'!$B$10/(52/12))-2))))*(1-'3. The decision'!$B$14)*(1-'3. The decision'!$B$27)</f>
        <v>0.884576923076923</v>
      </c>
      <c r="H487" s="15" t="n">
        <f aca="false">IF(A487&lt;=0,0,MAX(0,ROUNDUP(LN('3. The decision'!$B$13)/LN(1+A487)-0.000000000001,0)-1))</f>
        <v>4</v>
      </c>
      <c r="I487" s="15" t="n">
        <f aca="false">IF(A487&lt;=0,1/(1-C487),(1+A487)*(1-(C487*(1+A487))^H487)/(1-C487*(1+A487))+'3. The decision'!$B$13*C487^H487/(1-C487))</f>
        <v>3.19735175136584</v>
      </c>
      <c r="J487" s="17" t="n">
        <f aca="false">F487+E487*D487/(1-C487)</f>
        <v>12.2589183041337</v>
      </c>
      <c r="K487" s="15" t="n">
        <f aca="false">F487-G487+E487*D487*I487</f>
        <v>13.7225965156761</v>
      </c>
      <c r="L487" s="17" t="n">
        <f aca="false">'3. The decision'!$B$8*'3. The decision'!$B$5/J487</f>
        <v>38.3100685026701</v>
      </c>
      <c r="M487" s="31" t="n">
        <f aca="false">L487*'3. The decision'!$B$6*'3. The decision'!$B$7*K487</f>
        <v>1008331.1834313</v>
      </c>
      <c r="N487" s="31" t="n">
        <f aca="false">M487*(1+'3. The decision'!$B$19+'3. The decision'!$B$20+'3. The decision'!$B$22)</f>
        <v>1115214.28887502</v>
      </c>
      <c r="O487" s="31" t="n">
        <f aca="false">'3. The decision'!$B$17+'3. The decision'!$B$18*L487*12+M487*('3. The decision'!$B$20*(1-'3. The decision'!$B$21)+'3. The decision'!$B$23)+N487*('3. The decision'!$B$24+'3. The decision'!$B$25)</f>
        <v>594456.994100229</v>
      </c>
      <c r="P487" s="31" t="n">
        <f aca="false">N487-O487</f>
        <v>520757.294774791</v>
      </c>
    </row>
    <row r="488" customFormat="false" ht="15" hidden="false" customHeight="false" outlineLevel="0" collapsed="false">
      <c r="A488" s="27" t="n">
        <f aca="false">49*0.0025</f>
        <v>0.1225</v>
      </c>
      <c r="B488" s="27" t="n">
        <f aca="false">IF(A488&gt;0,MIN('3. The decision'!$B$15,'3. The decision'!$B$29*(A488/'3. The decision'!$B$28)^$B$436),0)</f>
        <v>0.100020256434904</v>
      </c>
      <c r="C488" s="15" t="n">
        <f aca="false">(1-'3. The decision'!$B$27-B488)*(1-'3. The decision'!$B$27)^('3. The decision'!$B$12-1)</f>
        <v>0.590835607629061</v>
      </c>
      <c r="D488" s="15" t="n">
        <f aca="false">1+(1-'3. The decision'!$B$27-B488)*(1-(1-'3. The decision'!$B$27)^('3. The decision'!$B$12-1))/'3. The decision'!$B$27</f>
        <v>4.64878399903813</v>
      </c>
      <c r="E488" s="15" t="n">
        <f aca="false">(1-'3. The decision'!$B$14)*(1-'3. The decision'!$B$27)^('3. The decision'!$B$11-1)</f>
        <v>0.690273454655712</v>
      </c>
      <c r="F488" s="15" t="n">
        <f aca="false">1+(1-'3. The decision'!$B$14)*(1-(1-'3. The decision'!$B$27)^('3. The decision'!$B$11-1))/'3. The decision'!$B$27</f>
        <v>4.28912098262087</v>
      </c>
      <c r="G488" s="15" t="n">
        <f aca="false">(1-(1-'3. The decision'!$B$9*MIN(1,('3. The decision'!$B$10/(52/12)))))+(1-(1-'3. The decision'!$B$9*MAX(0,MIN(1,('3. The decision'!$B$10/(52/12))-1))))*(1-'3. The decision'!$B$14)+(1-(1-'3. The decision'!$B$9*MAX(0,MIN(1,('3. The decision'!$B$10/(52/12))-2))))*(1-'3. The decision'!$B$14)*(1-'3. The decision'!$B$27)</f>
        <v>0.884576923076923</v>
      </c>
      <c r="H488" s="15" t="n">
        <f aca="false">IF(A488&lt;=0,0,MAX(0,ROUNDUP(LN('3. The decision'!$B$13)/LN(1+A488)-0.000000000001,0)-1))</f>
        <v>4</v>
      </c>
      <c r="I488" s="15" t="n">
        <f aca="false">IF(A488&lt;=0,1/(1-C488),(1+A488)*(1-(C488*(1+A488))^H488)/(1-C488*(1+A488))+'3. The decision'!$B$13*C488^H488/(1-C488))</f>
        <v>3.17062510542295</v>
      </c>
      <c r="J488" s="17" t="n">
        <f aca="false">F488+E488*D488/(1-C488)</f>
        <v>12.1317687075849</v>
      </c>
      <c r="K488" s="15" t="n">
        <f aca="false">F488-G488+E488*D488*I488</f>
        <v>13.578865025815</v>
      </c>
      <c r="L488" s="17" t="n">
        <f aca="false">'3. The decision'!$B$8*'3. The decision'!$B$5/J488</f>
        <v>38.7115853689475</v>
      </c>
      <c r="M488" s="31" t="n">
        <f aca="false">L488*'3. The decision'!$B$6*'3. The decision'!$B$7*K488</f>
        <v>1008227.18839609</v>
      </c>
      <c r="N488" s="31" t="n">
        <f aca="false">M488*(1+'3. The decision'!$B$19+'3. The decision'!$B$20+'3. The decision'!$B$22)</f>
        <v>1115099.27036608</v>
      </c>
      <c r="O488" s="31" t="n">
        <f aca="false">'3. The decision'!$B$17+'3. The decision'!$B$18*L488*12+M488*('3. The decision'!$B$20*(1-'3. The decision'!$B$21)+'3. The decision'!$B$23)+N488*('3. The decision'!$B$24+'3. The decision'!$B$25)</f>
        <v>595054.032193216</v>
      </c>
      <c r="P488" s="31" t="n">
        <f aca="false">N488-O488</f>
        <v>520045.238172863</v>
      </c>
    </row>
    <row r="489" customFormat="false" ht="15" hidden="false" customHeight="false" outlineLevel="0" collapsed="false">
      <c r="A489" s="27" t="n">
        <f aca="false">50*0.0025</f>
        <v>0.125</v>
      </c>
      <c r="B489" s="27" t="n">
        <f aca="false">IF(A489&gt;0,MIN('3. The decision'!$B$15,'3. The decision'!$B$29*(A489/'3. The decision'!$B$28)^$B$436),0)</f>
        <v>0.106269769010897</v>
      </c>
      <c r="C489" s="15" t="n">
        <f aca="false">(1-'3. The decision'!$B$27-B489)*(1-'3. The decision'!$B$27)^('3. The decision'!$B$12-1)</f>
        <v>0.586405464498733</v>
      </c>
      <c r="D489" s="15" t="n">
        <f aca="false">1+(1-'3. The decision'!$B$27-B489)*(1-(1-'3. The decision'!$B$27)^('3. The decision'!$B$12-1))/'3. The decision'!$B$27</f>
        <v>4.62142506000557</v>
      </c>
      <c r="E489" s="15" t="n">
        <f aca="false">(1-'3. The decision'!$B$14)*(1-'3. The decision'!$B$27)^('3. The decision'!$B$11-1)</f>
        <v>0.690273454655712</v>
      </c>
      <c r="F489" s="15" t="n">
        <f aca="false">1+(1-'3. The decision'!$B$14)*(1-(1-'3. The decision'!$B$27)^('3. The decision'!$B$11-1))/'3. The decision'!$B$27</f>
        <v>4.28912098262087</v>
      </c>
      <c r="G489" s="15" t="n">
        <f aca="false">(1-(1-'3. The decision'!$B$9*MIN(1,('3. The decision'!$B$10/(52/12)))))+(1-(1-'3. The decision'!$B$9*MAX(0,MIN(1,('3. The decision'!$B$10/(52/12))-1))))*(1-'3. The decision'!$B$14)+(1-(1-'3. The decision'!$B$9*MAX(0,MIN(1,('3. The decision'!$B$10/(52/12))-2))))*(1-'3. The decision'!$B$14)*(1-'3. The decision'!$B$27)</f>
        <v>0.884576923076923</v>
      </c>
      <c r="H489" s="15" t="n">
        <f aca="false">IF(A489&lt;=0,0,MAX(0,ROUNDUP(LN('3. The decision'!$B$13)/LN(1+A489)-0.000000000001,0)-1))</f>
        <v>4</v>
      </c>
      <c r="I489" s="15" t="n">
        <f aca="false">IF(A489&lt;=0,1/(1-C489),(1+A489)*(1-(C489*(1+A489))^H489)/(1-C489*(1+A489))+'3. The decision'!$B$13*C489^H489/(1-C489))</f>
        <v>3.14294561986533</v>
      </c>
      <c r="J489" s="17" t="n">
        <f aca="false">F489+E489*D489/(1-C489)</f>
        <v>12.0021025812202</v>
      </c>
      <c r="K489" s="15" t="n">
        <f aca="false">F489-G489+E489*D489*I489</f>
        <v>13.4306884361129</v>
      </c>
      <c r="L489" s="17" t="n">
        <f aca="false">'3. The decision'!$B$8*'3. The decision'!$B$5/J489</f>
        <v>39.1298105329352</v>
      </c>
      <c r="M489" s="31" t="n">
        <f aca="false">L489*'3. The decision'!$B$6*'3. The decision'!$B$7*K489</f>
        <v>1007998.75401739</v>
      </c>
      <c r="N489" s="31" t="n">
        <f aca="false">M489*(1+'3. The decision'!$B$19+'3. The decision'!$B$20+'3. The decision'!$B$22)</f>
        <v>1114846.62194324</v>
      </c>
      <c r="O489" s="31" t="n">
        <f aca="false">'3. The decision'!$B$17+'3. The decision'!$B$18*L489*12+M489*('3. The decision'!$B$20*(1-'3. The decision'!$B$21)+'3. The decision'!$B$23)+N489*('3. The decision'!$B$24+'3. The decision'!$B$25)</f>
        <v>595662.987524054</v>
      </c>
      <c r="P489" s="31" t="n">
        <f aca="false">N489-O489</f>
        <v>519183.634419184</v>
      </c>
    </row>
    <row r="490" customFormat="false" ht="15" hidden="false" customHeight="false" outlineLevel="0" collapsed="false">
      <c r="A490" s="27" t="n">
        <f aca="false">51*0.0025</f>
        <v>0.1275</v>
      </c>
      <c r="B490" s="27" t="n">
        <f aca="false">IF(A490&gt;0,MIN('3. The decision'!$B$15,'3. The decision'!$B$29*(A490/'3. The decision'!$B$28)^$B$436),0)</f>
        <v>0.112774329032516</v>
      </c>
      <c r="C490" s="15" t="n">
        <f aca="false">(1-'3. The decision'!$B$27-B490)*(1-'3. The decision'!$B$27)^('3. The decision'!$B$12-1)</f>
        <v>0.581794523798129</v>
      </c>
      <c r="D490" s="15" t="n">
        <f aca="false">1+(1-'3. The decision'!$B$27-B490)*(1-(1-'3. The decision'!$B$27)^('3. The decision'!$B$12-1))/'3. The decision'!$B$27</f>
        <v>4.59294958149406</v>
      </c>
      <c r="E490" s="15" t="n">
        <f aca="false">(1-'3. The decision'!$B$14)*(1-'3. The decision'!$B$27)^('3. The decision'!$B$11-1)</f>
        <v>0.690273454655712</v>
      </c>
      <c r="F490" s="15" t="n">
        <f aca="false">1+(1-'3. The decision'!$B$14)*(1-(1-'3. The decision'!$B$27)^('3. The decision'!$B$11-1))/'3. The decision'!$B$27</f>
        <v>4.28912098262087</v>
      </c>
      <c r="G490" s="15" t="n">
        <f aca="false">(1-(1-'3. The decision'!$B$9*MIN(1,('3. The decision'!$B$10/(52/12)))))+(1-(1-'3. The decision'!$B$9*MAX(0,MIN(1,('3. The decision'!$B$10/(52/12))-1))))*(1-'3. The decision'!$B$14)+(1-(1-'3. The decision'!$B$9*MAX(0,MIN(1,('3. The decision'!$B$10/(52/12))-2))))*(1-'3. The decision'!$B$14)*(1-'3. The decision'!$B$27)</f>
        <v>0.884576923076923</v>
      </c>
      <c r="H490" s="15" t="n">
        <f aca="false">IF(A490&lt;=0,0,MAX(0,ROUNDUP(LN('3. The decision'!$B$13)/LN(1+A490)-0.000000000001,0)-1))</f>
        <v>4</v>
      </c>
      <c r="I490" s="15" t="n">
        <f aca="false">IF(A490&lt;=0,1/(1-C490),(1+A490)*(1-(C490*(1+A490))^H490)/(1-C490*(1+A490))+'3. The decision'!$B$13*C490^H490/(1-C490))</f>
        <v>3.11434607893919</v>
      </c>
      <c r="J490" s="17" t="n">
        <f aca="false">F490+E490*D490/(1-C490)</f>
        <v>11.870062302354</v>
      </c>
      <c r="K490" s="15" t="n">
        <f aca="false">F490-G490+E490*D490*I490</f>
        <v>13.278239383104</v>
      </c>
      <c r="L490" s="17" t="n">
        <f aca="false">'3. The decision'!$B$8*'3. The decision'!$B$5/J490</f>
        <v>39.5650829824933</v>
      </c>
      <c r="M490" s="31" t="n">
        <f aca="false">L490*'3. The decision'!$B$6*'3. The decision'!$B$7*K490</f>
        <v>1007642.6714198</v>
      </c>
      <c r="N490" s="31" t="n">
        <f aca="false">M490*(1+'3. The decision'!$B$19+'3. The decision'!$B$20+'3. The decision'!$B$22)</f>
        <v>1114452.79459029</v>
      </c>
      <c r="O490" s="31" t="n">
        <f aca="false">'3. The decision'!$B$17+'3. The decision'!$B$18*L490*12+M490*('3. The decision'!$B$20*(1-'3. The decision'!$B$21)+'3. The decision'!$B$23)+N490*('3. The decision'!$B$24+'3. The decision'!$B$25)</f>
        <v>596284.028240909</v>
      </c>
      <c r="P490" s="31" t="n">
        <f aca="false">N490-O490</f>
        <v>518168.766349385</v>
      </c>
    </row>
    <row r="491" customFormat="false" ht="15" hidden="false" customHeight="false" outlineLevel="0" collapsed="false">
      <c r="A491" s="27" t="n">
        <f aca="false">52*0.0025</f>
        <v>0.13</v>
      </c>
      <c r="B491" s="27" t="n">
        <f aca="false">IF(A491&gt;0,MIN('3. The decision'!$B$15,'3. The decision'!$B$29*(A491/'3. The decision'!$B$28)^$B$436),0)</f>
        <v>0.119539037448673</v>
      </c>
      <c r="C491" s="15" t="n">
        <f aca="false">(1-'3. The decision'!$B$27-B491)*(1-'3. The decision'!$B$27)^('3. The decision'!$B$12-1)</f>
        <v>0.576999169575844</v>
      </c>
      <c r="D491" s="15" t="n">
        <f aca="false">1+(1-'3. The decision'!$B$27-B491)*(1-(1-'3. The decision'!$B$27)^('3. The decision'!$B$12-1))/'3. The decision'!$B$27</f>
        <v>4.56333523271402</v>
      </c>
      <c r="E491" s="15" t="n">
        <f aca="false">(1-'3. The decision'!$B$14)*(1-'3. The decision'!$B$27)^('3. The decision'!$B$11-1)</f>
        <v>0.690273454655712</v>
      </c>
      <c r="F491" s="15" t="n">
        <f aca="false">1+(1-'3. The decision'!$B$14)*(1-(1-'3. The decision'!$B$27)^('3. The decision'!$B$11-1))/'3. The decision'!$B$27</f>
        <v>4.28912098262087</v>
      </c>
      <c r="G491" s="15" t="n">
        <f aca="false">(1-(1-'3. The decision'!$B$9*MIN(1,('3. The decision'!$B$10/(52/12)))))+(1-(1-'3. The decision'!$B$9*MAX(0,MIN(1,('3. The decision'!$B$10/(52/12))-1))))*(1-'3. The decision'!$B$14)+(1-(1-'3. The decision'!$B$9*MAX(0,MIN(1,('3. The decision'!$B$10/(52/12))-2))))*(1-'3. The decision'!$B$14)*(1-'3. The decision'!$B$27)</f>
        <v>0.884576923076923</v>
      </c>
      <c r="H491" s="15" t="n">
        <f aca="false">IF(A491&lt;=0,0,MAX(0,ROUNDUP(LN('3. The decision'!$B$13)/LN(1+A491)-0.000000000001,0)-1))</f>
        <v>3</v>
      </c>
      <c r="I491" s="15" t="n">
        <f aca="false">IF(A491&lt;=0,1/(1-C491),(1+A491)*(1-(C491*(1+A491))^H491)/(1-C491*(1+A491))+'3. The decision'!$B$13*C491^H491/(1-C491))</f>
        <v>3.08284874545541</v>
      </c>
      <c r="J491" s="17" t="n">
        <f aca="false">F491+E491*D491/(1-C491)</f>
        <v>11.7357947224315</v>
      </c>
      <c r="K491" s="15" t="n">
        <f aca="false">F491-G491+E491*D491*I491</f>
        <v>13.1153609245233</v>
      </c>
      <c r="L491" s="17" t="n">
        <f aca="false">'3. The decision'!$B$8*'3. The decision'!$B$5/J491</f>
        <v>40.0177415426621</v>
      </c>
      <c r="M491" s="31" t="n">
        <f aca="false">L491*'3. The decision'!$B$6*'3. The decision'!$B$7*K491</f>
        <v>1006669.23728742</v>
      </c>
      <c r="N491" s="31" t="n">
        <f aca="false">M491*(1+'3. The decision'!$B$19+'3. The decision'!$B$20+'3. The decision'!$B$22)</f>
        <v>1113376.17643988</v>
      </c>
      <c r="O491" s="31" t="n">
        <f aca="false">'3. The decision'!$B$17+'3. The decision'!$B$18*L491*12+M491*('3. The decision'!$B$20*(1-'3. The decision'!$B$21)+'3. The decision'!$B$23)+N491*('3. The decision'!$B$24+'3. The decision'!$B$25)</f>
        <v>596864.96230816</v>
      </c>
      <c r="P491" s="31" t="n">
        <f aca="false">N491-O491</f>
        <v>516511.214131722</v>
      </c>
    </row>
    <row r="492" customFormat="false" ht="15" hidden="false" customHeight="false" outlineLevel="0" collapsed="false">
      <c r="A492" s="27" t="n">
        <f aca="false">53*0.0025</f>
        <v>0.1325</v>
      </c>
      <c r="B492" s="27" t="n">
        <f aca="false">IF(A492&gt;0,MIN('3. The decision'!$B$15,'3. The decision'!$B$29*(A492/'3. The decision'!$B$28)^$B$436),0)</f>
        <v>0.126568995208282</v>
      </c>
      <c r="C492" s="15" t="n">
        <f aca="false">(1-'3. The decision'!$B$27-B492)*(1-'3. The decision'!$B$27)^('3. The decision'!$B$12-1)</f>
        <v>0.572015785880472</v>
      </c>
      <c r="D492" s="15" t="n">
        <f aca="false">1+(1-'3. The decision'!$B$27-B492)*(1-(1-'3. The decision'!$B$27)^('3. The decision'!$B$12-1))/'3. The decision'!$B$27</f>
        <v>4.53255968287587</v>
      </c>
      <c r="E492" s="15" t="n">
        <f aca="false">(1-'3. The decision'!$B$14)*(1-'3. The decision'!$B$27)^('3. The decision'!$B$11-1)</f>
        <v>0.690273454655712</v>
      </c>
      <c r="F492" s="15" t="n">
        <f aca="false">1+(1-'3. The decision'!$B$14)*(1-(1-'3. The decision'!$B$27)^('3. The decision'!$B$11-1))/'3. The decision'!$B$27</f>
        <v>4.28912098262087</v>
      </c>
      <c r="G492" s="15" t="n">
        <f aca="false">(1-(1-'3. The decision'!$B$9*MIN(1,('3. The decision'!$B$10/(52/12)))))+(1-(1-'3. The decision'!$B$9*MAX(0,MIN(1,('3. The decision'!$B$10/(52/12))-1))))*(1-'3. The decision'!$B$14)+(1-(1-'3. The decision'!$B$9*MAX(0,MIN(1,('3. The decision'!$B$10/(52/12))-2))))*(1-'3. The decision'!$B$14)*(1-'3. The decision'!$B$27)</f>
        <v>0.884576923076923</v>
      </c>
      <c r="H492" s="15" t="n">
        <f aca="false">IF(A492&lt;=0,0,MAX(0,ROUNDUP(LN('3. The decision'!$B$13)/LN(1+A492)-0.000000000001,0)-1))</f>
        <v>3</v>
      </c>
      <c r="I492" s="15" t="n">
        <f aca="false">IF(A492&lt;=0,1/(1-C492),(1+A492)*(1-(C492*(1+A492))^H492)/(1-C492*(1+A492))+'3. The decision'!$B$13*C492^H492/(1-C492))</f>
        <v>3.04985518948795</v>
      </c>
      <c r="J492" s="17" t="n">
        <f aca="false">F492+E492*D492/(1-C492)</f>
        <v>11.5994504936485</v>
      </c>
      <c r="K492" s="15" t="n">
        <f aca="false">F492-G492+E492*D492*I492</f>
        <v>12.9466431638119</v>
      </c>
      <c r="L492" s="17" t="n">
        <f aca="false">'3. The decision'!$B$8*'3. The decision'!$B$5/J492</f>
        <v>40.4881248691188</v>
      </c>
      <c r="M492" s="31" t="n">
        <f aca="false">L492*'3. The decision'!$B$6*'3. The decision'!$B$7*K492</f>
        <v>1005399.85338576</v>
      </c>
      <c r="N492" s="31" t="n">
        <f aca="false">M492*(1+'3. The decision'!$B$19+'3. The decision'!$B$20+'3. The decision'!$B$22)</f>
        <v>1111972.23784465</v>
      </c>
      <c r="O492" s="31" t="n">
        <f aca="false">'3. The decision'!$B$17+'3. The decision'!$B$18*L492*12+M492*('3. The decision'!$B$20*(1-'3. The decision'!$B$21)+'3. The decision'!$B$23)+N492*('3. The decision'!$B$24+'3. The decision'!$B$25)</f>
        <v>597440.894240221</v>
      </c>
      <c r="P492" s="31" t="n">
        <f aca="false">N492-O492</f>
        <v>514531.343604429</v>
      </c>
    </row>
    <row r="493" customFormat="false" ht="15" hidden="false" customHeight="false" outlineLevel="0" collapsed="false">
      <c r="A493" s="27" t="n">
        <f aca="false">54*0.0025</f>
        <v>0.135</v>
      </c>
      <c r="B493" s="27" t="n">
        <f aca="false">IF(A493&gt;0,MIN('3. The decision'!$B$15,'3. The decision'!$B$29*(A493/'3. The decision'!$B$28)^$B$436),0)</f>
        <v>0.133869303260255</v>
      </c>
      <c r="C493" s="15" t="n">
        <f aca="false">(1-'3. The decision'!$B$27-B493)*(1-'3. The decision'!$B$27)^('3. The decision'!$B$12-1)</f>
        <v>0.566840756760608</v>
      </c>
      <c r="D493" s="15" t="n">
        <f aca="false">1+(1-'3. The decision'!$B$27-B493)*(1-(1-'3. The decision'!$B$27)^('3. The decision'!$B$12-1))/'3. The decision'!$B$27</f>
        <v>4.50060060119004</v>
      </c>
      <c r="E493" s="15" t="n">
        <f aca="false">(1-'3. The decision'!$B$14)*(1-'3. The decision'!$B$27)^('3. The decision'!$B$11-1)</f>
        <v>0.690273454655712</v>
      </c>
      <c r="F493" s="15" t="n">
        <f aca="false">1+(1-'3. The decision'!$B$14)*(1-(1-'3. The decision'!$B$27)^('3. The decision'!$B$11-1))/'3. The decision'!$B$27</f>
        <v>4.28912098262087</v>
      </c>
      <c r="G493" s="15" t="n">
        <f aca="false">(1-(1-'3. The decision'!$B$9*MIN(1,('3. The decision'!$B$10/(52/12)))))+(1-(1-'3. The decision'!$B$9*MAX(0,MIN(1,('3. The decision'!$B$10/(52/12))-1))))*(1-'3. The decision'!$B$14)+(1-(1-'3. The decision'!$B$9*MAX(0,MIN(1,('3. The decision'!$B$10/(52/12))-2))))*(1-'3. The decision'!$B$14)*(1-'3. The decision'!$B$27)</f>
        <v>0.884576923076923</v>
      </c>
      <c r="H493" s="15" t="n">
        <f aca="false">IF(A493&lt;=0,0,MAX(0,ROUNDUP(LN('3. The decision'!$B$13)/LN(1+A493)-0.000000000001,0)-1))</f>
        <v>3</v>
      </c>
      <c r="I493" s="15" t="n">
        <f aca="false">IF(A493&lt;=0,1/(1-C493),(1+A493)*(1-(C493*(1+A493))^H493)/(1-C493*(1+A493))+'3. The decision'!$B$13*C493^H493/(1-C493))</f>
        <v>3.01617722642647</v>
      </c>
      <c r="J493" s="17" t="n">
        <f aca="false">F493+E493*D493/(1-C493)</f>
        <v>11.4611833903763</v>
      </c>
      <c r="K493" s="15" t="n">
        <f aca="false">F493-G493+E493*D493*I493</f>
        <v>12.774736336185</v>
      </c>
      <c r="L493" s="17" t="n">
        <f aca="false">'3. The decision'!$B$8*'3. The decision'!$B$5/J493</f>
        <v>40.9765714415099</v>
      </c>
      <c r="M493" s="31" t="n">
        <f aca="false">L493*'3. The decision'!$B$6*'3. The decision'!$B$7*K493</f>
        <v>1004018.09197085</v>
      </c>
      <c r="N493" s="31" t="n">
        <f aca="false">M493*(1+'3. The decision'!$B$19+'3. The decision'!$B$20+'3. The decision'!$B$22)</f>
        <v>1110444.00971976</v>
      </c>
      <c r="O493" s="31" t="n">
        <f aca="false">'3. The decision'!$B$17+'3. The decision'!$B$18*L493*12+M493*('3. The decision'!$B$20*(1-'3. The decision'!$B$21)+'3. The decision'!$B$23)+N493*('3. The decision'!$B$24+'3. The decision'!$B$25)</f>
        <v>598032.094108235</v>
      </c>
      <c r="P493" s="31" t="n">
        <f aca="false">N493-O493</f>
        <v>512411.915611529</v>
      </c>
    </row>
    <row r="494" customFormat="false" ht="15" hidden="false" customHeight="false" outlineLevel="0" collapsed="false">
      <c r="A494" s="27" t="n">
        <f aca="false">55*0.0025</f>
        <v>0.1375</v>
      </c>
      <c r="B494" s="27" t="n">
        <f aca="false">IF(A494&gt;0,MIN('3. The decision'!$B$15,'3. The decision'!$B$29*(A494/'3. The decision'!$B$28)^$B$436),0)</f>
        <v>0.141445062553503</v>
      </c>
      <c r="C494" s="15" t="n">
        <f aca="false">(1-'3. The decision'!$B$27-B494)*(1-'3. The decision'!$B$27)^('3. The decision'!$B$12-1)</f>
        <v>0.561470466264846</v>
      </c>
      <c r="D494" s="15" t="n">
        <f aca="false">1+(1-'3. The decision'!$B$27-B494)*(1-(1-'3. The decision'!$B$27)^('3. The decision'!$B$12-1))/'3. The decision'!$B$27</f>
        <v>4.46743565686693</v>
      </c>
      <c r="E494" s="15" t="n">
        <f aca="false">(1-'3. The decision'!$B$14)*(1-'3. The decision'!$B$27)^('3. The decision'!$B$11-1)</f>
        <v>0.690273454655712</v>
      </c>
      <c r="F494" s="15" t="n">
        <f aca="false">1+(1-'3. The decision'!$B$14)*(1-(1-'3. The decision'!$B$27)^('3. The decision'!$B$11-1))/'3. The decision'!$B$27</f>
        <v>4.28912098262087</v>
      </c>
      <c r="G494" s="15" t="n">
        <f aca="false">(1-(1-'3. The decision'!$B$9*MIN(1,('3. The decision'!$B$10/(52/12)))))+(1-(1-'3. The decision'!$B$9*MAX(0,MIN(1,('3. The decision'!$B$10/(52/12))-1))))*(1-'3. The decision'!$B$14)+(1-(1-'3. The decision'!$B$9*MAX(0,MIN(1,('3. The decision'!$B$10/(52/12))-2))))*(1-'3. The decision'!$B$14)*(1-'3. The decision'!$B$27)</f>
        <v>0.884576923076923</v>
      </c>
      <c r="H494" s="15" t="n">
        <f aca="false">IF(A494&lt;=0,0,MAX(0,ROUNDUP(LN('3. The decision'!$B$13)/LN(1+A494)-0.000000000001,0)-1))</f>
        <v>3</v>
      </c>
      <c r="I494" s="15" t="n">
        <f aca="false">IF(A494&lt;=0,1/(1-C494),(1+A494)*(1-(C494*(1+A494))^H494)/(1-C494*(1+A494))+'3. The decision'!$B$13*C494^H494/(1-C494))</f>
        <v>2.98185782605929</v>
      </c>
      <c r="J494" s="17" t="n">
        <f aca="false">F494+E494*D494/(1-C494)</f>
        <v>11.3211496308443</v>
      </c>
      <c r="K494" s="15" t="n">
        <f aca="false">F494-G494+E494*D494*I494</f>
        <v>12.5998548228904</v>
      </c>
      <c r="L494" s="17" t="n">
        <f aca="false">'3. The decision'!$B$8*'3. The decision'!$B$5/J494</f>
        <v>41.4834195566566</v>
      </c>
      <c r="M494" s="31" t="n">
        <f aca="false">L494*'3. The decision'!$B$6*'3. The decision'!$B$7*K494</f>
        <v>1002522.35539267</v>
      </c>
      <c r="N494" s="31" t="n">
        <f aca="false">M494*(1+'3. The decision'!$B$19+'3. The decision'!$B$20+'3. The decision'!$B$22)</f>
        <v>1108789.72506429</v>
      </c>
      <c r="O494" s="31" t="n">
        <f aca="false">'3. The decision'!$B$17+'3. The decision'!$B$18*L494*12+M494*('3. The decision'!$B$20*(1-'3. The decision'!$B$21)+'3. The decision'!$B$23)+N494*('3. The decision'!$B$24+'3. The decision'!$B$25)</f>
        <v>598638.902424915</v>
      </c>
      <c r="P494" s="31" t="n">
        <f aca="false">N494-O494</f>
        <v>510150.822639377</v>
      </c>
    </row>
    <row r="495" customFormat="false" ht="15" hidden="false" customHeight="false" outlineLevel="0" collapsed="false">
      <c r="A495" s="27" t="n">
        <f aca="false">56*0.0025</f>
        <v>0.14</v>
      </c>
      <c r="B495" s="27" t="n">
        <f aca="false">IF(A495&gt;0,MIN('3. The decision'!$B$15,'3. The decision'!$B$29*(A495/'3. The decision'!$B$28)^$B$436),0)</f>
        <v>0.149301374036941</v>
      </c>
      <c r="C495" s="15" t="n">
        <f aca="false">(1-'3. The decision'!$B$27-B495)*(1-'3. The decision'!$B$27)^('3. The decision'!$B$12-1)</f>
        <v>0.55590129844178</v>
      </c>
      <c r="D495" s="15" t="n">
        <f aca="false">1+(1-'3. The decision'!$B$27-B495)*(1-(1-'3. The decision'!$B$27)^('3. The decision'!$B$12-1))/'3. The decision'!$B$27</f>
        <v>4.43304251911699</v>
      </c>
      <c r="E495" s="15" t="n">
        <f aca="false">(1-'3. The decision'!$B$14)*(1-'3. The decision'!$B$27)^('3. The decision'!$B$11-1)</f>
        <v>0.690273454655712</v>
      </c>
      <c r="F495" s="15" t="n">
        <f aca="false">1+(1-'3. The decision'!$B$14)*(1-(1-'3. The decision'!$B$27)^('3. The decision'!$B$11-1))/'3. The decision'!$B$27</f>
        <v>4.28912098262087</v>
      </c>
      <c r="G495" s="15" t="n">
        <f aca="false">(1-(1-'3. The decision'!$B$9*MIN(1,('3. The decision'!$B$10/(52/12)))))+(1-(1-'3. The decision'!$B$9*MAX(0,MIN(1,('3. The decision'!$B$10/(52/12))-1))))*(1-'3. The decision'!$B$14)+(1-(1-'3. The decision'!$B$9*MAX(0,MIN(1,('3. The decision'!$B$10/(52/12))-2))))*(1-'3. The decision'!$B$14)*(1-'3. The decision'!$B$27)</f>
        <v>0.884576923076923</v>
      </c>
      <c r="H495" s="15" t="n">
        <f aca="false">IF(A495&lt;=0,0,MAX(0,ROUNDUP(LN('3. The decision'!$B$13)/LN(1+A495)-0.000000000001,0)-1))</f>
        <v>3</v>
      </c>
      <c r="I495" s="15" t="n">
        <f aca="false">IF(A495&lt;=0,1/(1-C495),(1+A495)*(1-(C495*(1+A495))^H495)/(1-C495*(1+A495))+'3. The decision'!$B$13*C495^H495/(1-C495))</f>
        <v>2.94694041638741</v>
      </c>
      <c r="J495" s="17" t="n">
        <f aca="false">F495+E495*D495/(1-C495)</f>
        <v>11.1795072043545</v>
      </c>
      <c r="K495" s="15" t="n">
        <f aca="false">F495-G495+E495*D495*I495</f>
        <v>12.4222158424812</v>
      </c>
      <c r="L495" s="17" t="n">
        <f aca="false">'3. The decision'!$B$8*'3. The decision'!$B$5/J495</f>
        <v>42.0090073216352</v>
      </c>
      <c r="M495" s="31" t="n">
        <f aca="false">L495*'3. The decision'!$B$6*'3. The decision'!$B$7*K495</f>
        <v>1000911.00890235</v>
      </c>
      <c r="N495" s="31" t="n">
        <f aca="false">M495*(1+'3. The decision'!$B$19+'3. The decision'!$B$20+'3. The decision'!$B$22)</f>
        <v>1107007.575846</v>
      </c>
      <c r="O495" s="31" t="n">
        <f aca="false">'3. The decision'!$B$17+'3. The decision'!$B$18*L495*12+M495*('3. The decision'!$B$20*(1-'3. The decision'!$B$21)+'3. The decision'!$B$23)+N495*('3. The decision'!$B$24+'3. The decision'!$B$25)</f>
        <v>599261.655422706</v>
      </c>
      <c r="P495" s="31" t="n">
        <f aca="false">N495-O495</f>
        <v>507745.920423291</v>
      </c>
    </row>
    <row r="496" customFormat="false" ht="15" hidden="false" customHeight="false" outlineLevel="0" collapsed="false">
      <c r="A496" s="27" t="n">
        <f aca="false">57*0.0025</f>
        <v>0.1425</v>
      </c>
      <c r="B496" s="27" t="n">
        <f aca="false">IF(A496&gt;0,MIN('3. The decision'!$B$15,'3. The decision'!$B$29*(A496/'3. The decision'!$B$28)^$B$436),0)</f>
        <v>0.15744333865948</v>
      </c>
      <c r="C496" s="15" t="n">
        <f aca="false">(1-'3. The decision'!$B$27-B496)*(1-'3. The decision'!$B$27)^('3. The decision'!$B$12-1)</f>
        <v>0.550129637340005</v>
      </c>
      <c r="D496" s="15" t="n">
        <f aca="false">1+(1-'3. The decision'!$B$27-B496)*(1-(1-'3. The decision'!$B$27)^('3. The decision'!$B$12-1))/'3. The decision'!$B$27</f>
        <v>4.39739885715061</v>
      </c>
      <c r="E496" s="15" t="n">
        <f aca="false">(1-'3. The decision'!$B$14)*(1-'3. The decision'!$B$27)^('3. The decision'!$B$11-1)</f>
        <v>0.690273454655712</v>
      </c>
      <c r="F496" s="15" t="n">
        <f aca="false">1+(1-'3. The decision'!$B$14)*(1-(1-'3. The decision'!$B$27)^('3. The decision'!$B$11-1))/'3. The decision'!$B$27</f>
        <v>4.28912098262087</v>
      </c>
      <c r="G496" s="15" t="n">
        <f aca="false">(1-(1-'3. The decision'!$B$9*MIN(1,('3. The decision'!$B$10/(52/12)))))+(1-(1-'3. The decision'!$B$9*MAX(0,MIN(1,('3. The decision'!$B$10/(52/12))-1))))*(1-'3. The decision'!$B$14)+(1-(1-'3. The decision'!$B$9*MAX(0,MIN(1,('3. The decision'!$B$10/(52/12))-2))))*(1-'3. The decision'!$B$14)*(1-'3. The decision'!$B$27)</f>
        <v>0.884576923076923</v>
      </c>
      <c r="H496" s="15" t="n">
        <f aca="false">IF(A496&lt;=0,0,MAX(0,ROUNDUP(LN('3. The decision'!$B$13)/LN(1+A496)-0.000000000001,0)-1))</f>
        <v>3</v>
      </c>
      <c r="I496" s="15" t="n">
        <f aca="false">IF(A496&lt;=0,1/(1-C496),(1+A496)*(1-(C496*(1+A496))^H496)/(1-C496*(1+A496))+'3. The decision'!$B$13*C496^H496/(1-C496))</f>
        <v>2.91146868402601</v>
      </c>
      <c r="J496" s="17" t="n">
        <f aca="false">F496+E496*D496/(1-C496)</f>
        <v>11.0364152090657</v>
      </c>
      <c r="K496" s="15" t="n">
        <f aca="false">F496-G496+E496*D496*I496</f>
        <v>12.2420385231634</v>
      </c>
      <c r="L496" s="17" t="n">
        <f aca="false">'3. The decision'!$B$8*'3. The decision'!$B$5/J496</f>
        <v>42.5536726467323</v>
      </c>
      <c r="M496" s="31" t="n">
        <f aca="false">L496*'3. The decision'!$B$6*'3. The decision'!$B$7*K496</f>
        <v>999182.377675532</v>
      </c>
      <c r="N496" s="31" t="n">
        <f aca="false">M496*(1+'3. The decision'!$B$19+'3. The decision'!$B$20+'3. The decision'!$B$22)</f>
        <v>1105095.70970914</v>
      </c>
      <c r="O496" s="31" t="n">
        <f aca="false">'3. The decision'!$B$17+'3. The decision'!$B$18*L496*12+M496*('3. The decision'!$B$20*(1-'3. The decision'!$B$21)+'3. The decision'!$B$23)+N496*('3. The decision'!$B$24+'3. The decision'!$B$25)</f>
        <v>599900.684722744</v>
      </c>
      <c r="P496" s="31" t="n">
        <f aca="false">N496-O496</f>
        <v>505195.024986394</v>
      </c>
    </row>
    <row r="497" customFormat="false" ht="15" hidden="false" customHeight="false" outlineLevel="0" collapsed="false">
      <c r="A497" s="27" t="n">
        <f aca="false">58*0.0025</f>
        <v>0.145</v>
      </c>
      <c r="B497" s="27" t="n">
        <f aca="false">IF(A497&gt;0,MIN('3. The decision'!$B$15,'3. The decision'!$B$29*(A497/'3. The decision'!$B$28)^$B$436),0)</f>
        <v>0.165876057370032</v>
      </c>
      <c r="C497" s="15" t="n">
        <f aca="false">(1-'3. The decision'!$B$27-B497)*(1-'3. The decision'!$B$27)^('3. The decision'!$B$12-1)</f>
        <v>0.544151867008115</v>
      </c>
      <c r="D497" s="15" t="n">
        <f aca="false">1+(1-'3. The decision'!$B$27-B497)*(1-(1-'3. The decision'!$B$27)^('3. The decision'!$B$12-1))/'3. The decision'!$B$27</f>
        <v>4.36048234017823</v>
      </c>
      <c r="E497" s="15" t="n">
        <f aca="false">(1-'3. The decision'!$B$14)*(1-'3. The decision'!$B$27)^('3. The decision'!$B$11-1)</f>
        <v>0.690273454655712</v>
      </c>
      <c r="F497" s="15" t="n">
        <f aca="false">1+(1-'3. The decision'!$B$14)*(1-(1-'3. The decision'!$B$27)^('3. The decision'!$B$11-1))/'3. The decision'!$B$27</f>
        <v>4.28912098262087</v>
      </c>
      <c r="G497" s="15" t="n">
        <f aca="false">(1-(1-'3. The decision'!$B$9*MIN(1,('3. The decision'!$B$10/(52/12)))))+(1-(1-'3. The decision'!$B$9*MAX(0,MIN(1,('3. The decision'!$B$10/(52/12))-1))))*(1-'3. The decision'!$B$14)+(1-(1-'3. The decision'!$B$9*MAX(0,MIN(1,('3. The decision'!$B$10/(52/12))-2))))*(1-'3. The decision'!$B$14)*(1-'3. The decision'!$B$27)</f>
        <v>0.884576923076923</v>
      </c>
      <c r="H497" s="15" t="n">
        <f aca="false">IF(A497&lt;=0,0,MAX(0,ROUNDUP(LN('3. The decision'!$B$13)/LN(1+A497)-0.000000000001,0)-1))</f>
        <v>3</v>
      </c>
      <c r="I497" s="15" t="n">
        <f aca="false">IF(A497&lt;=0,1/(1-C497),(1+A497)*(1-(C497*(1+A497))^H497)/(1-C497*(1+A497))+'3. The decision'!$B$13*C497^H497/(1-C497))</f>
        <v>2.87548638066927</v>
      </c>
      <c r="J497" s="17" t="n">
        <f aca="false">F497+E497*D497/(1-C497)</f>
        <v>10.8920332050861</v>
      </c>
      <c r="K497" s="15" t="n">
        <f aca="false">F497-G497+E497*D497*I497</f>
        <v>12.0595430046267</v>
      </c>
      <c r="L497" s="17" t="n">
        <f aca="false">'3. The decision'!$B$8*'3. The decision'!$B$5/J497</f>
        <v>43.1177532382752</v>
      </c>
      <c r="M497" s="31" t="n">
        <f aca="false">L497*'3. The decision'!$B$6*'3. The decision'!$B$7*K497</f>
        <v>997334.744643605</v>
      </c>
      <c r="N497" s="31" t="n">
        <f aca="false">M497*(1+'3. The decision'!$B$19+'3. The decision'!$B$20+'3. The decision'!$B$22)</f>
        <v>1103052.22757583</v>
      </c>
      <c r="O497" s="31" t="n">
        <f aca="false">'3. The decision'!$B$17+'3. The decision'!$B$18*L497*12+M497*('3. The decision'!$B$20*(1-'3. The decision'!$B$21)+'3. The decision'!$B$23)+N497*('3. The decision'!$B$24+'3. The decision'!$B$25)</f>
        <v>600556.31709058</v>
      </c>
      <c r="P497" s="31" t="n">
        <f aca="false">N497-O497</f>
        <v>502495.910485247</v>
      </c>
    </row>
    <row r="498" customFormat="false" ht="15" hidden="false" customHeight="false" outlineLevel="0" collapsed="false">
      <c r="A498" s="27" t="n">
        <f aca="false">59*0.0025</f>
        <v>0.1475</v>
      </c>
      <c r="B498" s="27" t="n">
        <f aca="false">IF(A498&gt;0,MIN('3. The decision'!$B$15,'3. The decision'!$B$29*(A498/'3. The decision'!$B$28)^$B$436),0)</f>
        <v>0.174604631117511</v>
      </c>
      <c r="C498" s="15" t="n">
        <f aca="false">(1-'3. The decision'!$B$27-B498)*(1-'3. The decision'!$B$27)^('3. The decision'!$B$12-1)</f>
        <v>0.537964371494705</v>
      </c>
      <c r="D498" s="15" t="n">
        <f aca="false">1+(1-'3. The decision'!$B$27-B498)*(1-(1-'3. The decision'!$B$27)^('3. The decision'!$B$12-1))/'3. The decision'!$B$27</f>
        <v>4.32227063741027</v>
      </c>
      <c r="E498" s="15" t="n">
        <f aca="false">(1-'3. The decision'!$B$14)*(1-'3. The decision'!$B$27)^('3. The decision'!$B$11-1)</f>
        <v>0.690273454655712</v>
      </c>
      <c r="F498" s="15" t="n">
        <f aca="false">1+(1-'3. The decision'!$B$14)*(1-(1-'3. The decision'!$B$27)^('3. The decision'!$B$11-1))/'3. The decision'!$B$27</f>
        <v>4.28912098262087</v>
      </c>
      <c r="G498" s="15" t="n">
        <f aca="false">(1-(1-'3. The decision'!$B$9*MIN(1,('3. The decision'!$B$10/(52/12)))))+(1-(1-'3. The decision'!$B$9*MAX(0,MIN(1,('3. The decision'!$B$10/(52/12))-1))))*(1-'3. The decision'!$B$14)+(1-(1-'3. The decision'!$B$9*MAX(0,MIN(1,('3. The decision'!$B$10/(52/12))-2))))*(1-'3. The decision'!$B$14)*(1-'3. The decision'!$B$27)</f>
        <v>0.884576923076923</v>
      </c>
      <c r="H498" s="15" t="n">
        <f aca="false">IF(A498&lt;=0,0,MAX(0,ROUNDUP(LN('3. The decision'!$B$13)/LN(1+A498)-0.000000000001,0)-1))</f>
        <v>3</v>
      </c>
      <c r="I498" s="15" t="n">
        <f aca="false">IF(A498&lt;=0,1/(1-C498),(1+A498)*(1-(C498*(1+A498))^H498)/(1-C498*(1+A498))+'3. The decision'!$B$13*C498^H498/(1-C498))</f>
        <v>2.83903713708732</v>
      </c>
      <c r="J498" s="17" t="n">
        <f aca="false">F498+E498*D498/(1-C498)</f>
        <v>10.7465205872662</v>
      </c>
      <c r="K498" s="15" t="n">
        <f aca="false">F498-G498+E498*D498*I498</f>
        <v>11.8749495761188</v>
      </c>
      <c r="L498" s="17" t="n">
        <f aca="false">'3. The decision'!$B$8*'3. The decision'!$B$5/J498</f>
        <v>43.7015865913371</v>
      </c>
      <c r="M498" s="31" t="n">
        <f aca="false">L498*'3. The decision'!$B$6*'3. The decision'!$B$7*K498</f>
        <v>995366.349255185</v>
      </c>
      <c r="N498" s="31" t="n">
        <f aca="false">M498*(1+'3. The decision'!$B$19+'3. The decision'!$B$20+'3. The decision'!$B$22)</f>
        <v>1100875.18227623</v>
      </c>
      <c r="O498" s="31" t="n">
        <f aca="false">'3. The decision'!$B$17+'3. The decision'!$B$18*L498*12+M498*('3. The decision'!$B$20*(1-'3. The decision'!$B$21)+'3. The decision'!$B$23)+N498*('3. The decision'!$B$24+'3. The decision'!$B$25)</f>
        <v>601228.874291828</v>
      </c>
      <c r="P498" s="31" t="n">
        <f aca="false">N498-O498</f>
        <v>499646.307984406</v>
      </c>
    </row>
    <row r="499" customFormat="false" ht="15" hidden="false" customHeight="false" outlineLevel="0" collapsed="false">
      <c r="A499" s="27" t="n">
        <f aca="false">60*0.0025</f>
        <v>0.15</v>
      </c>
      <c r="B499" s="27" t="n">
        <f aca="false">IF(A499&gt;0,MIN('3. The decision'!$B$15,'3. The decision'!$B$29*(A499/'3. The decision'!$B$28)^$B$436),0)</f>
        <v>0.183634160850829</v>
      </c>
      <c r="C499" s="15" t="n">
        <f aca="false">(1-'3. The decision'!$B$27-B499)*(1-'3. The decision'!$B$27)^('3. The decision'!$B$12-1)</f>
        <v>0.53156353484837</v>
      </c>
      <c r="D499" s="15" t="n">
        <f aca="false">1+(1-'3. The decision'!$B$27-B499)*(1-(1-'3. The decision'!$B$27)^('3. The decision'!$B$12-1))/'3. The decision'!$B$27</f>
        <v>4.28274141805715</v>
      </c>
      <c r="E499" s="15" t="n">
        <f aca="false">(1-'3. The decision'!$B$14)*(1-'3. The decision'!$B$27)^('3. The decision'!$B$11-1)</f>
        <v>0.690273454655712</v>
      </c>
      <c r="F499" s="15" t="n">
        <f aca="false">1+(1-'3. The decision'!$B$14)*(1-(1-'3. The decision'!$B$27)^('3. The decision'!$B$11-1))/'3. The decision'!$B$27</f>
        <v>4.28912098262087</v>
      </c>
      <c r="G499" s="15" t="n">
        <f aca="false">(1-(1-'3. The decision'!$B$9*MIN(1,('3. The decision'!$B$10/(52/12)))))+(1-(1-'3. The decision'!$B$9*MAX(0,MIN(1,('3. The decision'!$B$10/(52/12))-1))))*(1-'3. The decision'!$B$14)+(1-(1-'3. The decision'!$B$9*MAX(0,MIN(1,('3. The decision'!$B$10/(52/12))-2))))*(1-'3. The decision'!$B$14)*(1-'3. The decision'!$B$27)</f>
        <v>0.884576923076923</v>
      </c>
      <c r="H499" s="15" t="n">
        <f aca="false">IF(A499&lt;=0,0,MAX(0,ROUNDUP(LN('3. The decision'!$B$13)/LN(1+A499)-0.000000000001,0)-1))</f>
        <v>3</v>
      </c>
      <c r="I499" s="15" t="n">
        <f aca="false">IF(A499&lt;=0,1/(1-C499),(1+A499)*(1-(C499*(1+A499))^H499)/(1-C499*(1+A499))+'3. The decision'!$B$13*C499^H499/(1-C499))</f>
        <v>2.80216428599697</v>
      </c>
      <c r="J499" s="17" t="n">
        <f aca="false">F499+E499*D499/(1-C499)</f>
        <v>10.6000359816966</v>
      </c>
      <c r="K499" s="15" t="n">
        <f aca="false">F499-G499+E499*D499*I499</f>
        <v>11.6884778568497</v>
      </c>
      <c r="L499" s="17" t="n">
        <f aca="false">'3. The decision'!$B$8*'3. The decision'!$B$5/J499</f>
        <v>44.3055099823193</v>
      </c>
      <c r="M499" s="31" t="n">
        <f aca="false">L499*'3. The decision'!$B$6*'3. The decision'!$B$7*K499</f>
        <v>993275.387293281</v>
      </c>
      <c r="N499" s="31" t="n">
        <f aca="false">M499*(1+'3. The decision'!$B$19+'3. The decision'!$B$20+'3. The decision'!$B$22)</f>
        <v>1098562.57834637</v>
      </c>
      <c r="O499" s="31" t="n">
        <f aca="false">'3. The decision'!$B$17+'3. The decision'!$B$18*L499*12+M499*('3. The decision'!$B$20*(1-'3. The decision'!$B$21)+'3. The decision'!$B$23)+N499*('3. The decision'!$B$24+'3. The decision'!$B$25)</f>
        <v>601918.673061253</v>
      </c>
      <c r="P499" s="31" t="n">
        <f aca="false">N499-O499</f>
        <v>496643.905285115</v>
      </c>
    </row>
    <row r="500" customFormat="false" ht="15" hidden="false" customHeight="false" outlineLevel="0" collapsed="false">
      <c r="A500" s="27" t="n">
        <f aca="false">61*0.0025</f>
        <v>0.1525</v>
      </c>
      <c r="B500" s="27" t="n">
        <f aca="false">IF(A500&gt;0,MIN('3. The decision'!$B$15,'3. The decision'!$B$29*(A500/'3. The decision'!$B$28)^$B$436),0)</f>
        <v>0.192969747518898</v>
      </c>
      <c r="C500" s="15" t="n">
        <f aca="false">(1-'3. The decision'!$B$27-B500)*(1-'3. The decision'!$B$27)^('3. The decision'!$B$12-1)</f>
        <v>0.524945741117704</v>
      </c>
      <c r="D500" s="15" t="n">
        <f aca="false">1+(1-'3. The decision'!$B$27-B500)*(1-(1-'3. The decision'!$B$27)^('3. The decision'!$B$12-1))/'3. The decision'!$B$27</f>
        <v>4.24187235132929</v>
      </c>
      <c r="E500" s="15" t="n">
        <f aca="false">(1-'3. The decision'!$B$14)*(1-'3. The decision'!$B$27)^('3. The decision'!$B$11-1)</f>
        <v>0.690273454655712</v>
      </c>
      <c r="F500" s="15" t="n">
        <f aca="false">1+(1-'3. The decision'!$B$14)*(1-(1-'3. The decision'!$B$27)^('3. The decision'!$B$11-1))/'3. The decision'!$B$27</f>
        <v>4.28912098262087</v>
      </c>
      <c r="G500" s="15" t="n">
        <f aca="false">(1-(1-'3. The decision'!$B$9*MIN(1,('3. The decision'!$B$10/(52/12)))))+(1-(1-'3. The decision'!$B$9*MAX(0,MIN(1,('3. The decision'!$B$10/(52/12))-1))))*(1-'3. The decision'!$B$14)+(1-(1-'3. The decision'!$B$9*MAX(0,MIN(1,('3. The decision'!$B$10/(52/12))-2))))*(1-'3. The decision'!$B$14)*(1-'3. The decision'!$B$27)</f>
        <v>0.884576923076923</v>
      </c>
      <c r="H500" s="15" t="n">
        <f aca="false">IF(A500&lt;=0,0,MAX(0,ROUNDUP(LN('3. The decision'!$B$13)/LN(1+A500)-0.000000000001,0)-1))</f>
        <v>3</v>
      </c>
      <c r="I500" s="15" t="n">
        <f aca="false">IF(A500&lt;=0,1/(1-C500),(1+A500)*(1-(C500*(1+A500))^H500)/(1-C500*(1+A500))+'3. The decision'!$B$13*C500^H500/(1-C500))</f>
        <v>2.76491069501043</v>
      </c>
      <c r="J500" s="17" t="n">
        <f aca="false">F500+E500*D500/(1-C500)</f>
        <v>10.4527366694894</v>
      </c>
      <c r="K500" s="15" t="n">
        <f aca="false">F500-G500+E500*D500*I500</f>
        <v>11.5003460240752</v>
      </c>
      <c r="L500" s="17" t="n">
        <f aca="false">'3. The decision'!$B$8*'3. The decision'!$B$5/J500</f>
        <v>44.9298604614079</v>
      </c>
      <c r="M500" s="31" t="n">
        <f aca="false">L500*'3. The decision'!$B$6*'3. The decision'!$B$7*K500</f>
        <v>991060.011875561</v>
      </c>
      <c r="N500" s="31" t="n">
        <f aca="false">M500*(1+'3. The decision'!$B$19+'3. The decision'!$B$20+'3. The decision'!$B$22)</f>
        <v>1096112.37313437</v>
      </c>
      <c r="O500" s="31" t="n">
        <f aca="false">'3. The decision'!$B$17+'3. The decision'!$B$18*L500*12+M500*('3. The decision'!$B$20*(1-'3. The decision'!$B$21)+'3. The decision'!$B$23)+N500*('3. The decision'!$B$24+'3. The decision'!$B$25)</f>
        <v>602626.025199001</v>
      </c>
      <c r="P500" s="31" t="n">
        <f aca="false">N500-O500</f>
        <v>493486.347935369</v>
      </c>
    </row>
    <row r="501" customFormat="false" ht="15" hidden="false" customHeight="false" outlineLevel="0" collapsed="false">
      <c r="A501" s="27" t="n">
        <f aca="false">62*0.0025</f>
        <v>0.155</v>
      </c>
      <c r="B501" s="27" t="n">
        <f aca="false">IF(A501&gt;0,MIN('3. The decision'!$B$15,'3. The decision'!$B$29*(A501/'3. The decision'!$B$28)^$B$436),0)</f>
        <v>0.202616492070632</v>
      </c>
      <c r="C501" s="15" t="n">
        <f aca="false">(1-'3. The decision'!$B$27-B501)*(1-'3. The decision'!$B$27)^('3. The decision'!$B$12-1)</f>
        <v>0.518107374351301</v>
      </c>
      <c r="D501" s="15" t="n">
        <f aca="false">1+(1-'3. The decision'!$B$27-B501)*(1-(1-'3. The decision'!$B$27)^('3. The decision'!$B$12-1))/'3. The decision'!$B$27</f>
        <v>4.1996411064371</v>
      </c>
      <c r="E501" s="15" t="n">
        <f aca="false">(1-'3. The decision'!$B$14)*(1-'3. The decision'!$B$27)^('3. The decision'!$B$11-1)</f>
        <v>0.690273454655712</v>
      </c>
      <c r="F501" s="15" t="n">
        <f aca="false">1+(1-'3. The decision'!$B$14)*(1-(1-'3. The decision'!$B$27)^('3. The decision'!$B$11-1))/'3. The decision'!$B$27</f>
        <v>4.28912098262087</v>
      </c>
      <c r="G501" s="15" t="n">
        <f aca="false">(1-(1-'3. The decision'!$B$9*MIN(1,('3. The decision'!$B$10/(52/12)))))+(1-(1-'3. The decision'!$B$9*MAX(0,MIN(1,('3. The decision'!$B$10/(52/12))-1))))*(1-'3. The decision'!$B$14)+(1-(1-'3. The decision'!$B$9*MAX(0,MIN(1,('3. The decision'!$B$10/(52/12))-2))))*(1-'3. The decision'!$B$14)*(1-'3. The decision'!$B$27)</f>
        <v>0.884576923076923</v>
      </c>
      <c r="H501" s="15" t="n">
        <f aca="false">IF(A501&lt;=0,0,MAX(0,ROUNDUP(LN('3. The decision'!$B$13)/LN(1+A501)-0.000000000001,0)-1))</f>
        <v>3</v>
      </c>
      <c r="I501" s="15" t="n">
        <f aca="false">IF(A501&lt;=0,1/(1-C501),(1+A501)*(1-(C501*(1+A501))^H501)/(1-C501*(1+A501))+'3. The decision'!$B$13*C501^H501/(1-C501))</f>
        <v>2.72731861072026</v>
      </c>
      <c r="J501" s="17" t="n">
        <f aca="false">F501+E501*D501/(1-C501)</f>
        <v>10.3047780409793</v>
      </c>
      <c r="K501" s="15" t="n">
        <f aca="false">F501-G501+E501*D501*I501</f>
        <v>11.3107700934359</v>
      </c>
      <c r="L501" s="17" t="n">
        <f aca="false">'3. The decision'!$B$8*'3. The decision'!$B$5/J501</f>
        <v>45.5749748449087</v>
      </c>
      <c r="M501" s="31" t="n">
        <f aca="false">L501*'3. The decision'!$B$6*'3. The decision'!$B$7*K501</f>
        <v>988718.335766144</v>
      </c>
      <c r="N501" s="31" t="n">
        <f aca="false">M501*(1+'3. The decision'!$B$19+'3. The decision'!$B$20+'3. The decision'!$B$22)</f>
        <v>1093522.47935736</v>
      </c>
      <c r="O501" s="31" t="n">
        <f aca="false">'3. The decision'!$B$17+'3. The decision'!$B$18*L501*12+M501*('3. The decision'!$B$20*(1-'3. The decision'!$B$21)+'3. The decision'!$B$23)+N501*('3. The decision'!$B$24+'3. The decision'!$B$25)</f>
        <v>603351.237807796</v>
      </c>
      <c r="P501" s="31" t="n">
        <f aca="false">N501-O501</f>
        <v>490171.24154956</v>
      </c>
    </row>
    <row r="502" customFormat="false" ht="15" hidden="false" customHeight="false" outlineLevel="0" collapsed="false">
      <c r="A502" s="27" t="n">
        <f aca="false">63*0.0025</f>
        <v>0.1575</v>
      </c>
      <c r="B502" s="27" t="n">
        <f aca="false">IF(A502&gt;0,MIN('3. The decision'!$B$15,'3. The decision'!$B$29*(A502/'3. The decision'!$B$28)^$B$436),0)</f>
        <v>0.212579495454941</v>
      </c>
      <c r="C502" s="15" t="n">
        <f aca="false">(1-'3. The decision'!$B$27-B502)*(1-'3. The decision'!$B$27)^('3. The decision'!$B$12-1)</f>
        <v>0.511044818597756</v>
      </c>
      <c r="D502" s="15" t="n">
        <f aca="false">1+(1-'3. The decision'!$B$27-B502)*(1-(1-'3. The decision'!$B$27)^('3. The decision'!$B$12-1))/'3. The decision'!$B$27</f>
        <v>4.15602535259102</v>
      </c>
      <c r="E502" s="15" t="n">
        <f aca="false">(1-'3. The decision'!$B$14)*(1-'3. The decision'!$B$27)^('3. The decision'!$B$11-1)</f>
        <v>0.690273454655712</v>
      </c>
      <c r="F502" s="15" t="n">
        <f aca="false">1+(1-'3. The decision'!$B$14)*(1-(1-'3. The decision'!$B$27)^('3. The decision'!$B$11-1))/'3. The decision'!$B$27</f>
        <v>4.28912098262087</v>
      </c>
      <c r="G502" s="15" t="n">
        <f aca="false">(1-(1-'3. The decision'!$B$9*MIN(1,('3. The decision'!$B$10/(52/12)))))+(1-(1-'3. The decision'!$B$9*MAX(0,MIN(1,('3. The decision'!$B$10/(52/12))-1))))*(1-'3. The decision'!$B$14)+(1-(1-'3. The decision'!$B$9*MAX(0,MIN(1,('3. The decision'!$B$10/(52/12))-2))))*(1-'3. The decision'!$B$14)*(1-'3. The decision'!$B$27)</f>
        <v>0.884576923076923</v>
      </c>
      <c r="H502" s="15" t="n">
        <f aca="false">IF(A502&lt;=0,0,MAX(0,ROUNDUP(LN('3. The decision'!$B$13)/LN(1+A502)-0.000000000001,0)-1))</f>
        <v>3</v>
      </c>
      <c r="I502" s="15" t="n">
        <f aca="false">IF(A502&lt;=0,1/(1-C502),(1+A502)*(1-(C502*(1+A502))^H502)/(1-C502*(1+A502))+'3. The decision'!$B$13*C502^H502/(1-C502))</f>
        <v>2.6894295148282</v>
      </c>
      <c r="J502" s="17" t="n">
        <f aca="false">F502+E502*D502/(1-C502)</f>
        <v>10.1563130830144</v>
      </c>
      <c r="K502" s="15" t="n">
        <f aca="false">F502-G502+E502*D502*I502</f>
        <v>11.1199632553192</v>
      </c>
      <c r="L502" s="17" t="n">
        <f aca="false">'3. The decision'!$B$8*'3. The decision'!$B$5/J502</f>
        <v>46.2411897074574</v>
      </c>
      <c r="M502" s="31" t="n">
        <f aca="false">L502*'3. The decision'!$B$6*'3. The decision'!$B$7*K502</f>
        <v>986248.435126926</v>
      </c>
      <c r="N502" s="31" t="n">
        <f aca="false">M502*(1+'3. The decision'!$B$19+'3. The decision'!$B$20+'3. The decision'!$B$22)</f>
        <v>1090790.76925038</v>
      </c>
      <c r="O502" s="31" t="n">
        <f aca="false">'3. The decision'!$B$17+'3. The decision'!$B$18*L502*12+M502*('3. The decision'!$B$20*(1-'3. The decision'!$B$21)+'3. The decision'!$B$23)+N502*('3. The decision'!$B$24+'3. The decision'!$B$25)</f>
        <v>604094.613684883</v>
      </c>
      <c r="P502" s="31" t="n">
        <f aca="false">N502-O502</f>
        <v>486696.155565498</v>
      </c>
    </row>
    <row r="503" customFormat="false" ht="15" hidden="false" customHeight="false" outlineLevel="0" collapsed="false">
      <c r="A503" s="27" t="n">
        <f aca="false">64*0.0025</f>
        <v>0.16</v>
      </c>
      <c r="B503" s="27" t="n">
        <f aca="false">IF(A503&gt;0,MIN('3. The decision'!$B$15,'3. The decision'!$B$29*(A503/'3. The decision'!$B$28)^$B$436),0)</f>
        <v>0.22286385862074</v>
      </c>
      <c r="C503" s="15" t="n">
        <f aca="false">(1-'3. The decision'!$B$27-B503)*(1-'3. The decision'!$B$27)^('3. The decision'!$B$12-1)</f>
        <v>0.503754457905663</v>
      </c>
      <c r="D503" s="15" t="n">
        <f aca="false">1+(1-'3. The decision'!$B$27-B503)*(1-(1-'3. The decision'!$B$27)^('3. The decision'!$B$12-1))/'3. The decision'!$B$27</f>
        <v>4.11100275900146</v>
      </c>
      <c r="E503" s="15" t="n">
        <f aca="false">(1-'3. The decision'!$B$14)*(1-'3. The decision'!$B$27)^('3. The decision'!$B$11-1)</f>
        <v>0.690273454655712</v>
      </c>
      <c r="F503" s="15" t="n">
        <f aca="false">1+(1-'3. The decision'!$B$14)*(1-(1-'3. The decision'!$B$27)^('3. The decision'!$B$11-1))/'3. The decision'!$B$27</f>
        <v>4.28912098262087</v>
      </c>
      <c r="G503" s="15" t="n">
        <f aca="false">(1-(1-'3. The decision'!$B$9*MIN(1,('3. The decision'!$B$10/(52/12)))))+(1-(1-'3. The decision'!$B$9*MAX(0,MIN(1,('3. The decision'!$B$10/(52/12))-1))))*(1-'3. The decision'!$B$14)+(1-(1-'3. The decision'!$B$9*MAX(0,MIN(1,('3. The decision'!$B$10/(52/12))-2))))*(1-'3. The decision'!$B$14)*(1-'3. The decision'!$B$27)</f>
        <v>0.884576923076923</v>
      </c>
      <c r="H503" s="15" t="n">
        <f aca="false">IF(A503&lt;=0,0,MAX(0,ROUNDUP(LN('3. The decision'!$B$13)/LN(1+A503)-0.000000000001,0)-1))</f>
        <v>3</v>
      </c>
      <c r="I503" s="15" t="n">
        <f aca="false">IF(A503&lt;=0,1/(1-C503),(1+A503)*(1-(C503*(1+A503))^H503)/(1-C503*(1+A503))+'3. The decision'!$B$13*C503^H503/(1-C503))</f>
        <v>2.65128399307188</v>
      </c>
      <c r="J503" s="17" t="n">
        <f aca="false">F503+E503*D503/(1-C503)</f>
        <v>10.0074919015392</v>
      </c>
      <c r="K503" s="15" t="n">
        <f aca="false">F503-G503+E503*D503*I503</f>
        <v>10.9281352701972</v>
      </c>
      <c r="L503" s="17" t="n">
        <f aca="false">'3. The decision'!$B$8*'3. The decision'!$B$5/J503</f>
        <v>46.9288413741078</v>
      </c>
      <c r="M503" s="31" t="n">
        <f aca="false">L503*'3. The decision'!$B$6*'3. The decision'!$B$7*K503</f>
        <v>983648.354834649</v>
      </c>
      <c r="N503" s="31" t="n">
        <f aca="false">M503*(1+'3. The decision'!$B$19+'3. The decision'!$B$20+'3. The decision'!$B$22)</f>
        <v>1087915.08044712</v>
      </c>
      <c r="O503" s="31" t="n">
        <f aca="false">'3. The decision'!$B$17+'3. The decision'!$B$18*L503*12+M503*('3. The decision'!$B$20*(1-'3. The decision'!$B$21)+'3. The decision'!$B$23)+N503*('3. The decision'!$B$24+'3. The decision'!$B$25)</f>
        <v>604856.451882307</v>
      </c>
      <c r="P503" s="31" t="n">
        <f aca="false">N503-O503</f>
        <v>483058.628564815</v>
      </c>
    </row>
    <row r="504" customFormat="false" ht="15" hidden="false" customHeight="false" outlineLevel="0" collapsed="false">
      <c r="A504" s="27" t="n">
        <f aca="false">65*0.0025</f>
        <v>0.1625</v>
      </c>
      <c r="B504" s="27" t="n">
        <f aca="false">IF(A504&gt;0,MIN('3. The decision'!$B$15,'3. The decision'!$B$29*(A504/'3. The decision'!$B$28)^$B$436),0)</f>
        <v>0.23347468251694</v>
      </c>
      <c r="C504" s="15" t="n">
        <f aca="false">(1-'3. The decision'!$B$27-B504)*(1-'3. The decision'!$B$27)^('3. The decision'!$B$12-1)</f>
        <v>0.496232676323617</v>
      </c>
      <c r="D504" s="15" t="n">
        <f aca="false">1+(1-'3. The decision'!$B$27-B504)*(1-(1-'3. The decision'!$B$27)^('3. The decision'!$B$12-1))/'3. The decision'!$B$27</f>
        <v>4.06455099487884</v>
      </c>
      <c r="E504" s="15" t="n">
        <f aca="false">(1-'3. The decision'!$B$14)*(1-'3. The decision'!$B$27)^('3. The decision'!$B$11-1)</f>
        <v>0.690273454655712</v>
      </c>
      <c r="F504" s="15" t="n">
        <f aca="false">1+(1-'3. The decision'!$B$14)*(1-(1-'3. The decision'!$B$27)^('3. The decision'!$B$11-1))/'3. The decision'!$B$27</f>
        <v>4.28912098262087</v>
      </c>
      <c r="G504" s="15" t="n">
        <f aca="false">(1-(1-'3. The decision'!$B$9*MIN(1,('3. The decision'!$B$10/(52/12)))))+(1-(1-'3. The decision'!$B$9*MAX(0,MIN(1,('3. The decision'!$B$10/(52/12))-1))))*(1-'3. The decision'!$B$14)+(1-(1-'3. The decision'!$B$9*MAX(0,MIN(1,('3. The decision'!$B$10/(52/12))-2))))*(1-'3. The decision'!$B$14)*(1-'3. The decision'!$B$27)</f>
        <v>0.884576923076923</v>
      </c>
      <c r="H504" s="15" t="n">
        <f aca="false">IF(A504&lt;=0,0,MAX(0,ROUNDUP(LN('3. The decision'!$B$13)/LN(1+A504)-0.000000000001,0)-1))</f>
        <v>3</v>
      </c>
      <c r="I504" s="15" t="n">
        <f aca="false">IF(A504&lt;=0,1/(1-C504),(1+A504)*(1-(C504*(1+A504))^H504)/(1-C504*(1+A504))+'3. The decision'!$B$13*C504^H504/(1-C504))</f>
        <v>2.61292161755071</v>
      </c>
      <c r="J504" s="17" t="n">
        <f aca="false">F504+E504*D504/(1-C504)</f>
        <v>9.85846128120218</v>
      </c>
      <c r="K504" s="15" t="n">
        <f aca="false">F504-G504+E504*D504*I504</f>
        <v>10.7354919250687</v>
      </c>
      <c r="L504" s="17" t="n">
        <f aca="false">'3. The decision'!$B$8*'3. The decision'!$B$5/J504</f>
        <v>47.6382659122977</v>
      </c>
      <c r="M504" s="31" t="n">
        <f aca="false">L504*'3. The decision'!$B$6*'3. The decision'!$B$7*K504</f>
        <v>980916.115486408</v>
      </c>
      <c r="N504" s="31" t="n">
        <f aca="false">M504*(1+'3. The decision'!$B$19+'3. The decision'!$B$20+'3. The decision'!$B$22)</f>
        <v>1084893.22372797</v>
      </c>
      <c r="O504" s="31" t="n">
        <f aca="false">'3. The decision'!$B$17+'3. The decision'!$B$18*L504*12+M504*('3. The decision'!$B$20*(1-'3. The decision'!$B$21)+'3. The decision'!$B$23)+N504*('3. The decision'!$B$24+'3. The decision'!$B$25)</f>
        <v>605637.048448723</v>
      </c>
      <c r="P504" s="31" t="n">
        <f aca="false">N504-O504</f>
        <v>479256.175279244</v>
      </c>
    </row>
    <row r="505" customFormat="false" ht="15" hidden="false" customHeight="false" outlineLevel="0" collapsed="false">
      <c r="A505" s="27" t="n">
        <f aca="false">66*0.0025</f>
        <v>0.165</v>
      </c>
      <c r="B505" s="27" t="n">
        <f aca="false">IF(A505&gt;0,MIN('3. The decision'!$B$15,'3. The decision'!$B$29*(A505/'3. The decision'!$B$28)^$B$436),0)</f>
        <v>0.244417068092454</v>
      </c>
      <c r="C505" s="15" t="n">
        <f aca="false">(1-'3. The decision'!$B$27-B505)*(1-'3. The decision'!$B$27)^('3. The decision'!$B$12-1)</f>
        <v>0.488475857900213</v>
      </c>
      <c r="D505" s="15" t="n">
        <f aca="false">1+(1-'3. The decision'!$B$27-B505)*(1-(1-'3. The decision'!$B$27)^('3. The decision'!$B$12-1))/'3. The decision'!$B$27</f>
        <v>4.01664772943359</v>
      </c>
      <c r="E505" s="15" t="n">
        <f aca="false">(1-'3. The decision'!$B$14)*(1-'3. The decision'!$B$27)^('3. The decision'!$B$11-1)</f>
        <v>0.690273454655712</v>
      </c>
      <c r="F505" s="15" t="n">
        <f aca="false">1+(1-'3. The decision'!$B$14)*(1-(1-'3. The decision'!$B$27)^('3. The decision'!$B$11-1))/'3. The decision'!$B$27</f>
        <v>4.28912098262087</v>
      </c>
      <c r="G505" s="15" t="n">
        <f aca="false">(1-(1-'3. The decision'!$B$9*MIN(1,('3. The decision'!$B$10/(52/12)))))+(1-(1-'3. The decision'!$B$9*MAX(0,MIN(1,('3. The decision'!$B$10/(52/12))-1))))*(1-'3. The decision'!$B$14)+(1-(1-'3. The decision'!$B$9*MAX(0,MIN(1,('3. The decision'!$B$10/(52/12))-2))))*(1-'3. The decision'!$B$14)*(1-'3. The decision'!$B$27)</f>
        <v>0.884576923076923</v>
      </c>
      <c r="H505" s="15" t="n">
        <f aca="false">IF(A505&lt;=0,0,MAX(0,ROUNDUP(LN('3. The decision'!$B$13)/LN(1+A505)-0.000000000001,0)-1))</f>
        <v>3</v>
      </c>
      <c r="I505" s="15" t="n">
        <f aca="false">IF(A505&lt;=0,1/(1-C505),(1+A505)*(1-(C505*(1+A505))^H505)/(1-C505*(1+A505))+'3. The decision'!$B$13*C505^H505/(1-C505))</f>
        <v>2.57438084290159</v>
      </c>
      <c r="J505" s="17" t="n">
        <f aca="false">F505+E505*D505/(1-C505)</f>
        <v>9.70936428325921</v>
      </c>
      <c r="K505" s="15" t="n">
        <f aca="false">F505-G505+E505*D505*I505</f>
        <v>10.5422345523245</v>
      </c>
      <c r="L505" s="17" t="n">
        <f aca="false">'3. The decision'!$B$8*'3. The decision'!$B$5/J505</f>
        <v>48.3697991236922</v>
      </c>
      <c r="M505" s="31" t="n">
        <f aca="false">L505*'3. The decision'!$B$6*'3. The decision'!$B$7*K505</f>
        <v>978049.722210954</v>
      </c>
      <c r="N505" s="31" t="n">
        <f aca="false">M505*(1+'3. The decision'!$B$19+'3. The decision'!$B$20+'3. The decision'!$B$22)</f>
        <v>1081722.99276531</v>
      </c>
      <c r="O505" s="31" t="n">
        <f aca="false">'3. The decision'!$B$17+'3. The decision'!$B$18*L505*12+M505*('3. The decision'!$B$20*(1-'3. The decision'!$B$21)+'3. The decision'!$B$23)+N505*('3. The decision'!$B$24+'3. The decision'!$B$25)</f>
        <v>606436.697365372</v>
      </c>
      <c r="P505" s="31" t="n">
        <f aca="false">N505-O505</f>
        <v>475286.295399943</v>
      </c>
    </row>
    <row r="506" customFormat="false" ht="15" hidden="false" customHeight="false" outlineLevel="0" collapsed="false">
      <c r="A506" s="27" t="n">
        <f aca="false">67*0.0025</f>
        <v>0.1675</v>
      </c>
      <c r="B506" s="27" t="n">
        <f aca="false">IF(A506&gt;0,MIN('3. The decision'!$B$15,'3. The decision'!$B$29*(A506/'3. The decision'!$B$28)^$B$436),0)</f>
        <v>0.255696116296194</v>
      </c>
      <c r="C506" s="15" t="n">
        <f aca="false">(1-'3. The decision'!$B$27-B506)*(1-'3. The decision'!$B$27)^('3. The decision'!$B$12-1)</f>
        <v>0.480480386684044</v>
      </c>
      <c r="D506" s="15" t="n">
        <f aca="false">1+(1-'3. The decision'!$B$27-B506)*(1-(1-'3. The decision'!$B$27)^('3. The decision'!$B$12-1))/'3. The decision'!$B$27</f>
        <v>3.96727063187612</v>
      </c>
      <c r="E506" s="15" t="n">
        <f aca="false">(1-'3. The decision'!$B$14)*(1-'3. The decision'!$B$27)^('3. The decision'!$B$11-1)</f>
        <v>0.690273454655712</v>
      </c>
      <c r="F506" s="15" t="n">
        <f aca="false">1+(1-'3. The decision'!$B$14)*(1-(1-'3. The decision'!$B$27)^('3. The decision'!$B$11-1))/'3. The decision'!$B$27</f>
        <v>4.28912098262087</v>
      </c>
      <c r="G506" s="15" t="n">
        <f aca="false">(1-(1-'3. The decision'!$B$9*MIN(1,('3. The decision'!$B$10/(52/12)))))+(1-(1-'3. The decision'!$B$9*MAX(0,MIN(1,('3. The decision'!$B$10/(52/12))-1))))*(1-'3. The decision'!$B$14)+(1-(1-'3. The decision'!$B$9*MAX(0,MIN(1,('3. The decision'!$B$10/(52/12))-2))))*(1-'3. The decision'!$B$14)*(1-'3. The decision'!$B$27)</f>
        <v>0.884576923076923</v>
      </c>
      <c r="H506" s="15" t="n">
        <f aca="false">IF(A506&lt;=0,0,MAX(0,ROUNDUP(LN('3. The decision'!$B$13)/LN(1+A506)-0.000000000001,0)-1))</f>
        <v>3</v>
      </c>
      <c r="I506" s="15" t="n">
        <f aca="false">IF(A506&lt;=0,1/(1-C506),(1+A506)*(1-(C506*(1+A506))^H506)/(1-C506*(1+A506))+'3. The decision'!$B$13*C506^H506/(1-C506))</f>
        <v>2.53569891662937</v>
      </c>
      <c r="J506" s="17" t="n">
        <f aca="false">F506+E506*D506/(1-C506)</f>
        <v>9.56033988259685</v>
      </c>
      <c r="K506" s="15" t="n">
        <f aca="false">F506-G506+E506*D506*I506</f>
        <v>10.3485596115648</v>
      </c>
      <c r="L506" s="17" t="n">
        <f aca="false">'3. The decision'!$B$8*'3. The decision'!$B$5/J506</f>
        <v>49.1237765359063</v>
      </c>
      <c r="M506" s="31" t="n">
        <f aca="false">L506*'3. The decision'!$B$6*'3. The decision'!$B$7*K506</f>
        <v>975047.175395705</v>
      </c>
      <c r="N506" s="31" t="n">
        <f aca="false">M506*(1+'3. The decision'!$B$19+'3. The decision'!$B$20+'3. The decision'!$B$22)</f>
        <v>1078402.17598765</v>
      </c>
      <c r="O506" s="31" t="n">
        <f aca="false">'3. The decision'!$B$17+'3. The decision'!$B$18*L506*12+M506*('3. The decision'!$B$20*(1-'3. The decision'!$B$21)+'3. The decision'!$B$23)+N506*('3. The decision'!$B$24+'3. The decision'!$B$25)</f>
        <v>607255.69168806</v>
      </c>
      <c r="P506" s="31" t="n">
        <f aca="false">N506-O506</f>
        <v>471146.484299589</v>
      </c>
    </row>
    <row r="507" customFormat="false" ht="15" hidden="false" customHeight="false" outlineLevel="0" collapsed="false">
      <c r="A507" s="27" t="n">
        <f aca="false">68*0.0025</f>
        <v>0.17</v>
      </c>
      <c r="B507" s="27" t="n">
        <f aca="false">IF(A507&gt;0,MIN('3. The decision'!$B$15,'3. The decision'!$B$29*(A507/'3. The decision'!$B$28)^$B$436),0)</f>
        <v>0.267316928077074</v>
      </c>
      <c r="C507" s="15" t="n">
        <f aca="false">(1-'3. The decision'!$B$27-B507)*(1-'3. The decision'!$B$27)^('3. The decision'!$B$12-1)</f>
        <v>0.472242646723705</v>
      </c>
      <c r="D507" s="15" t="n">
        <f aca="false">1+(1-'3. The decision'!$B$27-B507)*(1-(1-'3. The decision'!$B$27)^('3. The decision'!$B$12-1))/'3. The decision'!$B$27</f>
        <v>3.91639737141686</v>
      </c>
      <c r="E507" s="15" t="n">
        <f aca="false">(1-'3. The decision'!$B$14)*(1-'3. The decision'!$B$27)^('3. The decision'!$B$11-1)</f>
        <v>0.690273454655712</v>
      </c>
      <c r="F507" s="15" t="n">
        <f aca="false">1+(1-'3. The decision'!$B$14)*(1-(1-'3. The decision'!$B$27)^('3. The decision'!$B$11-1))/'3. The decision'!$B$27</f>
        <v>4.28912098262087</v>
      </c>
      <c r="G507" s="15" t="n">
        <f aca="false">(1-(1-'3. The decision'!$B$9*MIN(1,('3. The decision'!$B$10/(52/12)))))+(1-(1-'3. The decision'!$B$9*MAX(0,MIN(1,('3. The decision'!$B$10/(52/12))-1))))*(1-'3. The decision'!$B$14)+(1-(1-'3. The decision'!$B$9*MAX(0,MIN(1,('3. The decision'!$B$10/(52/12))-2))))*(1-'3. The decision'!$B$14)*(1-'3. The decision'!$B$27)</f>
        <v>0.884576923076923</v>
      </c>
      <c r="H507" s="15" t="n">
        <f aca="false">IF(A507&lt;=0,0,MAX(0,ROUNDUP(LN('3. The decision'!$B$13)/LN(1+A507)-0.000000000001,0)-1))</f>
        <v>3</v>
      </c>
      <c r="I507" s="15" t="n">
        <f aca="false">IF(A507&lt;=0,1/(1-C507),(1+A507)*(1-(C507*(1+A507))^H507)/(1-C507*(1+A507))+'3. The decision'!$B$13*C507^H507/(1-C507))</f>
        <v>2.49691180375821</v>
      </c>
      <c r="J507" s="17" t="n">
        <f aca="false">F507+E507*D507/(1-C507)</f>
        <v>9.4115226442746</v>
      </c>
      <c r="K507" s="15" t="n">
        <f aca="false">F507-G507+E507*D507*I507</f>
        <v>10.1546583341352</v>
      </c>
      <c r="L507" s="17" t="n">
        <f aca="false">'3. The decision'!$B$8*'3. The decision'!$B$5/J507</f>
        <v>49.900533394105</v>
      </c>
      <c r="M507" s="31" t="n">
        <f aca="false">L507*'3. The decision'!$B$6*'3. The decision'!$B$7*K507</f>
        <v>971906.483429653</v>
      </c>
      <c r="N507" s="31" t="n">
        <f aca="false">M507*(1+'3. The decision'!$B$19+'3. The decision'!$B$20+'3. The decision'!$B$22)</f>
        <v>1074928.5706732</v>
      </c>
      <c r="O507" s="31" t="n">
        <f aca="false">'3. The decision'!$B$17+'3. The decision'!$B$18*L507*12+M507*('3. The decision'!$B$20*(1-'3. The decision'!$B$21)+'3. The decision'!$B$23)+N507*('3. The decision'!$B$24+'3. The decision'!$B$25)</f>
        <v>608094.324905914</v>
      </c>
      <c r="P507" s="31" t="n">
        <f aca="false">N507-O507</f>
        <v>466834.245767282</v>
      </c>
    </row>
    <row r="508" customFormat="false" ht="15" hidden="false" customHeight="false" outlineLevel="0" collapsed="false">
      <c r="A508" s="27" t="n">
        <f aca="false">69*0.0025</f>
        <v>0.1725</v>
      </c>
      <c r="B508" s="27" t="n">
        <f aca="false">IF(A508&gt;0,MIN('3. The decision'!$B$15,'3. The decision'!$B$29*(A508/'3. The decision'!$B$28)^$B$436),0)</f>
        <v>0.279284604384005</v>
      </c>
      <c r="C508" s="15" t="n">
        <f aca="false">(1-'3. The decision'!$B$27-B508)*(1-'3. The decision'!$B$27)^('3. The decision'!$B$12-1)</f>
        <v>0.463759022067792</v>
      </c>
      <c r="D508" s="15" t="n">
        <f aca="false">1+(1-'3. The decision'!$B$27-B508)*(1-(1-'3. The decision'!$B$27)^('3. The decision'!$B$12-1))/'3. The decision'!$B$27</f>
        <v>3.86400561726622</v>
      </c>
      <c r="E508" s="15" t="n">
        <f aca="false">(1-'3. The decision'!$B$14)*(1-'3. The decision'!$B$27)^('3. The decision'!$B$11-1)</f>
        <v>0.690273454655712</v>
      </c>
      <c r="F508" s="15" t="n">
        <f aca="false">1+(1-'3. The decision'!$B$14)*(1-(1-'3. The decision'!$B$27)^('3. The decision'!$B$11-1))/'3. The decision'!$B$27</f>
        <v>4.28912098262087</v>
      </c>
      <c r="G508" s="15" t="n">
        <f aca="false">(1-(1-'3. The decision'!$B$9*MIN(1,('3. The decision'!$B$10/(52/12)))))+(1-(1-'3. The decision'!$B$9*MAX(0,MIN(1,('3. The decision'!$B$10/(52/12))-1))))*(1-'3. The decision'!$B$14)+(1-(1-'3. The decision'!$B$9*MAX(0,MIN(1,('3. The decision'!$B$10/(52/12))-2))))*(1-'3. The decision'!$B$14)*(1-'3. The decision'!$B$27)</f>
        <v>0.884576923076923</v>
      </c>
      <c r="H508" s="15" t="n">
        <f aca="false">IF(A508&lt;=0,0,MAX(0,ROUNDUP(LN('3. The decision'!$B$13)/LN(1+A508)-0.000000000001,0)-1))</f>
        <v>3</v>
      </c>
      <c r="I508" s="15" t="n">
        <f aca="false">IF(A508&lt;=0,1/(1-C508),(1+A508)*(1-(C508*(1+A508))^H508)/(1-C508*(1+A508))+'3. The decision'!$B$13*C508^H508/(1-C508))</f>
        <v>2.45805412583901</v>
      </c>
      <c r="J508" s="17" t="n">
        <f aca="false">F508+E508*D508/(1-C508)</f>
        <v>9.26304243958312</v>
      </c>
      <c r="K508" s="15" t="n">
        <f aca="false">F508-G508+E508*D508*I508</f>
        <v>9.9607164294282</v>
      </c>
      <c r="L508" s="17" t="n">
        <f aca="false">'3. The decision'!$B$8*'3. The decision'!$B$5/J508</f>
        <v>50.7004046524844</v>
      </c>
      <c r="M508" s="31" t="n">
        <f aca="false">L508*'3. The decision'!$B$6*'3. The decision'!$B$7*K508</f>
        <v>968625.677550047</v>
      </c>
      <c r="N508" s="31" t="n">
        <f aca="false">M508*(1+'3. The decision'!$B$19+'3. The decision'!$B$20+'3. The decision'!$B$22)</f>
        <v>1071299.99937035</v>
      </c>
      <c r="O508" s="31" t="n">
        <f aca="false">'3. The decision'!$B$17+'3. The decision'!$B$18*L508*12+M508*('3. The decision'!$B$20*(1-'3. The decision'!$B$21)+'3. The decision'!$B$23)+N508*('3. The decision'!$B$24+'3. The decision'!$B$25)</f>
        <v>608952.892526381</v>
      </c>
      <c r="P508" s="31" t="n">
        <f aca="false">N508-O508</f>
        <v>462347.106843972</v>
      </c>
    </row>
    <row r="509" customFormat="false" ht="15" hidden="false" customHeight="false" outlineLevel="0" collapsed="false">
      <c r="A509" s="27" t="n">
        <f aca="false">70*0.0025</f>
        <v>0.175</v>
      </c>
      <c r="B509" s="27" t="n">
        <f aca="false">IF(A509&gt;0,MIN('3. The decision'!$B$15,'3. The decision'!$B$29*(A509/'3. The decision'!$B$28)^$B$436),0)</f>
        <v>0.2916042461659</v>
      </c>
      <c r="C509" s="15" t="n">
        <f aca="false">(1-'3. The decision'!$B$27-B509)*(1-'3. The decision'!$B$27)^('3. The decision'!$B$12-1)</f>
        <v>0.455025896764897</v>
      </c>
      <c r="D509" s="15" t="n">
        <f aca="false">1+(1-'3. The decision'!$B$27-B509)*(1-(1-'3. The decision'!$B$27)^('3. The decision'!$B$12-1))/'3. The decision'!$B$27</f>
        <v>3.81007303863463</v>
      </c>
      <c r="E509" s="15" t="n">
        <f aca="false">(1-'3. The decision'!$B$14)*(1-'3. The decision'!$B$27)^('3. The decision'!$B$11-1)</f>
        <v>0.690273454655712</v>
      </c>
      <c r="F509" s="15" t="n">
        <f aca="false">1+(1-'3. The decision'!$B$14)*(1-(1-'3. The decision'!$B$27)^('3. The decision'!$B$11-1))/'3. The decision'!$B$27</f>
        <v>4.28912098262087</v>
      </c>
      <c r="G509" s="15" t="n">
        <f aca="false">(1-(1-'3. The decision'!$B$9*MIN(1,('3. The decision'!$B$10/(52/12)))))+(1-(1-'3. The decision'!$B$9*MAX(0,MIN(1,('3. The decision'!$B$10/(52/12))-1))))*(1-'3. The decision'!$B$14)+(1-(1-'3. The decision'!$B$9*MAX(0,MIN(1,('3. The decision'!$B$10/(52/12))-2))))*(1-'3. The decision'!$B$14)*(1-'3. The decision'!$B$27)</f>
        <v>0.884576923076923</v>
      </c>
      <c r="H509" s="15" t="n">
        <f aca="false">IF(A509&lt;=0,0,MAX(0,ROUNDUP(LN('3. The decision'!$B$13)/LN(1+A509)-0.000000000001,0)-1))</f>
        <v>2</v>
      </c>
      <c r="I509" s="15" t="n">
        <f aca="false">IF(A509&lt;=0,1/(1-C509),(1+A509)*(1-(C509*(1+A509))^H509)/(1-C509*(1+A509))+'3. The decision'!$B$13*C509^H509/(1-C509))</f>
        <v>2.41869649008596</v>
      </c>
      <c r="J509" s="17" t="n">
        <f aca="false">F509+E509*D509/(1-C509)</f>
        <v>9.11502420124469</v>
      </c>
      <c r="K509" s="15" t="n">
        <f aca="false">F509-G509+E509*D509*I509</f>
        <v>9.76569715339736</v>
      </c>
      <c r="L509" s="17" t="n">
        <f aca="false">'3. The decision'!$B$8*'3. The decision'!$B$5/J509</f>
        <v>51.5237249656308</v>
      </c>
      <c r="M509" s="31" t="n">
        <f aca="false">L509*'3. The decision'!$B$6*'3. The decision'!$B$7*K509</f>
        <v>965082.590242487</v>
      </c>
      <c r="N509" s="31" t="n">
        <f aca="false">M509*(1+'3. The decision'!$B$19+'3. The decision'!$B$20+'3. The decision'!$B$22)</f>
        <v>1067381.34480819</v>
      </c>
      <c r="O509" s="31" t="n">
        <f aca="false">'3. The decision'!$B$17+'3. The decision'!$B$18*L509*12+M509*('3. The decision'!$B$20*(1-'3. The decision'!$B$21)+'3. The decision'!$B$23)+N509*('3. The decision'!$B$24+'3. The decision'!$B$25)</f>
        <v>609818.752972005</v>
      </c>
      <c r="P509" s="31" t="n">
        <f aca="false">N509-O509</f>
        <v>457562.591836185</v>
      </c>
    </row>
    <row r="510" customFormat="false" ht="15" hidden="false" customHeight="false" outlineLevel="0" collapsed="false">
      <c r="A510" s="27" t="n">
        <f aca="false">71*0.0025</f>
        <v>0.1775</v>
      </c>
      <c r="B510" s="27" t="n">
        <f aca="false">IF(A510&gt;0,MIN('3. The decision'!$B$15,'3. The decision'!$B$29*(A510/'3. The decision'!$B$28)^$B$436),0)</f>
        <v>0.304280954371672</v>
      </c>
      <c r="C510" s="15" t="n">
        <f aca="false">(1-'3. The decision'!$B$27-B510)*(1-'3. The decision'!$B$27)^('3. The decision'!$B$12-1)</f>
        <v>0.446039654863616</v>
      </c>
      <c r="D510" s="15" t="n">
        <f aca="false">1+(1-'3. The decision'!$B$27-B510)*(1-(1-'3. The decision'!$B$27)^('3. The decision'!$B$12-1))/'3. The decision'!$B$27</f>
        <v>3.75457730473251</v>
      </c>
      <c r="E510" s="15" t="n">
        <f aca="false">(1-'3. The decision'!$B$14)*(1-'3. The decision'!$B$27)^('3. The decision'!$B$11-1)</f>
        <v>0.690273454655712</v>
      </c>
      <c r="F510" s="15" t="n">
        <f aca="false">1+(1-'3. The decision'!$B$14)*(1-(1-'3. The decision'!$B$27)^('3. The decision'!$B$11-1))/'3. The decision'!$B$27</f>
        <v>4.28912098262087</v>
      </c>
      <c r="G510" s="15" t="n">
        <f aca="false">(1-(1-'3. The decision'!$B$9*MIN(1,('3. The decision'!$B$10/(52/12)))))+(1-(1-'3. The decision'!$B$9*MAX(0,MIN(1,('3. The decision'!$B$10/(52/12))-1))))*(1-'3. The decision'!$B$14)+(1-(1-'3. The decision'!$B$9*MAX(0,MIN(1,('3. The decision'!$B$10/(52/12))-2))))*(1-'3. The decision'!$B$14)*(1-'3. The decision'!$B$27)</f>
        <v>0.884576923076923</v>
      </c>
      <c r="H510" s="15" t="n">
        <f aca="false">IF(A510&lt;=0,0,MAX(0,ROUNDUP(LN('3. The decision'!$B$13)/LN(1+A510)-0.000000000001,0)-1))</f>
        <v>2</v>
      </c>
      <c r="I510" s="15" t="n">
        <f aca="false">IF(A510&lt;=0,1/(1-C510),(1+A510)*(1-(C510*(1+A510))^H510)/(1-C510*(1+A510))+'3. The decision'!$B$13*C510^H510/(1-C510))</f>
        <v>2.3777495799008</v>
      </c>
      <c r="J510" s="17" t="n">
        <f aca="false">F510+E510*D510/(1-C510)</f>
        <v>8.96758771704313</v>
      </c>
      <c r="K510" s="15" t="n">
        <f aca="false">F510-G510+E510*D510*I510</f>
        <v>9.56692209106853</v>
      </c>
      <c r="L510" s="17" t="n">
        <f aca="false">'3. The decision'!$B$8*'3. The decision'!$B$5/J510</f>
        <v>52.3708286797616</v>
      </c>
      <c r="M510" s="31" t="n">
        <f aca="false">L510*'3. The decision'!$B$6*'3. The decision'!$B$7*K510</f>
        <v>960982.898137793</v>
      </c>
      <c r="N510" s="31" t="n">
        <f aca="false">M510*(1+'3. The decision'!$B$19+'3. The decision'!$B$20+'3. The decision'!$B$22)</f>
        <v>1062847.0853404</v>
      </c>
      <c r="O510" s="31" t="n">
        <f aca="false">'3. The decision'!$B$17+'3. The decision'!$B$18*L510*12+M510*('3. The decision'!$B$20*(1-'3. The decision'!$B$21)+'3. The decision'!$B$23)+N510*('3. The decision'!$B$24+'3. The decision'!$B$25)</f>
        <v>610660.735580024</v>
      </c>
      <c r="P510" s="31" t="n">
        <f aca="false">N510-O510</f>
        <v>452186.349760376</v>
      </c>
    </row>
    <row r="511" customFormat="false" ht="15" hidden="false" customHeight="false" outlineLevel="0" collapsed="false">
      <c r="A511" s="27" t="n">
        <f aca="false">72*0.0025</f>
        <v>0.18</v>
      </c>
      <c r="B511" s="27" t="n">
        <f aca="false">IF(A511&gt;0,MIN('3. The decision'!$B$15,'3. The decision'!$B$29*(A511/'3. The decision'!$B$28)^$B$436),0)</f>
        <v>0.317319829950233</v>
      </c>
      <c r="C511" s="15" t="n">
        <f aca="false">(1-'3. The decision'!$B$27-B511)*(1-'3. The decision'!$B$27)^('3. The decision'!$B$12-1)</f>
        <v>0.436796680412544</v>
      </c>
      <c r="D511" s="15" t="n">
        <f aca="false">1+(1-'3. The decision'!$B$27-B511)*(1-(1-'3. The decision'!$B$27)^('3. The decision'!$B$12-1))/'3. The decision'!$B$27</f>
        <v>3.69749608477028</v>
      </c>
      <c r="E511" s="15" t="n">
        <f aca="false">(1-'3. The decision'!$B$14)*(1-'3. The decision'!$B$27)^('3. The decision'!$B$11-1)</f>
        <v>0.690273454655712</v>
      </c>
      <c r="F511" s="15" t="n">
        <f aca="false">1+(1-'3. The decision'!$B$14)*(1-(1-'3. The decision'!$B$27)^('3. The decision'!$B$11-1))/'3. The decision'!$B$27</f>
        <v>4.28912098262087</v>
      </c>
      <c r="G511" s="15" t="n">
        <f aca="false">(1-(1-'3. The decision'!$B$9*MIN(1,('3. The decision'!$B$10/(52/12)))))+(1-(1-'3. The decision'!$B$9*MAX(0,MIN(1,('3. The decision'!$B$10/(52/12))-1))))*(1-'3. The decision'!$B$14)+(1-(1-'3. The decision'!$B$9*MAX(0,MIN(1,('3. The decision'!$B$10/(52/12))-2))))*(1-'3. The decision'!$B$14)*(1-'3. The decision'!$B$27)</f>
        <v>0.884576923076923</v>
      </c>
      <c r="H511" s="15" t="n">
        <f aca="false">IF(A511&lt;=0,0,MAX(0,ROUNDUP(LN('3. The decision'!$B$13)/LN(1+A511)-0.000000000001,0)-1))</f>
        <v>2</v>
      </c>
      <c r="I511" s="15" t="n">
        <f aca="false">IF(A511&lt;=0,1/(1-C511),(1+A511)*(1-(C511*(1+A511))^H511)/(1-C511*(1+A511))+'3. The decision'!$B$13*C511^H511/(1-C511))</f>
        <v>2.33698857611875</v>
      </c>
      <c r="J511" s="17" t="n">
        <f aca="false">F511+E511*D511/(1-C511)</f>
        <v>8.82084746086657</v>
      </c>
      <c r="K511" s="15" t="n">
        <f aca="false">F511-G511+E511*D511*I511</f>
        <v>9.36920119903771</v>
      </c>
      <c r="L511" s="17" t="n">
        <f aca="false">'3. The decision'!$B$8*'3. The decision'!$B$5/J511</f>
        <v>53.2420498238456</v>
      </c>
      <c r="M511" s="31" t="n">
        <f aca="false">L511*'3. The decision'!$B$6*'3. The decision'!$B$7*K511</f>
        <v>956778.28175363</v>
      </c>
      <c r="N511" s="31" t="n">
        <f aca="false">M511*(1+'3. The decision'!$B$19+'3. The decision'!$B$20+'3. The decision'!$B$22)</f>
        <v>1058196.77961951</v>
      </c>
      <c r="O511" s="31" t="n">
        <f aca="false">'3. The decision'!$B$17+'3. The decision'!$B$18*L511*12+M511*('3. The decision'!$B$20*(1-'3. The decision'!$B$21)+'3. The decision'!$B$23)+N511*('3. The decision'!$B$24+'3. The decision'!$B$25)</f>
        <v>611527.959367421</v>
      </c>
      <c r="P511" s="31" t="n">
        <f aca="false">N511-O511</f>
        <v>446668.820252094</v>
      </c>
    </row>
    <row r="512" customFormat="false" ht="15" hidden="false" customHeight="false" outlineLevel="0" collapsed="false">
      <c r="A512" s="27" t="n">
        <f aca="false">73*0.0025</f>
        <v>0.1825</v>
      </c>
      <c r="B512" s="27" t="n">
        <f aca="false">IF(A512&gt;0,MIN('3. The decision'!$B$15,'3. The decision'!$B$29*(A512/'3. The decision'!$B$28)^$B$436),0)</f>
        <v>0.330725973850495</v>
      </c>
      <c r="C512" s="15" t="n">
        <f aca="false">(1-'3. The decision'!$B$27-B512)*(1-'3. The decision'!$B$27)^('3. The decision'!$B$12-1)</f>
        <v>0.427293357460273</v>
      </c>
      <c r="D512" s="15" t="n">
        <f aca="false">1+(1-'3. The decision'!$B$27-B512)*(1-(1-'3. The decision'!$B$27)^('3. The decision'!$B$12-1))/'3. The decision'!$B$27</f>
        <v>3.63880704795836</v>
      </c>
      <c r="E512" s="15" t="n">
        <f aca="false">(1-'3. The decision'!$B$14)*(1-'3. The decision'!$B$27)^('3. The decision'!$B$11-1)</f>
        <v>0.690273454655712</v>
      </c>
      <c r="F512" s="15" t="n">
        <f aca="false">1+(1-'3. The decision'!$B$14)*(1-(1-'3. The decision'!$B$27)^('3. The decision'!$B$11-1))/'3. The decision'!$B$27</f>
        <v>4.28912098262087</v>
      </c>
      <c r="G512" s="15" t="n">
        <f aca="false">(1-(1-'3. The decision'!$B$9*MIN(1,('3. The decision'!$B$10/(52/12)))))+(1-(1-'3. The decision'!$B$9*MAX(0,MIN(1,('3. The decision'!$B$10/(52/12))-1))))*(1-'3. The decision'!$B$14)+(1-(1-'3. The decision'!$B$9*MAX(0,MIN(1,('3. The decision'!$B$10/(52/12))-2))))*(1-'3. The decision'!$B$14)*(1-'3. The decision'!$B$27)</f>
        <v>0.884576923076923</v>
      </c>
      <c r="H512" s="15" t="n">
        <f aca="false">IF(A512&lt;=0,0,MAX(0,ROUNDUP(LN('3. The decision'!$B$13)/LN(1+A512)-0.000000000001,0)-1))</f>
        <v>2</v>
      </c>
      <c r="I512" s="15" t="n">
        <f aca="false">IF(A512&lt;=0,1/(1-C512),(1+A512)*(1-(C512*(1+A512))^H512)/(1-C512*(1+A512))+'3. The decision'!$B$13*C512^H512/(1-C512))</f>
        <v>2.29644505334123</v>
      </c>
      <c r="J512" s="17" t="n">
        <f aca="false">F512+E512*D512/(1-C512)</f>
        <v>8.67491245987887</v>
      </c>
      <c r="K512" s="15" t="n">
        <f aca="false">F512-G512+E512*D512*I512</f>
        <v>9.1726902415639</v>
      </c>
      <c r="L512" s="17" t="n">
        <f aca="false">'3. The decision'!$B$8*'3. The decision'!$B$5/J512</f>
        <v>54.1377221006053</v>
      </c>
      <c r="M512" s="31" t="n">
        <f aca="false">L512*'3. The decision'!$B$6*'3. The decision'!$B$7*K512</f>
        <v>952468.63235524</v>
      </c>
      <c r="N512" s="31" t="n">
        <f aca="false">M512*(1+'3. The decision'!$B$19+'3. The decision'!$B$20+'3. The decision'!$B$22)</f>
        <v>1053430.3073849</v>
      </c>
      <c r="O512" s="31" t="n">
        <f aca="false">'3. The decision'!$B$17+'3. The decision'!$B$18*L512*12+M512*('3. The decision'!$B$20*(1-'3. The decision'!$B$21)+'3. The decision'!$B$23)+N512*('3. The decision'!$B$24+'3. The decision'!$B$25)</f>
        <v>612420.918135105</v>
      </c>
      <c r="P512" s="31" t="n">
        <f aca="false">N512-O512</f>
        <v>441009.38924979</v>
      </c>
    </row>
    <row r="513" customFormat="false" ht="15" hidden="false" customHeight="false" outlineLevel="0" collapsed="false">
      <c r="A513" s="27" t="n">
        <f aca="false">74*0.0025</f>
        <v>0.185</v>
      </c>
      <c r="B513" s="27" t="n">
        <f aca="false">IF(A513&gt;0,MIN('3. The decision'!$B$15,'3. The decision'!$B$29*(A513/'3. The decision'!$B$28)^$B$436),0)</f>
        <v>0.344504487021372</v>
      </c>
      <c r="C513" s="15" t="n">
        <f aca="false">(1-'3. The decision'!$B$27-B513)*(1-'3. The decision'!$B$27)^('3. The decision'!$B$12-1)</f>
        <v>0.417526070055401</v>
      </c>
      <c r="D513" s="15" t="n">
        <f aca="false">1+(1-'3. The decision'!$B$27-B513)*(1-(1-'3. The decision'!$B$27)^('3. The decision'!$B$12-1))/'3. The decision'!$B$27</f>
        <v>3.57848786350717</v>
      </c>
      <c r="E513" s="15" t="n">
        <f aca="false">(1-'3. The decision'!$B$14)*(1-'3. The decision'!$B$27)^('3. The decision'!$B$11-1)</f>
        <v>0.690273454655712</v>
      </c>
      <c r="F513" s="15" t="n">
        <f aca="false">1+(1-'3. The decision'!$B$14)*(1-(1-'3. The decision'!$B$27)^('3. The decision'!$B$11-1))/'3. The decision'!$B$27</f>
        <v>4.28912098262087</v>
      </c>
      <c r="G513" s="15" t="n">
        <f aca="false">(1-(1-'3. The decision'!$B$9*MIN(1,('3. The decision'!$B$10/(52/12)))))+(1-(1-'3. The decision'!$B$9*MAX(0,MIN(1,('3. The decision'!$B$10/(52/12))-1))))*(1-'3. The decision'!$B$14)+(1-(1-'3. The decision'!$B$9*MAX(0,MIN(1,('3. The decision'!$B$10/(52/12))-2))))*(1-'3. The decision'!$B$14)*(1-'3. The decision'!$B$27)</f>
        <v>0.884576923076923</v>
      </c>
      <c r="H513" s="15" t="n">
        <f aca="false">IF(A513&lt;=0,0,MAX(0,ROUNDUP(LN('3. The decision'!$B$13)/LN(1+A513)-0.000000000001,0)-1))</f>
        <v>2</v>
      </c>
      <c r="I513" s="15" t="n">
        <f aca="false">IF(A513&lt;=0,1/(1-C513),(1+A513)*(1-(C513*(1+A513))^H513)/(1-C513*(1+A513))+'3. The decision'!$B$13*C513^H513/(1-C513))</f>
        <v>2.25614866775337</v>
      </c>
      <c r="J513" s="17" t="n">
        <f aca="false">F513+E513*D513/(1-C513)</f>
        <v>8.52988619630447</v>
      </c>
      <c r="K513" s="15" t="n">
        <f aca="false">F513-G513+E513*D513*I513</f>
        <v>8.97753625504153</v>
      </c>
      <c r="L513" s="17" t="n">
        <f aca="false">'3. The decision'!$B$8*'3. The decision'!$B$5/J513</f>
        <v>55.0581788774004</v>
      </c>
      <c r="M513" s="31" t="n">
        <f aca="false">L513*'3. The decision'!$B$6*'3. The decision'!$B$7*K513</f>
        <v>948053.805501407</v>
      </c>
      <c r="N513" s="31" t="n">
        <f aca="false">M513*(1+'3. The decision'!$B$19+'3. The decision'!$B$20+'3. The decision'!$B$22)</f>
        <v>1048547.50888456</v>
      </c>
      <c r="O513" s="31" t="n">
        <f aca="false">'3. The decision'!$B$17+'3. The decision'!$B$18*L513*12+M513*('3. The decision'!$B$20*(1-'3. The decision'!$B$21)+'3. The decision'!$B$23)+N513*('3. The decision'!$B$24+'3. The decision'!$B$25)</f>
        <v>613340.101332986</v>
      </c>
      <c r="P513" s="31" t="n">
        <f aca="false">N513-O513</f>
        <v>435207.40755157</v>
      </c>
    </row>
    <row r="514" customFormat="false" ht="15" hidden="false" customHeight="false" outlineLevel="0" collapsed="false">
      <c r="A514" s="27" t="n">
        <f aca="false">75*0.0025</f>
        <v>0.1875</v>
      </c>
      <c r="B514" s="27" t="n">
        <f aca="false">IF(A514&gt;0,MIN('3. The decision'!$B$15,'3. The decision'!$B$29*(A514/'3. The decision'!$B$28)^$B$436),0)</f>
        <v>0.358660470411776</v>
      </c>
      <c r="C514" s="15" t="n">
        <f aca="false">(1-'3. The decision'!$B$27-B514)*(1-'3. The decision'!$B$27)^('3. The decision'!$B$12-1)</f>
        <v>0.407491202246519</v>
      </c>
      <c r="D514" s="15" t="n">
        <f aca="false">1+(1-'3. The decision'!$B$27-B514)*(1-(1-'3. The decision'!$B$27)^('3. The decision'!$B$12-1))/'3. The decision'!$B$27</f>
        <v>3.51651620062714</v>
      </c>
      <c r="E514" s="15" t="n">
        <f aca="false">(1-'3. The decision'!$B$14)*(1-'3. The decision'!$B$27)^('3. The decision'!$B$11-1)</f>
        <v>0.690273454655712</v>
      </c>
      <c r="F514" s="15" t="n">
        <f aca="false">1+(1-'3. The decision'!$B$14)*(1-(1-'3. The decision'!$B$27)^('3. The decision'!$B$11-1))/'3. The decision'!$B$27</f>
        <v>4.28912098262087</v>
      </c>
      <c r="G514" s="15" t="n">
        <f aca="false">(1-(1-'3. The decision'!$B$9*MIN(1,('3. The decision'!$B$10/(52/12)))))+(1-(1-'3. The decision'!$B$9*MAX(0,MIN(1,('3. The decision'!$B$10/(52/12))-1))))*(1-'3. The decision'!$B$14)+(1-(1-'3. The decision'!$B$9*MAX(0,MIN(1,('3. The decision'!$B$10/(52/12))-2))))*(1-'3. The decision'!$B$14)*(1-'3. The decision'!$B$27)</f>
        <v>0.884576923076923</v>
      </c>
      <c r="H514" s="15" t="n">
        <f aca="false">IF(A514&lt;=0,0,MAX(0,ROUNDUP(LN('3. The decision'!$B$13)/LN(1+A514)-0.000000000001,0)-1))</f>
        <v>2</v>
      </c>
      <c r="I514" s="15" t="n">
        <f aca="false">IF(A514&lt;=0,1/(1-C514),(1+A514)*(1-(C514*(1+A514))^H514)/(1-C514*(1+A514))+'3. The decision'!$B$13*C514^H514/(1-C514))</f>
        <v>2.21612713531138</v>
      </c>
      <c r="J514" s="17" t="n">
        <f aca="false">F514+E514*D514/(1-C514)</f>
        <v>8.38586654211821</v>
      </c>
      <c r="K514" s="15" t="n">
        <f aca="false">F514-G514+E514*D514*I514</f>
        <v>8.78387751656177</v>
      </c>
      <c r="L514" s="17" t="n">
        <f aca="false">'3. The decision'!$B$8*'3. The decision'!$B$5/J514</f>
        <v>56.003753176994</v>
      </c>
      <c r="M514" s="31" t="n">
        <f aca="false">L514*'3. The decision'!$B$6*'3. The decision'!$B$7*K514</f>
        <v>943533.620780064</v>
      </c>
      <c r="N514" s="31" t="n">
        <f aca="false">M514*(1+'3. The decision'!$B$19+'3. The decision'!$B$20+'3. The decision'!$B$22)</f>
        <v>1043548.18458275</v>
      </c>
      <c r="O514" s="31" t="n">
        <f aca="false">'3. The decision'!$B$17+'3. The decision'!$B$18*L514*12+M514*('3. The decision'!$B$20*(1-'3. The decision'!$B$21)+'3. The decision'!$B$23)+N514*('3. The decision'!$B$24+'3. The decision'!$B$25)</f>
        <v>614285.994017532</v>
      </c>
      <c r="P514" s="31" t="n">
        <f aca="false">N514-O514</f>
        <v>429262.190565218</v>
      </c>
    </row>
    <row r="515" customFormat="false" ht="15" hidden="false" customHeight="false" outlineLevel="0" collapsed="false">
      <c r="A515" s="27" t="n">
        <f aca="false">76*0.0025</f>
        <v>0.19</v>
      </c>
      <c r="B515" s="27" t="n">
        <f aca="false">IF(A515&gt;0,MIN('3. The decision'!$B$15,'3. The decision'!$B$29*(A515/'3. The decision'!$B$28)^$B$436),0)</f>
        <v>0.373199024970618</v>
      </c>
      <c r="C515" s="15" t="n">
        <f aca="false">(1-'3. The decision'!$B$27-B515)*(1-'3. The decision'!$B$27)^('3. The decision'!$B$12-1)</f>
        <v>0.397185138082224</v>
      </c>
      <c r="D515" s="15" t="n">
        <f aca="false">1+(1-'3. The decision'!$B$27-B515)*(1-(1-'3. The decision'!$B$27)^('3. The decision'!$B$12-1))/'3. The decision'!$B$27</f>
        <v>3.45286972852868</v>
      </c>
      <c r="E515" s="15" t="n">
        <f aca="false">(1-'3. The decision'!$B$14)*(1-'3. The decision'!$B$27)^('3. The decision'!$B$11-1)</f>
        <v>0.690273454655712</v>
      </c>
      <c r="F515" s="15" t="n">
        <f aca="false">1+(1-'3. The decision'!$B$14)*(1-(1-'3. The decision'!$B$27)^('3. The decision'!$B$11-1))/'3. The decision'!$B$27</f>
        <v>4.28912098262087</v>
      </c>
      <c r="G515" s="15" t="n">
        <f aca="false">(1-(1-'3. The decision'!$B$9*MIN(1,('3. The decision'!$B$10/(52/12)))))+(1-(1-'3. The decision'!$B$9*MAX(0,MIN(1,('3. The decision'!$B$10/(52/12))-1))))*(1-'3. The decision'!$B$14)+(1-(1-'3. The decision'!$B$9*MAX(0,MIN(1,('3. The decision'!$B$10/(52/12))-2))))*(1-'3. The decision'!$B$14)*(1-'3. The decision'!$B$27)</f>
        <v>0.884576923076923</v>
      </c>
      <c r="H515" s="15" t="n">
        <f aca="false">IF(A515&lt;=0,0,MAX(0,ROUNDUP(LN('3. The decision'!$B$13)/LN(1+A515)-0.000000000001,0)-1))</f>
        <v>2</v>
      </c>
      <c r="I515" s="15" t="n">
        <f aca="false">IF(A515&lt;=0,1/(1-C515),(1+A515)*(1-(C515*(1+A515))^H515)/(1-C515*(1+A515))+'3. The decision'!$B$13*C515^H515/(1-C515))</f>
        <v>2.17640622008136</v>
      </c>
      <c r="J515" s="17" t="n">
        <f aca="false">F515+E515*D515/(1-C515)</f>
        <v>8.24294572477317</v>
      </c>
      <c r="K515" s="15" t="n">
        <f aca="false">F515-G515+E515*D515*I515</f>
        <v>8.59184356595257</v>
      </c>
      <c r="L515" s="17" t="n">
        <f aca="false">'3. The decision'!$B$8*'3. The decision'!$B$5/J515</f>
        <v>56.9747776682011</v>
      </c>
      <c r="M515" s="31" t="n">
        <f aca="false">L515*'3. The decision'!$B$6*'3. The decision'!$B$7*K515</f>
        <v>938907.862642254</v>
      </c>
      <c r="N515" s="31" t="n">
        <f aca="false">M515*(1+'3. The decision'!$B$19+'3. The decision'!$B$20+'3. The decision'!$B$22)</f>
        <v>1038432.09608233</v>
      </c>
      <c r="O515" s="31" t="n">
        <f aca="false">'3. The decision'!$B$17+'3. The decision'!$B$18*L515*12+M515*('3. The decision'!$B$20*(1-'3. The decision'!$B$21)+'3. The decision'!$B$23)+N515*('3. The decision'!$B$24+'3. The decision'!$B$25)</f>
        <v>615259.076927363</v>
      </c>
      <c r="P515" s="31" t="n">
        <f aca="false">N515-O515</f>
        <v>423173.01915497</v>
      </c>
    </row>
    <row r="516" customFormat="false" ht="15" hidden="false" customHeight="false" outlineLevel="0" collapsed="false">
      <c r="A516" s="27" t="n">
        <f aca="false">77*0.0025</f>
        <v>0.1925</v>
      </c>
      <c r="B516" s="27" t="n">
        <f aca="false">IF(A516&gt;0,MIN('3. The decision'!$B$15,'3. The decision'!$B$29*(A516/'3. The decision'!$B$28)^$B$436),0)</f>
        <v>0.388125251646813</v>
      </c>
      <c r="C516" s="15" t="n">
        <f aca="false">(1-'3. The decision'!$B$27-B516)*(1-'3. The decision'!$B$27)^('3. The decision'!$B$12-1)</f>
        <v>0.38660426161111</v>
      </c>
      <c r="D516" s="15" t="n">
        <f aca="false">1+(1-'3. The decision'!$B$27-B516)*(1-(1-'3. The decision'!$B$27)^('3. The decision'!$B$12-1))/'3. The decision'!$B$27</f>
        <v>3.38752611642221</v>
      </c>
      <c r="E516" s="15" t="n">
        <f aca="false">(1-'3. The decision'!$B$14)*(1-'3. The decision'!$B$27)^('3. The decision'!$B$11-1)</f>
        <v>0.690273454655712</v>
      </c>
      <c r="F516" s="15" t="n">
        <f aca="false">1+(1-'3. The decision'!$B$14)*(1-(1-'3. The decision'!$B$27)^('3. The decision'!$B$11-1))/'3. The decision'!$B$27</f>
        <v>4.28912098262087</v>
      </c>
      <c r="G516" s="15" t="n">
        <f aca="false">(1-(1-'3. The decision'!$B$9*MIN(1,('3. The decision'!$B$10/(52/12)))))+(1-(1-'3. The decision'!$B$9*MAX(0,MIN(1,('3. The decision'!$B$10/(52/12))-1))))*(1-'3. The decision'!$B$14)+(1-(1-'3. The decision'!$B$9*MAX(0,MIN(1,('3. The decision'!$B$10/(52/12))-2))))*(1-'3. The decision'!$B$14)*(1-'3. The decision'!$B$27)</f>
        <v>0.884576923076923</v>
      </c>
      <c r="H516" s="15" t="n">
        <f aca="false">IF(A516&lt;=0,0,MAX(0,ROUNDUP(LN('3. The decision'!$B$13)/LN(1+A516)-0.000000000001,0)-1))</f>
        <v>2</v>
      </c>
      <c r="I516" s="15" t="n">
        <f aca="false">IF(A516&lt;=0,1/(1-C516),(1+A516)*(1-(C516*(1+A516))^H516)/(1-C516*(1+A516))+'3. The decision'!$B$13*C516^H516/(1-C516))</f>
        <v>2.13700973207901</v>
      </c>
      <c r="J516" s="17" t="n">
        <f aca="false">F516+E516*D516/(1-C516)</f>
        <v>8.10121032197772</v>
      </c>
      <c r="K516" s="15" t="n">
        <f aca="false">F516-G516+E516*D516*I516</f>
        <v>8.40155527814241</v>
      </c>
      <c r="L516" s="17" t="n">
        <f aca="false">'3. The decision'!$B$8*'3. The decision'!$B$5/J516</f>
        <v>57.9715846564207</v>
      </c>
      <c r="M516" s="31" t="n">
        <f aca="false">L516*'3. The decision'!$B$6*'3. The decision'!$B$7*K516</f>
        <v>934176.28246816</v>
      </c>
      <c r="N516" s="31" t="n">
        <f aca="false">M516*(1+'3. The decision'!$B$19+'3. The decision'!$B$20+'3. The decision'!$B$22)</f>
        <v>1033198.96840979</v>
      </c>
      <c r="O516" s="31" t="n">
        <f aca="false">'3. The decision'!$B$17+'3. The decision'!$B$18*L516*12+M516*('3. The decision'!$B$20*(1-'3. The decision'!$B$21)+'3. The decision'!$B$23)+N516*('3. The decision'!$B$24+'3. The decision'!$B$25)</f>
        <v>616259.826691265</v>
      </c>
      <c r="P516" s="31" t="n">
        <f aca="false">N516-O516</f>
        <v>416939.14171852</v>
      </c>
    </row>
    <row r="517" customFormat="false" ht="15" hidden="false" customHeight="false" outlineLevel="0" collapsed="false">
      <c r="A517" s="27" t="n">
        <f aca="false">78*0.0025</f>
        <v>0.195</v>
      </c>
      <c r="B517" s="27" t="n">
        <f aca="false">IF(A517&gt;0,MIN('3. The decision'!$B$15,'3. The decision'!$B$29*(A517/'3. The decision'!$B$28)^$B$436),0)</f>
        <v>0.403444251389272</v>
      </c>
      <c r="C517" s="15" t="n">
        <f aca="false">(1-'3. The decision'!$B$27-B517)*(1-'3. The decision'!$B$27)^('3. The decision'!$B$12-1)</f>
        <v>0.375744956881771</v>
      </c>
      <c r="D517" s="15" t="n">
        <f aca="false">1+(1-'3. The decision'!$B$27-B517)*(1-(1-'3. The decision'!$B$27)^('3. The decision'!$B$12-1))/'3. The decision'!$B$27</f>
        <v>3.32046303351816</v>
      </c>
      <c r="E517" s="15" t="n">
        <f aca="false">(1-'3. The decision'!$B$14)*(1-'3. The decision'!$B$27)^('3. The decision'!$B$11-1)</f>
        <v>0.690273454655712</v>
      </c>
      <c r="F517" s="15" t="n">
        <f aca="false">1+(1-'3. The decision'!$B$14)*(1-(1-'3. The decision'!$B$27)^('3. The decision'!$B$11-1))/'3. The decision'!$B$27</f>
        <v>4.28912098262087</v>
      </c>
      <c r="G517" s="15" t="n">
        <f aca="false">(1-(1-'3. The decision'!$B$9*MIN(1,('3. The decision'!$B$10/(52/12)))))+(1-(1-'3. The decision'!$B$9*MAX(0,MIN(1,('3. The decision'!$B$10/(52/12))-1))))*(1-'3. The decision'!$B$14)+(1-(1-'3. The decision'!$B$9*MAX(0,MIN(1,('3. The decision'!$B$10/(52/12))-2))))*(1-'3. The decision'!$B$14)*(1-'3. The decision'!$B$27)</f>
        <v>0.884576923076923</v>
      </c>
      <c r="H517" s="15" t="n">
        <f aca="false">IF(A517&lt;=0,0,MAX(0,ROUNDUP(LN('3. The decision'!$B$13)/LN(1+A517)-0.000000000001,0)-1))</f>
        <v>2</v>
      </c>
      <c r="I517" s="15" t="n">
        <f aca="false">IF(A517&lt;=0,1/(1-C517),(1+A517)*(1-(C517*(1+A517))^H517)/(1-C517*(1+A517))+'3. The decision'!$B$13*C517^H517/(1-C517))</f>
        <v>2.09795953393036</v>
      </c>
      <c r="J517" s="17" t="n">
        <f aca="false">F517+E517*D517/(1-C517)</f>
        <v>7.96074128344249</v>
      </c>
      <c r="K517" s="15" t="n">
        <f aca="false">F517-G517+E517*D517*I517</f>
        <v>8.21312498254821</v>
      </c>
      <c r="L517" s="17" t="n">
        <f aca="false">'3. The decision'!$B$8*'3. The decision'!$B$5/J517</f>
        <v>58.9945060740514</v>
      </c>
      <c r="M517" s="31" t="n">
        <f aca="false">L517*'3. The decision'!$B$6*'3. The decision'!$B$7*K517</f>
        <v>929338.602007114</v>
      </c>
      <c r="N517" s="31" t="n">
        <f aca="false">M517*(1+'3. The decision'!$B$19+'3. The decision'!$B$20+'3. The decision'!$B$22)</f>
        <v>1027848.49381987</v>
      </c>
      <c r="O517" s="31" t="n">
        <f aca="false">'3. The decision'!$B$17+'3. The decision'!$B$18*L517*12+M517*('3. The decision'!$B$20*(1-'3. The decision'!$B$21)+'3. The decision'!$B$23)+N517*('3. The decision'!$B$24+'3. The decision'!$B$25)</f>
        <v>617288.716183913</v>
      </c>
      <c r="P517" s="31" t="n">
        <f aca="false">N517-O517</f>
        <v>410559.777635955</v>
      </c>
    </row>
    <row r="518" customFormat="false" ht="15" hidden="false" customHeight="false" outlineLevel="0" collapsed="false">
      <c r="A518" s="27" t="n">
        <f aca="false">79*0.0025</f>
        <v>0.1975</v>
      </c>
      <c r="B518" s="27" t="n">
        <f aca="false">IF(A518&gt;0,MIN('3. The decision'!$B$15,'3. The decision'!$B$29*(A518/'3. The decision'!$B$28)^$B$436),0)</f>
        <v>0.419161125146907</v>
      </c>
      <c r="C518" s="15" t="n">
        <f aca="false">(1-'3. The decision'!$B$27-B518)*(1-'3. The decision'!$B$27)^('3. The decision'!$B$12-1)</f>
        <v>0.364603607942801</v>
      </c>
      <c r="D518" s="15" t="n">
        <f aca="false">1+(1-'3. The decision'!$B$27-B518)*(1-(1-'3. The decision'!$B$27)^('3. The decision'!$B$12-1))/'3. The decision'!$B$27</f>
        <v>3.25165814902695</v>
      </c>
      <c r="E518" s="15" t="n">
        <f aca="false">(1-'3. The decision'!$B$14)*(1-'3. The decision'!$B$27)^('3. The decision'!$B$11-1)</f>
        <v>0.690273454655712</v>
      </c>
      <c r="F518" s="15" t="n">
        <f aca="false">1+(1-'3. The decision'!$B$14)*(1-(1-'3. The decision'!$B$27)^('3. The decision'!$B$11-1))/'3. The decision'!$B$27</f>
        <v>4.28912098262087</v>
      </c>
      <c r="G518" s="15" t="n">
        <f aca="false">(1-(1-'3. The decision'!$B$9*MIN(1,('3. The decision'!$B$10/(52/12)))))+(1-(1-'3. The decision'!$B$9*MAX(0,MIN(1,('3. The decision'!$B$10/(52/12))-1))))*(1-'3. The decision'!$B$14)+(1-(1-'3. The decision'!$B$9*MAX(0,MIN(1,('3. The decision'!$B$10/(52/12))-2))))*(1-'3. The decision'!$B$14)*(1-'3. The decision'!$B$27)</f>
        <v>0.884576923076923</v>
      </c>
      <c r="H518" s="15" t="n">
        <f aca="false">IF(A518&lt;=0,0,MAX(0,ROUNDUP(LN('3. The decision'!$B$13)/LN(1+A518)-0.000000000001,0)-1))</f>
        <v>2</v>
      </c>
      <c r="I518" s="15" t="n">
        <f aca="false">IF(A518&lt;=0,1/(1-C518),(1+A518)*(1-(C518*(1+A518))^H518)/(1-C518*(1+A518))+'3. The decision'!$B$13*C518^H518/(1-C518))</f>
        <v>2.05927555565435</v>
      </c>
      <c r="J518" s="17" t="n">
        <f aca="false">F518+E518*D518/(1-C518)</f>
        <v>7.82161397746018</v>
      </c>
      <c r="K518" s="15" t="n">
        <f aca="false">F518-G518+E518*D518*I518</f>
        <v>8.02665662609309</v>
      </c>
      <c r="L518" s="17" t="n">
        <f aca="false">'3. The decision'!$B$8*'3. The decision'!$B$5/J518</f>
        <v>60.0438734707923</v>
      </c>
      <c r="M518" s="31" t="n">
        <f aca="false">L518*'3. The decision'!$B$6*'3. The decision'!$B$7*K518</f>
        <v>924394.518342099</v>
      </c>
      <c r="N518" s="31" t="n">
        <f aca="false">M518*(1+'3. The decision'!$B$19+'3. The decision'!$B$20+'3. The decision'!$B$22)</f>
        <v>1022380.33728636</v>
      </c>
      <c r="O518" s="31" t="n">
        <f aca="false">'3. The decision'!$B$17+'3. The decision'!$B$18*L518*12+M518*('3. The decision'!$B$20*(1-'3. The decision'!$B$21)+'3. The decision'!$B$23)+N518*('3. The decision'!$B$24+'3. The decision'!$B$25)</f>
        <v>618346.21504549</v>
      </c>
      <c r="P518" s="31" t="n">
        <f aca="false">N518-O518</f>
        <v>404034.122240871</v>
      </c>
    </row>
    <row r="519" customFormat="false" ht="15" hidden="false" customHeight="false" outlineLevel="0" collapsed="false">
      <c r="A519" s="27" t="n">
        <f aca="false">80*0.0025</f>
        <v>0.2</v>
      </c>
      <c r="B519" s="27" t="n">
        <f aca="false">IF(A519&gt;0,MIN('3. The decision'!$B$15,'3. The decision'!$B$29*(A519/'3. The decision'!$B$28)^$B$436),0)</f>
        <v>0.435280973868632</v>
      </c>
      <c r="C519" s="15" t="n">
        <f aca="false">(1-'3. The decision'!$B$27-B519)*(1-'3. The decision'!$B$27)^('3. The decision'!$B$12-1)</f>
        <v>0.353176598842795</v>
      </c>
      <c r="D519" s="15" t="n">
        <f aca="false">1+(1-'3. The decision'!$B$27-B519)*(1-(1-'3. The decision'!$B$27)^('3. The decision'!$B$12-1))/'3. The decision'!$B$27</f>
        <v>3.18108913215899</v>
      </c>
      <c r="E519" s="15" t="n">
        <f aca="false">(1-'3. The decision'!$B$14)*(1-'3. The decision'!$B$27)^('3. The decision'!$B$11-1)</f>
        <v>0.690273454655712</v>
      </c>
      <c r="F519" s="15" t="n">
        <f aca="false">1+(1-'3. The decision'!$B$14)*(1-(1-'3. The decision'!$B$27)^('3. The decision'!$B$11-1))/'3. The decision'!$B$27</f>
        <v>4.28912098262087</v>
      </c>
      <c r="G519" s="15" t="n">
        <f aca="false">(1-(1-'3. The decision'!$B$9*MIN(1,('3. The decision'!$B$10/(52/12)))))+(1-(1-'3. The decision'!$B$9*MAX(0,MIN(1,('3. The decision'!$B$10/(52/12))-1))))*(1-'3. The decision'!$B$14)+(1-(1-'3. The decision'!$B$9*MAX(0,MIN(1,('3. The decision'!$B$10/(52/12))-2))))*(1-'3. The decision'!$B$14)*(1-'3. The decision'!$B$27)</f>
        <v>0.884576923076923</v>
      </c>
      <c r="H519" s="15" t="n">
        <f aca="false">IF(A519&lt;=0,0,MAX(0,ROUNDUP(LN('3. The decision'!$B$13)/LN(1+A519)-0.000000000001,0)-1))</f>
        <v>2</v>
      </c>
      <c r="I519" s="15" t="n">
        <f aca="false">IF(A519&lt;=0,1/(1-C519),(1+A519)*(1-(C519*(1+A519))^H519)/(1-C519*(1+A519))+'3. The decision'!$B$13*C519^H519/(1-C519))</f>
        <v>2.02097581685854</v>
      </c>
      <c r="J519" s="17" t="n">
        <f aca="false">F519+E519*D519/(1-C519)</f>
        <v>7.68389826015084</v>
      </c>
      <c r="K519" s="15" t="n">
        <f aca="false">F519-G519+E519*D519*I519</f>
        <v>7.84224597641232</v>
      </c>
      <c r="L519" s="17" t="n">
        <f aca="false">'3. The decision'!$B$8*'3. The decision'!$B$5/J519</f>
        <v>61.1200180038278</v>
      </c>
      <c r="M519" s="31" t="n">
        <f aca="false">L519*'3. The decision'!$B$6*'3. The decision'!$B$7*K519</f>
        <v>919343.71053806</v>
      </c>
      <c r="N519" s="31" t="n">
        <f aca="false">M519*(1+'3. The decision'!$B$19+'3. The decision'!$B$20+'3. The decision'!$B$22)</f>
        <v>1016794.14385509</v>
      </c>
      <c r="O519" s="31" t="n">
        <f aca="false">'3. The decision'!$B$17+'3. The decision'!$B$18*L519*12+M519*('3. The decision'!$B$20*(1-'3. The decision'!$B$21)+'3. The decision'!$B$23)+N519*('3. The decision'!$B$24+'3. The decision'!$B$25)</f>
        <v>619432.790382359</v>
      </c>
      <c r="P519" s="31" t="n">
        <f aca="false">N519-O519</f>
        <v>397361.353472736</v>
      </c>
    </row>
    <row r="520" customFormat="false" ht="15" hidden="false" customHeight="false" outlineLevel="0" collapsed="false">
      <c r="A520" s="27" t="n">
        <f aca="false">81*0.0025</f>
        <v>0.2025</v>
      </c>
      <c r="B520" s="27" t="n">
        <f aca="false">IF(A520&gt;0,MIN('3. The decision'!$B$15,'3. The decision'!$B$29*(A520/'3. The decision'!$B$28)^$B$436),0)</f>
        <v>0.451808898503359</v>
      </c>
      <c r="C520" s="15" t="n">
        <f aca="false">(1-'3. The decision'!$B$27-B520)*(1-'3. The decision'!$B$27)^('3. The decision'!$B$12-1)</f>
        <v>0.341460313630348</v>
      </c>
      <c r="D520" s="15" t="n">
        <f aca="false">1+(1-'3. The decision'!$B$27-B520)*(1-(1-'3. The decision'!$B$27)^('3. The decision'!$B$12-1))/'3. The decision'!$B$27</f>
        <v>3.10873365212471</v>
      </c>
      <c r="E520" s="15" t="n">
        <f aca="false">(1-'3. The decision'!$B$14)*(1-'3. The decision'!$B$27)^('3. The decision'!$B$11-1)</f>
        <v>0.690273454655712</v>
      </c>
      <c r="F520" s="15" t="n">
        <f aca="false">1+(1-'3. The decision'!$B$14)*(1-(1-'3. The decision'!$B$27)^('3. The decision'!$B$11-1))/'3. The decision'!$B$27</f>
        <v>4.28912098262087</v>
      </c>
      <c r="G520" s="15" t="n">
        <f aca="false">(1-(1-'3. The decision'!$B$9*MIN(1,('3. The decision'!$B$10/(52/12)))))+(1-(1-'3. The decision'!$B$9*MAX(0,MIN(1,('3. The decision'!$B$10/(52/12))-1))))*(1-'3. The decision'!$B$14)+(1-(1-'3. The decision'!$B$9*MAX(0,MIN(1,('3. The decision'!$B$10/(52/12))-2))))*(1-'3. The decision'!$B$14)*(1-'3. The decision'!$B$27)</f>
        <v>0.884576923076923</v>
      </c>
      <c r="H520" s="15" t="n">
        <f aca="false">IF(A520&lt;=0,0,MAX(0,ROUNDUP(LN('3. The decision'!$B$13)/LN(1+A520)-0.000000000001,0)-1))</f>
        <v>2</v>
      </c>
      <c r="I520" s="15" t="n">
        <f aca="false">IF(A520&lt;=0,1/(1-C520),(1+A520)*(1-(C520*(1+A520))^H520)/(1-C520*(1+A520))+'3. The decision'!$B$13*C520^H520/(1-C520))</f>
        <v>1.98307645563786</v>
      </c>
      <c r="J520" s="17" t="n">
        <f aca="false">F520+E520*D520/(1-C520)</f>
        <v>7.54765856520184</v>
      </c>
      <c r="K520" s="15" t="n">
        <f aca="false">F520-G520+E520*D520*I520</f>
        <v>7.65998086179961</v>
      </c>
      <c r="L520" s="17" t="n">
        <f aca="false">'3. The decision'!$B$8*'3. The decision'!$B$5/J520</f>
        <v>62.2232704278987</v>
      </c>
      <c r="M520" s="31" t="n">
        <f aca="false">L520*'3. The decision'!$B$6*'3. The decision'!$B$7*K520</f>
        <v>914185.848142513</v>
      </c>
      <c r="N520" s="31" t="n">
        <f aca="false">M520*(1+'3. The decision'!$B$19+'3. The decision'!$B$20+'3. The decision'!$B$22)</f>
        <v>1011089.54804562</v>
      </c>
      <c r="O520" s="31" t="n">
        <f aca="false">'3. The decision'!$B$17+'3. The decision'!$B$18*L520*12+M520*('3. The decision'!$B$20*(1-'3. The decision'!$B$21)+'3. The decision'!$B$23)+N520*('3. The decision'!$B$24+'3. The decision'!$B$25)</f>
        <v>620548.907666915</v>
      </c>
      <c r="P520" s="31" t="n">
        <f aca="false">N520-O520</f>
        <v>390540.640378705</v>
      </c>
    </row>
    <row r="521" customFormat="false" ht="15" hidden="false" customHeight="false" outlineLevel="0" collapsed="false">
      <c r="A521" s="27" t="n">
        <f aca="false">82*0.0025</f>
        <v>0.205</v>
      </c>
      <c r="B521" s="27" t="n">
        <f aca="false">IF(A521&gt;0,MIN('3. The decision'!$B$15,'3. The decision'!$B$29*(A521/'3. The decision'!$B$28)^$B$436),0)</f>
        <v>0.46875</v>
      </c>
      <c r="C521" s="15" t="n">
        <f aca="false">(1-'3. The decision'!$B$27-B521)*(1-'3. The decision'!$B$27)^('3. The decision'!$B$12-1)</f>
        <v>0.329451136354053</v>
      </c>
      <c r="D521" s="15" t="n">
        <f aca="false">1+(1-'3. The decision'!$B$27-B521)*(1-(1-'3. The decision'!$B$27)^('3. The decision'!$B$12-1))/'3. The decision'!$B$27</f>
        <v>3.03456937813454</v>
      </c>
      <c r="E521" s="15" t="n">
        <f aca="false">(1-'3. The decision'!$B$14)*(1-'3. The decision'!$B$27)^('3. The decision'!$B$11-1)</f>
        <v>0.690273454655712</v>
      </c>
      <c r="F521" s="15" t="n">
        <f aca="false">1+(1-'3. The decision'!$B$14)*(1-(1-'3. The decision'!$B$27)^('3. The decision'!$B$11-1))/'3. The decision'!$B$27</f>
        <v>4.28912098262087</v>
      </c>
      <c r="G521" s="15" t="n">
        <f aca="false">(1-(1-'3. The decision'!$B$9*MIN(1,('3. The decision'!$B$10/(52/12)))))+(1-(1-'3. The decision'!$B$9*MAX(0,MIN(1,('3. The decision'!$B$10/(52/12))-1))))*(1-'3. The decision'!$B$14)+(1-(1-'3. The decision'!$B$9*MAX(0,MIN(1,('3. The decision'!$B$10/(52/12))-2))))*(1-'3. The decision'!$B$14)*(1-'3. The decision'!$B$27)</f>
        <v>0.884576923076923</v>
      </c>
      <c r="H521" s="15" t="n">
        <f aca="false">IF(A521&lt;=0,0,MAX(0,ROUNDUP(LN('3. The decision'!$B$13)/LN(1+A521)-0.000000000001,0)-1))</f>
        <v>2</v>
      </c>
      <c r="I521" s="15" t="n">
        <f aca="false">IF(A521&lt;=0,1/(1-C521),(1+A521)*(1-(C521*(1+A521))^H521)/(1-C521*(1+A521))+'3. The decision'!$B$13*C521^H521/(1-C521))</f>
        <v>1.945591763473</v>
      </c>
      <c r="J521" s="17" t="n">
        <f aca="false">F521+E521*D521/(1-C521)</f>
        <v>7.41295401195155</v>
      </c>
      <c r="K521" s="15" t="n">
        <f aca="false">F521-G521+E521*D521*I521</f>
        <v>7.47994144447893</v>
      </c>
      <c r="L521" s="17" t="n">
        <f aca="false">'3. The decision'!$B$8*'3. The decision'!$B$5/J521</f>
        <v>63.3539610852599</v>
      </c>
      <c r="M521" s="31" t="n">
        <f aca="false">L521*'3. The decision'!$B$6*'3. The decision'!$B$7*K521</f>
        <v>908920.601716379</v>
      </c>
      <c r="N521" s="31" t="n">
        <f aca="false">M521*(1+'3. The decision'!$B$19+'3. The decision'!$B$20+'3. The decision'!$B$22)</f>
        <v>1005266.18549832</v>
      </c>
      <c r="O521" s="31" t="n">
        <f aca="false">'3. The decision'!$B$17+'3. The decision'!$B$18*L521*12+M521*('3. The decision'!$B$20*(1-'3. The decision'!$B$21)+'3. The decision'!$B$23)+N521*('3. The decision'!$B$24+'3. The decision'!$B$25)</f>
        <v>621695.031855775</v>
      </c>
      <c r="P521" s="31" t="n">
        <f aca="false">N521-O521</f>
        <v>383571.15364254</v>
      </c>
    </row>
    <row r="522" customFormat="false" ht="15" hidden="false" customHeight="false" outlineLevel="0" collapsed="false">
      <c r="A522" s="27" t="n">
        <f aca="false">83*0.0025</f>
        <v>0.2075</v>
      </c>
      <c r="B522" s="27" t="n">
        <f aca="false">IF(A522&gt;0,MIN('3. The decision'!$B$15,'3. The decision'!$B$29*(A522/'3. The decision'!$B$28)^$B$436),0)</f>
        <v>0.486109379307468</v>
      </c>
      <c r="C522" s="15" t="n">
        <f aca="false">(1-'3. The decision'!$B$27-B522)*(1-'3. The decision'!$B$27)^('3. The decision'!$B$12-1)</f>
        <v>0.317145451062506</v>
      </c>
      <c r="D522" s="15" t="n">
        <f aca="false">1+(1-'3. The decision'!$B$27-B522)*(1-(1-'3. The decision'!$B$27)^('3. The decision'!$B$12-1))/'3. The decision'!$B$27</f>
        <v>2.95857397939888</v>
      </c>
      <c r="E522" s="15" t="n">
        <f aca="false">(1-'3. The decision'!$B$14)*(1-'3. The decision'!$B$27)^('3. The decision'!$B$11-1)</f>
        <v>0.690273454655712</v>
      </c>
      <c r="F522" s="15" t="n">
        <f aca="false">1+(1-'3. The decision'!$B$14)*(1-(1-'3. The decision'!$B$27)^('3. The decision'!$B$11-1))/'3. The decision'!$B$27</f>
        <v>4.28912098262087</v>
      </c>
      <c r="G522" s="15" t="n">
        <f aca="false">(1-(1-'3. The decision'!$B$9*MIN(1,('3. The decision'!$B$10/(52/12)))))+(1-(1-'3. The decision'!$B$9*MAX(0,MIN(1,('3. The decision'!$B$10/(52/12))-1))))*(1-'3. The decision'!$B$14)+(1-(1-'3. The decision'!$B$9*MAX(0,MIN(1,('3. The decision'!$B$10/(52/12))-2))))*(1-'3. The decision'!$B$14)*(1-'3. The decision'!$B$27)</f>
        <v>0.884576923076923</v>
      </c>
      <c r="H522" s="15" t="n">
        <f aca="false">IF(A522&lt;=0,0,MAX(0,ROUNDUP(LN('3. The decision'!$B$13)/LN(1+A522)-0.000000000001,0)-1))</f>
        <v>2</v>
      </c>
      <c r="I522" s="15" t="n">
        <f aca="false">IF(A522&lt;=0,1/(1-C522),(1+A522)*(1-(C522*(1+A522))^H522)/(1-C522*(1+A522))+'3. The decision'!$B$13*C522^H522/(1-C522))</f>
        <v>1.90853422543794</v>
      </c>
      <c r="J522" s="17" t="n">
        <f aca="false">F522+E522*D522/(1-C522)</f>
        <v>7.27983852970585</v>
      </c>
      <c r="K522" s="15" t="n">
        <f aca="false">F522-G522+E522*D522*I522</f>
        <v>7.30220052385237</v>
      </c>
      <c r="L522" s="17" t="n">
        <f aca="false">'3. The decision'!$B$8*'3. The decision'!$B$5/J522</f>
        <v>64.5124198955243</v>
      </c>
      <c r="M522" s="31" t="n">
        <f aca="false">L522*'3. The decision'!$B$6*'3. The decision'!$B$7*K522</f>
        <v>903547.655582776</v>
      </c>
      <c r="N522" s="31" t="n">
        <f aca="false">M522*(1+'3. The decision'!$B$19+'3. The decision'!$B$20+'3. The decision'!$B$22)</f>
        <v>999323.70707455</v>
      </c>
      <c r="O522" s="31" t="n">
        <f aca="false">'3. The decision'!$B$17+'3. The decision'!$B$18*L522*12+M522*('3. The decision'!$B$20*(1-'3. The decision'!$B$21)+'3. The decision'!$B$23)+N522*('3. The decision'!$B$24+'3. The decision'!$B$25)</f>
        <v>622871.628746511</v>
      </c>
      <c r="P522" s="31" t="n">
        <f aca="false">N522-O522</f>
        <v>376452.078328039</v>
      </c>
    </row>
    <row r="523" customFormat="false" ht="15" hidden="false" customHeight="false" outlineLevel="0" collapsed="false">
      <c r="A523" s="27" t="n">
        <f aca="false">84*0.0025</f>
        <v>0.21</v>
      </c>
      <c r="B523" s="27" t="n">
        <f aca="false">IF(A523&gt;0,MIN('3. The decision'!$B$15,'3. The decision'!$B$29*(A523/'3. The decision'!$B$28)^$B$436),0)</f>
        <v>0.503892137374675</v>
      </c>
      <c r="C523" s="15" t="n">
        <f aca="false">(1-'3. The decision'!$B$27-B523)*(1-'3. The decision'!$B$27)^('3. The decision'!$B$12-1)</f>
        <v>0.304539641804302</v>
      </c>
      <c r="D523" s="15" t="n">
        <f aca="false">1+(1-'3. The decision'!$B$27-B523)*(1-(1-'3. The decision'!$B$27)^('3. The decision'!$B$12-1))/'3. The decision'!$B$27</f>
        <v>2.88072512512816</v>
      </c>
      <c r="E523" s="15" t="n">
        <f aca="false">(1-'3. The decision'!$B$14)*(1-'3. The decision'!$B$27)^('3. The decision'!$B$11-1)</f>
        <v>0.690273454655712</v>
      </c>
      <c r="F523" s="15" t="n">
        <f aca="false">1+(1-'3. The decision'!$B$14)*(1-(1-'3. The decision'!$B$27)^('3. The decision'!$B$11-1))/'3. The decision'!$B$27</f>
        <v>4.28912098262087</v>
      </c>
      <c r="G523" s="15" t="n">
        <f aca="false">(1-(1-'3. The decision'!$B$9*MIN(1,('3. The decision'!$B$10/(52/12)))))+(1-(1-'3. The decision'!$B$9*MAX(0,MIN(1,('3. The decision'!$B$10/(52/12))-1))))*(1-'3. The decision'!$B$14)+(1-(1-'3. The decision'!$B$9*MAX(0,MIN(1,('3. The decision'!$B$10/(52/12))-2))))*(1-'3. The decision'!$B$14)*(1-'3. The decision'!$B$27)</f>
        <v>0.884576923076923</v>
      </c>
      <c r="H523" s="15" t="n">
        <f aca="false">IF(A523&lt;=0,0,MAX(0,ROUNDUP(LN('3. The decision'!$B$13)/LN(1+A523)-0.000000000001,0)-1))</f>
        <v>2</v>
      </c>
      <c r="I523" s="15" t="n">
        <f aca="false">IF(A523&lt;=0,1/(1-C523),(1+A523)*(1-(C523*(1+A523))^H523)/(1-C523*(1+A523))+'3. The decision'!$B$13*C523^H523/(1-C523))</f>
        <v>1.87191456504545</v>
      </c>
      <c r="J523" s="17" t="n">
        <f aca="false">F523+E523*D523/(1-C523)</f>
        <v>7.14836099623525</v>
      </c>
      <c r="K523" s="15" t="n">
        <f aca="false">F523-G523+E523*D523*I523</f>
        <v>7.12682386646975</v>
      </c>
      <c r="L523" s="17" t="n">
        <f aca="false">'3. The decision'!$B$8*'3. The decision'!$B$5/J523</f>
        <v>65.6989763453945</v>
      </c>
      <c r="M523" s="31" t="n">
        <f aca="false">L523*'3. The decision'!$B$6*'3. The decision'!$B$7*K523</f>
        <v>898066.72299156</v>
      </c>
      <c r="N523" s="31" t="n">
        <f aca="false">M523*(1+'3. The decision'!$B$19+'3. The decision'!$B$20+'3. The decision'!$B$22)</f>
        <v>993261.795628666</v>
      </c>
      <c r="O523" s="31" t="n">
        <f aca="false">'3. The decision'!$B$17+'3. The decision'!$B$18*L523*12+M523*('3. The decision'!$B$20*(1-'3. The decision'!$B$21)+'3. The decision'!$B$23)+N523*('3. The decision'!$B$24+'3. The decision'!$B$25)</f>
        <v>624079.166594203</v>
      </c>
      <c r="P523" s="31" t="n">
        <f aca="false">N523-O523</f>
        <v>369182.629034462</v>
      </c>
    </row>
    <row r="524" customFormat="false" ht="15" hidden="false" customHeight="false" outlineLevel="0" collapsed="false">
      <c r="A524" s="27" t="n">
        <f aca="false">85*0.0025</f>
        <v>0.2125</v>
      </c>
      <c r="B524" s="27" t="n">
        <f aca="false">IF(A524&gt;0,MIN('3. The decision'!$B$15,'3. The decision'!$B$29*(A524/'3. The decision'!$B$28)^$B$436),0)</f>
        <v>0.522103375150535</v>
      </c>
      <c r="C524" s="15" t="n">
        <f aca="false">(1-'3. The decision'!$B$27-B524)*(1-'3. The decision'!$B$27)^('3. The decision'!$B$12-1)</f>
        <v>0.291630092628033</v>
      </c>
      <c r="D524" s="15" t="n">
        <f aca="false">1+(1-'3. The decision'!$B$27-B524)*(1-(1-'3. The decision'!$B$27)^('3. The decision'!$B$12-1))/'3. The decision'!$B$27</f>
        <v>2.80100048453281</v>
      </c>
      <c r="E524" s="15" t="n">
        <f aca="false">(1-'3. The decision'!$B$14)*(1-'3. The decision'!$B$27)^('3. The decision'!$B$11-1)</f>
        <v>0.690273454655712</v>
      </c>
      <c r="F524" s="15" t="n">
        <f aca="false">1+(1-'3. The decision'!$B$14)*(1-(1-'3. The decision'!$B$27)^('3. The decision'!$B$11-1))/'3. The decision'!$B$27</f>
        <v>4.28912098262087</v>
      </c>
      <c r="G524" s="15" t="n">
        <f aca="false">(1-(1-'3. The decision'!$B$9*MIN(1,('3. The decision'!$B$10/(52/12)))))+(1-(1-'3. The decision'!$B$9*MAX(0,MIN(1,('3. The decision'!$B$10/(52/12))-1))))*(1-'3. The decision'!$B$14)+(1-(1-'3. The decision'!$B$9*MAX(0,MIN(1,('3. The decision'!$B$10/(52/12))-2))))*(1-'3. The decision'!$B$14)*(1-'3. The decision'!$B$27)</f>
        <v>0.884576923076923</v>
      </c>
      <c r="H524" s="15" t="n">
        <f aca="false">IF(A524&lt;=0,0,MAX(0,ROUNDUP(LN('3. The decision'!$B$13)/LN(1+A524)-0.000000000001,0)-1))</f>
        <v>2</v>
      </c>
      <c r="I524" s="15" t="n">
        <f aca="false">IF(A524&lt;=0,1/(1-C524),(1+A524)*(1-(C524*(1+A524))^H524)/(1-C524*(1+A524))+'3. The decision'!$B$13*C524^H524/(1-C524))</f>
        <v>1.83574179308334</v>
      </c>
      <c r="J524" s="17" t="n">
        <f aca="false">F524+E524*D524/(1-C524)</f>
        <v>7.01856538847354</v>
      </c>
      <c r="K524" s="15" t="n">
        <f aca="false">F524-G524+E524*D524*I524</f>
        <v>6.9538705595848</v>
      </c>
      <c r="L524" s="17" t="n">
        <f aca="false">'3. The decision'!$B$8*'3. The decision'!$B$5/J524</f>
        <v>66.9139594782833</v>
      </c>
      <c r="M524" s="31" t="n">
        <f aca="false">L524*'3. The decision'!$B$6*'3. The decision'!$B$7*K524</f>
        <v>892477.563907854</v>
      </c>
      <c r="N524" s="31" t="n">
        <f aca="false">M524*(1+'3. The decision'!$B$19+'3. The decision'!$B$20+'3. The decision'!$B$22)</f>
        <v>987080.185682086</v>
      </c>
      <c r="O524" s="31" t="n">
        <f aca="false">'3. The decision'!$B$17+'3. The decision'!$B$18*L524*12+M524*('3. The decision'!$B$20*(1-'3. The decision'!$B$21)+'3. The decision'!$B$23)+N524*('3. The decision'!$B$24+'3. The decision'!$B$25)</f>
        <v>625318.118010248</v>
      </c>
      <c r="P524" s="31" t="n">
        <f aca="false">N524-O524</f>
        <v>361762.067671838</v>
      </c>
    </row>
    <row r="525" customFormat="false" ht="15" hidden="false" customHeight="false" outlineLevel="0" collapsed="false">
      <c r="A525" s="27" t="n">
        <f aca="false">86*0.0025</f>
        <v>0.215</v>
      </c>
      <c r="B525" s="27" t="n">
        <f aca="false">IF(A525&gt;0,MIN('3. The decision'!$B$15,'3. The decision'!$B$29*(A525/'3. The decision'!$B$28)^$B$436),0)</f>
        <v>0.540748193583958</v>
      </c>
      <c r="C525" s="15" t="n">
        <f aca="false">(1-'3. The decision'!$B$27-B525)*(1-'3. The decision'!$B$27)^('3. The decision'!$B$12-1)</f>
        <v>0.278413187582296</v>
      </c>
      <c r="D525" s="15" t="n">
        <f aca="false">1+(1-'3. The decision'!$B$27-B525)*(1-(1-'3. The decision'!$B$27)^('3. The decision'!$B$12-1))/'3. The decision'!$B$27</f>
        <v>2.71937772682324</v>
      </c>
      <c r="E525" s="15" t="n">
        <f aca="false">(1-'3. The decision'!$B$14)*(1-'3. The decision'!$B$27)^('3. The decision'!$B$11-1)</f>
        <v>0.690273454655712</v>
      </c>
      <c r="F525" s="15" t="n">
        <f aca="false">1+(1-'3. The decision'!$B$14)*(1-(1-'3. The decision'!$B$27)^('3. The decision'!$B$11-1))/'3. The decision'!$B$27</f>
        <v>4.28912098262087</v>
      </c>
      <c r="G525" s="15" t="n">
        <f aca="false">(1-(1-'3. The decision'!$B$9*MIN(1,('3. The decision'!$B$10/(52/12)))))+(1-(1-'3. The decision'!$B$9*MAX(0,MIN(1,('3. The decision'!$B$10/(52/12))-1))))*(1-'3. The decision'!$B$14)+(1-(1-'3. The decision'!$B$9*MAX(0,MIN(1,('3. The decision'!$B$10/(52/12))-2))))*(1-'3. The decision'!$B$14)*(1-'3. The decision'!$B$27)</f>
        <v>0.884576923076923</v>
      </c>
      <c r="H525" s="15" t="n">
        <f aca="false">IF(A525&lt;=0,0,MAX(0,ROUNDUP(LN('3. The decision'!$B$13)/LN(1+A525)-0.000000000001,0)-1))</f>
        <v>2</v>
      </c>
      <c r="I525" s="15" t="n">
        <f aca="false">IF(A525&lt;=0,1/(1-C525),(1+A525)*(1-(C525*(1+A525))^H525)/(1-C525*(1+A525))+'3. The decision'!$B$13*C525^H525/(1-C525))</f>
        <v>1.80002325982223</v>
      </c>
      <c r="J525" s="17" t="n">
        <f aca="false">F525+E525*D525/(1-C525)</f>
        <v>6.89049094352514</v>
      </c>
      <c r="K525" s="15" t="n">
        <f aca="false">F525-G525+E525*D525*I525</f>
        <v>6.78339338530244</v>
      </c>
      <c r="L525" s="17" t="n">
        <f aca="false">'3. The decision'!$B$8*'3. The decision'!$B$5/J525</f>
        <v>68.1576978838223</v>
      </c>
      <c r="M525" s="31" t="n">
        <f aca="false">L525*'3. The decision'!$B$6*'3. The decision'!$B$7*K525</f>
        <v>886780.005643533</v>
      </c>
      <c r="N525" s="31" t="n">
        <f aca="false">M525*(1+'3. The decision'!$B$19+'3. The decision'!$B$20+'3. The decision'!$B$22)</f>
        <v>980778.686241748</v>
      </c>
      <c r="O525" s="31" t="n">
        <f aca="false">'3. The decision'!$B$17+'3. The decision'!$B$18*L525*12+M525*('3. The decision'!$B$20*(1-'3. The decision'!$B$21)+'3. The decision'!$B$23)+N525*('3. The decision'!$B$24+'3. The decision'!$B$25)</f>
        <v>626588.962166969</v>
      </c>
      <c r="P525" s="31" t="n">
        <f aca="false">N525-O525</f>
        <v>354189.724074779</v>
      </c>
    </row>
    <row r="526" customFormat="false" ht="15" hidden="false" customHeight="false" outlineLevel="0" collapsed="false">
      <c r="A526" s="27" t="n">
        <f aca="false">87*0.0025</f>
        <v>0.2175</v>
      </c>
      <c r="B526" s="27" t="n">
        <f aca="false">IF(A526&gt;0,MIN('3. The decision'!$B$15,'3. The decision'!$B$29*(A526/'3. The decision'!$B$28)^$B$436),0)</f>
        <v>0.559831693623859</v>
      </c>
      <c r="C526" s="15" t="n">
        <f aca="false">(1-'3. The decision'!$B$27-B526)*(1-'3. The decision'!$B$27)^('3. The decision'!$B$12-1)</f>
        <v>0.264885310715684</v>
      </c>
      <c r="D526" s="15" t="n">
        <f aca="false">1+(1-'3. The decision'!$B$27-B526)*(1-(1-'3. The decision'!$B$27)^('3. The decision'!$B$12-1))/'3. The decision'!$B$27</f>
        <v>2.63583452120988</v>
      </c>
      <c r="E526" s="15" t="n">
        <f aca="false">(1-'3. The decision'!$B$14)*(1-'3. The decision'!$B$27)^('3. The decision'!$B$11-1)</f>
        <v>0.690273454655712</v>
      </c>
      <c r="F526" s="15" t="n">
        <f aca="false">1+(1-'3. The decision'!$B$14)*(1-(1-'3. The decision'!$B$27)^('3. The decision'!$B$11-1))/'3. The decision'!$B$27</f>
        <v>4.28912098262087</v>
      </c>
      <c r="G526" s="15" t="n">
        <f aca="false">(1-(1-'3. The decision'!$B$9*MIN(1,('3. The decision'!$B$10/(52/12)))))+(1-(1-'3. The decision'!$B$9*MAX(0,MIN(1,('3. The decision'!$B$10/(52/12))-1))))*(1-'3. The decision'!$B$14)+(1-(1-'3. The decision'!$B$9*MAX(0,MIN(1,('3. The decision'!$B$10/(52/12))-2))))*(1-'3. The decision'!$B$14)*(1-'3. The decision'!$B$27)</f>
        <v>0.884576923076923</v>
      </c>
      <c r="H526" s="15" t="n">
        <f aca="false">IF(A526&lt;=0,0,MAX(0,ROUNDUP(LN('3. The decision'!$B$13)/LN(1+A526)-0.000000000001,0)-1))</f>
        <v>2</v>
      </c>
      <c r="I526" s="15" t="n">
        <f aca="false">IF(A526&lt;=0,1/(1-C526),(1+A526)*(1-(C526*(1+A526))^H526)/(1-C526*(1+A526))+'3. The decision'!$B$13*C526^H526/(1-C526))</f>
        <v>1.76476471000721</v>
      </c>
      <c r="J526" s="17" t="n">
        <f aca="false">F526+E526*D526/(1-C526)</f>
        <v>6.76417232818395</v>
      </c>
      <c r="K526" s="15" t="n">
        <f aca="false">F526-G526+E526*D526*I526</f>
        <v>6.61543921247777</v>
      </c>
      <c r="L526" s="17" t="n">
        <f aca="false">'3. The decision'!$B$8*'3. The decision'!$B$5/J526</f>
        <v>69.4305196872608</v>
      </c>
      <c r="M526" s="31" t="n">
        <f aca="false">L526*'3. The decision'!$B$6*'3. The decision'!$B$7*K526</f>
        <v>880973.96656174</v>
      </c>
      <c r="N526" s="31" t="n">
        <f aca="false">M526*(1+'3. The decision'!$B$19+'3. The decision'!$B$20+'3. The decision'!$B$22)</f>
        <v>974357.207017284</v>
      </c>
      <c r="O526" s="31" t="n">
        <f aca="false">'3. The decision'!$B$17+'3. The decision'!$B$18*L526*12+M526*('3. The decision'!$B$20*(1-'3. The decision'!$B$21)+'3. The decision'!$B$23)+N526*('3. The decision'!$B$24+'3. The decision'!$B$25)</f>
        <v>627892.1873328</v>
      </c>
      <c r="P526" s="31" t="n">
        <f aca="false">N526-O526</f>
        <v>346465.019684484</v>
      </c>
    </row>
    <row r="527" customFormat="false" ht="15" hidden="false" customHeight="false" outlineLevel="0" collapsed="false">
      <c r="A527" s="27" t="n">
        <f aca="false">88*0.0025</f>
        <v>0.22</v>
      </c>
      <c r="B527" s="27" t="n">
        <f aca="false">IF(A527&gt;0,MIN('3. The decision'!$B$15,'3. The decision'!$B$29*(A527/'3. The decision'!$B$28)^$B$436),0)</f>
        <v>0.579358976219149</v>
      </c>
      <c r="C527" s="15" t="n">
        <f aca="false">(1-'3. The decision'!$B$27-B527)*(1-'3. The decision'!$B$27)^('3. The decision'!$B$12-1)</f>
        <v>0.251042846076792</v>
      </c>
      <c r="D527" s="15" t="n">
        <f aca="false">1+(1-'3. The decision'!$B$27-B527)*(1-(1-'3. The decision'!$B$27)^('3. The decision'!$B$12-1))/'3. The decision'!$B$27</f>
        <v>2.55034853690314</v>
      </c>
      <c r="E527" s="15" t="n">
        <f aca="false">(1-'3. The decision'!$B$14)*(1-'3. The decision'!$B$27)^('3. The decision'!$B$11-1)</f>
        <v>0.690273454655712</v>
      </c>
      <c r="F527" s="15" t="n">
        <f aca="false">1+(1-'3. The decision'!$B$14)*(1-(1-'3. The decision'!$B$27)^('3. The decision'!$B$11-1))/'3. The decision'!$B$27</f>
        <v>4.28912098262087</v>
      </c>
      <c r="G527" s="15" t="n">
        <f aca="false">(1-(1-'3. The decision'!$B$9*MIN(1,('3. The decision'!$B$10/(52/12)))))+(1-(1-'3. The decision'!$B$9*MAX(0,MIN(1,('3. The decision'!$B$10/(52/12))-1))))*(1-'3. The decision'!$B$14)+(1-(1-'3. The decision'!$B$9*MAX(0,MIN(1,('3. The decision'!$B$10/(52/12))-2))))*(1-'3. The decision'!$B$14)*(1-'3. The decision'!$B$27)</f>
        <v>0.884576923076923</v>
      </c>
      <c r="H527" s="15" t="n">
        <f aca="false">IF(A527&lt;=0,0,MAX(0,ROUNDUP(LN('3. The decision'!$B$13)/LN(1+A527)-0.000000000001,0)-1))</f>
        <v>2</v>
      </c>
      <c r="I527" s="15" t="n">
        <f aca="false">IF(A527&lt;=0,1/(1-C527),(1+A527)*(1-(C527*(1+A527))^H527)/(1-C527*(1+A527))+'3. The decision'!$B$13*C527^H527/(1-C527))</f>
        <v>1.72997034007955</v>
      </c>
      <c r="J527" s="17" t="n">
        <f aca="false">F527+E527*D527/(1-C527)</f>
        <v>6.63963981527064</v>
      </c>
      <c r="K527" s="15" t="n">
        <f aca="false">F527-G527+E527*D527*I527</f>
        <v>6.4500494036956</v>
      </c>
      <c r="L527" s="17" t="n">
        <f aca="false">'3. The decision'!$B$8*'3. The decision'!$B$5/J527</f>
        <v>70.7327525387545</v>
      </c>
      <c r="M527" s="31" t="n">
        <f aca="false">L527*'3. The decision'!$B$6*'3. The decision'!$B$7*K527</f>
        <v>875059.483095907</v>
      </c>
      <c r="N527" s="31" t="n">
        <f aca="false">M527*(1+'3. The decision'!$B$19+'3. The decision'!$B$20+'3. The decision'!$B$22)</f>
        <v>967815.788304073</v>
      </c>
      <c r="O527" s="31" t="n">
        <f aca="false">'3. The decision'!$B$17+'3. The decision'!$B$18*L527*12+M527*('3. The decision'!$B$20*(1-'3. The decision'!$B$21)+'3. The decision'!$B$23)+N527*('3. The decision'!$B$24+'3. The decision'!$B$25)</f>
        <v>629228.293764041</v>
      </c>
      <c r="P527" s="31" t="n">
        <f aca="false">N527-O527</f>
        <v>338587.494540032</v>
      </c>
    </row>
    <row r="528" customFormat="false" ht="15" hidden="false" customHeight="false" outlineLevel="0" collapsed="false">
      <c r="A528" s="27" t="n">
        <f aca="false">89*0.0025</f>
        <v>0.2225</v>
      </c>
      <c r="B528" s="27" t="n">
        <f aca="false">IF(A528&gt;0,MIN('3. The decision'!$B$15,'3. The decision'!$B$29*(A528/'3. The decision'!$B$28)^$B$436),0)</f>
        <v>0.599335142318742</v>
      </c>
      <c r="C528" s="15" t="n">
        <f aca="false">(1-'3. The decision'!$B$27-B528)*(1-'3. The decision'!$B$27)^('3. The decision'!$B$12-1)</f>
        <v>0.236882177714214</v>
      </c>
      <c r="D528" s="15" t="n">
        <f aca="false">1+(1-'3. The decision'!$B$27-B528)*(1-(1-'3. The decision'!$B$27)^('3. The decision'!$B$12-1))/'3. The decision'!$B$27</f>
        <v>2.46289744311344</v>
      </c>
      <c r="E528" s="15" t="n">
        <f aca="false">(1-'3. The decision'!$B$14)*(1-'3. The decision'!$B$27)^('3. The decision'!$B$11-1)</f>
        <v>0.690273454655712</v>
      </c>
      <c r="F528" s="15" t="n">
        <f aca="false">1+(1-'3. The decision'!$B$14)*(1-(1-'3. The decision'!$B$27)^('3. The decision'!$B$11-1))/'3. The decision'!$B$27</f>
        <v>4.28912098262087</v>
      </c>
      <c r="G528" s="15" t="n">
        <f aca="false">(1-(1-'3. The decision'!$B$9*MIN(1,('3. The decision'!$B$10/(52/12)))))+(1-(1-'3. The decision'!$B$9*MAX(0,MIN(1,('3. The decision'!$B$10/(52/12))-1))))*(1-'3. The decision'!$B$14)+(1-(1-'3. The decision'!$B$9*MAX(0,MIN(1,('3. The decision'!$B$10/(52/12))-2))))*(1-'3. The decision'!$B$14)*(1-'3. The decision'!$B$27)</f>
        <v>0.884576923076923</v>
      </c>
      <c r="H528" s="15" t="n">
        <f aca="false">IF(A528&lt;=0,0,MAX(0,ROUNDUP(LN('3. The decision'!$B$13)/LN(1+A528)-0.000000000001,0)-1))</f>
        <v>2</v>
      </c>
      <c r="I528" s="15" t="n">
        <f aca="false">IF(A528&lt;=0,1/(1-C528),(1+A528)*(1-(C528*(1+A528))^H528)/(1-C528*(1+A528))+'3. The decision'!$B$13*C528^H528/(1-C528))</f>
        <v>1.69564285711032</v>
      </c>
      <c r="J528" s="17" t="n">
        <f aca="false">F528+E528*D528/(1-C528)</f>
        <v>6.51691946520429</v>
      </c>
      <c r="K528" s="15" t="n">
        <f aca="false">F528-G528+E528*D528*I528</f>
        <v>6.28726023483674</v>
      </c>
      <c r="L528" s="17" t="n">
        <f aca="false">'3. The decision'!$B$8*'3. The decision'!$B$5/J528</f>
        <v>72.0647236025461</v>
      </c>
      <c r="M528" s="31" t="n">
        <f aca="false">L528*'3. The decision'!$B$6*'3. The decision'!$B$7*K528</f>
        <v>869036.740336563</v>
      </c>
      <c r="N528" s="31" t="n">
        <f aca="false">M528*(1+'3. The decision'!$B$19+'3. The decision'!$B$20+'3. The decision'!$B$22)</f>
        <v>961154.634812239</v>
      </c>
      <c r="O528" s="31" t="n">
        <f aca="false">'3. The decision'!$B$17+'3. The decision'!$B$18*L528*12+M528*('3. The decision'!$B$20*(1-'3. The decision'!$B$21)+'3. The decision'!$B$23)+N528*('3. The decision'!$B$24+'3. The decision'!$B$25)</f>
        <v>630597.796980433</v>
      </c>
      <c r="P528" s="31" t="n">
        <f aca="false">N528-O528</f>
        <v>330556.837831805</v>
      </c>
    </row>
    <row r="529" customFormat="false" ht="15" hidden="false" customHeight="false" outlineLevel="0" collapsed="false">
      <c r="A529" s="27" t="n">
        <f aca="false">90*0.0025</f>
        <v>0.225</v>
      </c>
      <c r="B529" s="27" t="n">
        <f aca="false">IF(A529&gt;0,MIN('3. The decision'!$B$15,'3. The decision'!$B$29*(A529/'3. The decision'!$B$28)^$B$436),0)</f>
        <v>0.619765292871549</v>
      </c>
      <c r="C529" s="15" t="n">
        <f aca="false">(1-'3. The decision'!$B$27-B529)*(1-'3. The decision'!$B$27)^('3. The decision'!$B$12-1)</f>
        <v>0.222399689676545</v>
      </c>
      <c r="D529" s="15" t="n">
        <f aca="false">1+(1-'3. The decision'!$B$27-B529)*(1-(1-'3. The decision'!$B$27)^('3. The decision'!$B$12-1))/'3. The decision'!$B$27</f>
        <v>2.37345890905122</v>
      </c>
      <c r="E529" s="15" t="n">
        <f aca="false">(1-'3. The decision'!$B$14)*(1-'3. The decision'!$B$27)^('3. The decision'!$B$11-1)</f>
        <v>0.690273454655712</v>
      </c>
      <c r="F529" s="15" t="n">
        <f aca="false">1+(1-'3. The decision'!$B$14)*(1-(1-'3. The decision'!$B$27)^('3. The decision'!$B$11-1))/'3. The decision'!$B$27</f>
        <v>4.28912098262087</v>
      </c>
      <c r="G529" s="15" t="n">
        <f aca="false">(1-(1-'3. The decision'!$B$9*MIN(1,('3. The decision'!$B$10/(52/12)))))+(1-(1-'3. The decision'!$B$9*MAX(0,MIN(1,('3. The decision'!$B$10/(52/12))-1))))*(1-'3. The decision'!$B$14)+(1-(1-'3. The decision'!$B$9*MAX(0,MIN(1,('3. The decision'!$B$10/(52/12))-2))))*(1-'3. The decision'!$B$14)*(1-'3. The decision'!$B$27)</f>
        <v>0.884576923076923</v>
      </c>
      <c r="H529" s="15" t="n">
        <f aca="false">IF(A529&lt;=0,0,MAX(0,ROUNDUP(LN('3. The decision'!$B$13)/LN(1+A529)-0.000000000001,0)-1))</f>
        <v>2</v>
      </c>
      <c r="I529" s="15" t="n">
        <f aca="false">IF(A529&lt;=0,1/(1-C529),(1+A529)*(1-(C529*(1+A529))^H529)/(1-C529*(1+A529))+'3. The decision'!$B$13*C529^H529/(1-C529))</f>
        <v>1.66178353896495</v>
      </c>
      <c r="J529" s="17" t="n">
        <f aca="false">F529+E529*D529/(1-C529)</f>
        <v>6.39603331133725</v>
      </c>
      <c r="K529" s="15" t="n">
        <f aca="false">F529-G529+E529*D529*I529</f>
        <v>6.12710332492074</v>
      </c>
      <c r="L529" s="17" t="n">
        <f aca="false">'3. The decision'!$B$8*'3. The decision'!$B$5/J529</f>
        <v>73.4267595460366</v>
      </c>
      <c r="M529" s="31" t="n">
        <f aca="false">L529*'3. The decision'!$B$6*'3. The decision'!$B$7*K529</f>
        <v>862906.106451281</v>
      </c>
      <c r="N529" s="31" t="n">
        <f aca="false">M529*(1+'3. The decision'!$B$19+'3. The decision'!$B$20+'3. The decision'!$B$22)</f>
        <v>954374.153735117</v>
      </c>
      <c r="O529" s="31" t="n">
        <f aca="false">'3. The decision'!$B$17+'3. The decision'!$B$18*L529*12+M529*('3. The decision'!$B$20*(1-'3. The decision'!$B$21)+'3. The decision'!$B$23)+N529*('3. The decision'!$B$24+'3. The decision'!$B$25)</f>
        <v>632001.231453117</v>
      </c>
      <c r="P529" s="31" t="n">
        <f aca="false">N529-O529</f>
        <v>322372.922281999</v>
      </c>
    </row>
    <row r="530" customFormat="false" ht="15" hidden="false" customHeight="false" outlineLevel="0" collapsed="false">
      <c r="A530" s="27" t="n">
        <f aca="false">91*0.0025</f>
        <v>0.2275</v>
      </c>
      <c r="B530" s="27" t="n">
        <f aca="false">IF(A530&gt;0,MIN('3. The decision'!$B$15,'3. The decision'!$B$29*(A530/'3. The decision'!$B$28)^$B$436),0)</f>
        <v>0.640654528826482</v>
      </c>
      <c r="C530" s="15" t="n">
        <f aca="false">(1-'3. The decision'!$B$27-B530)*(1-'3. The decision'!$B$27)^('3. The decision'!$B$12-1)</f>
        <v>0.20759176601238</v>
      </c>
      <c r="D530" s="15" t="n">
        <f aca="false">1+(1-'3. The decision'!$B$27-B530)*(1-(1-'3. The decision'!$B$27)^('3. The decision'!$B$12-1))/'3. The decision'!$B$27</f>
        <v>2.28201060392688</v>
      </c>
      <c r="E530" s="15" t="n">
        <f aca="false">(1-'3. The decision'!$B$14)*(1-'3. The decision'!$B$27)^('3. The decision'!$B$11-1)</f>
        <v>0.690273454655712</v>
      </c>
      <c r="F530" s="15" t="n">
        <f aca="false">1+(1-'3. The decision'!$B$14)*(1-(1-'3. The decision'!$B$27)^('3. The decision'!$B$11-1))/'3. The decision'!$B$27</f>
        <v>4.28912098262087</v>
      </c>
      <c r="G530" s="15" t="n">
        <f aca="false">(1-(1-'3. The decision'!$B$9*MIN(1,('3. The decision'!$B$10/(52/12)))))+(1-(1-'3. The decision'!$B$9*MAX(0,MIN(1,('3. The decision'!$B$10/(52/12))-1))))*(1-'3. The decision'!$B$14)+(1-(1-'3. The decision'!$B$9*MAX(0,MIN(1,('3. The decision'!$B$10/(52/12))-2))))*(1-'3. The decision'!$B$14)*(1-'3. The decision'!$B$27)</f>
        <v>0.884576923076923</v>
      </c>
      <c r="H530" s="15" t="n">
        <f aca="false">IF(A530&lt;=0,0,MAX(0,ROUNDUP(LN('3. The decision'!$B$13)/LN(1+A530)-0.000000000001,0)-1))</f>
        <v>2</v>
      </c>
      <c r="I530" s="15" t="n">
        <f aca="false">IF(A530&lt;=0,1/(1-C530),(1+A530)*(1-(C530*(1+A530))^H530)/(1-C530*(1+A530))+'3. The decision'!$B$13*C530^H530/(1-C530))</f>
        <v>1.62839229525481</v>
      </c>
      <c r="J530" s="17" t="n">
        <f aca="false">F530+E530*D530/(1-C530)</f>
        <v>6.2769995476967</v>
      </c>
      <c r="K530" s="15" t="n">
        <f aca="false">F530-G530+E530*D530*I530</f>
        <v>5.96960607410065</v>
      </c>
      <c r="L530" s="17" t="n">
        <f aca="false">'3. The decision'!$B$8*'3. The decision'!$B$5/J530</f>
        <v>74.8191865287502</v>
      </c>
      <c r="M530" s="31" t="n">
        <f aca="false">L530*'3. The decision'!$B$6*'3. The decision'!$B$7*K530</f>
        <v>856668.171215655</v>
      </c>
      <c r="N530" s="31" t="n">
        <f aca="false">M530*(1+'3. The decision'!$B$19+'3. The decision'!$B$20+'3. The decision'!$B$22)</f>
        <v>947474.997364514</v>
      </c>
      <c r="O530" s="31" t="n">
        <f aca="false">'3. The decision'!$B$17+'3. The decision'!$B$18*L530*12+M530*('3. The decision'!$B$20*(1-'3. The decision'!$B$21)+'3. The decision'!$B$23)+N530*('3. The decision'!$B$24+'3. The decision'!$B$25)</f>
        <v>633439.154734893</v>
      </c>
      <c r="P530" s="31" t="n">
        <f aca="false">N530-O530</f>
        <v>314035.842629621</v>
      </c>
    </row>
    <row r="531" customFormat="false" ht="15" hidden="false" customHeight="false" outlineLevel="0" collapsed="false">
      <c r="A531" s="27" t="n">
        <f aca="false">92*0.0025</f>
        <v>0.23</v>
      </c>
      <c r="B531" s="27" t="n">
        <f aca="false">IF(A531&gt;0,MIN('3. The decision'!$B$15,'3. The decision'!$B$29*(A531/'3. The decision'!$B$28)^$B$436),0)</f>
        <v>0.662007951132456</v>
      </c>
      <c r="C531" s="15" t="n">
        <f aca="false">(1-'3. The decision'!$B$27-B531)*(1-'3. The decision'!$B$27)^('3. The decision'!$B$12-1)</f>
        <v>0.192454790770312</v>
      </c>
      <c r="D531" s="15" t="n">
        <f aca="false">1+(1-'3. The decision'!$B$27-B531)*(1-(1-'3. The decision'!$B$27)^('3. The decision'!$B$12-1))/'3. The decision'!$B$27</f>
        <v>2.18853019695086</v>
      </c>
      <c r="E531" s="15" t="n">
        <f aca="false">(1-'3. The decision'!$B$14)*(1-'3. The decision'!$B$27)^('3. The decision'!$B$11-1)</f>
        <v>0.690273454655712</v>
      </c>
      <c r="F531" s="15" t="n">
        <f aca="false">1+(1-'3. The decision'!$B$14)*(1-(1-'3. The decision'!$B$27)^('3. The decision'!$B$11-1))/'3. The decision'!$B$27</f>
        <v>4.28912098262087</v>
      </c>
      <c r="G531" s="15" t="n">
        <f aca="false">(1-(1-'3. The decision'!$B$9*MIN(1,('3. The decision'!$B$10/(52/12)))))+(1-(1-'3. The decision'!$B$9*MAX(0,MIN(1,('3. The decision'!$B$10/(52/12))-1))))*(1-'3. The decision'!$B$14)+(1-(1-'3. The decision'!$B$9*MAX(0,MIN(1,('3. The decision'!$B$10/(52/12))-2))))*(1-'3. The decision'!$B$14)*(1-'3. The decision'!$B$27)</f>
        <v>0.884576923076923</v>
      </c>
      <c r="H531" s="15" t="n">
        <f aca="false">IF(A531&lt;=0,0,MAX(0,ROUNDUP(LN('3. The decision'!$B$13)/LN(1+A531)-0.000000000001,0)-1))</f>
        <v>2</v>
      </c>
      <c r="I531" s="15" t="n">
        <f aca="false">IF(A531&lt;=0,1/(1-C531),(1+A531)*(1-(C531*(1+A531))^H531)/(1-C531*(1+A531))+'3. The decision'!$B$13*C531^H531/(1-C531))</f>
        <v>1.59546772867002</v>
      </c>
      <c r="J531" s="17" t="n">
        <f aca="false">F531+E531*D531/(1-C531)</f>
        <v>6.15983271789158</v>
      </c>
      <c r="K531" s="15" t="n">
        <f aca="false">F531-G531+E531*D531*I531</f>
        <v>5.8147921078721</v>
      </c>
      <c r="L531" s="17" t="n">
        <f aca="false">'3. The decision'!$B$8*'3. The decision'!$B$5/J531</f>
        <v>76.2423301911925</v>
      </c>
      <c r="M531" s="31" t="n">
        <f aca="false">L531*'3. The decision'!$B$6*'3. The decision'!$B$7*K531</f>
        <v>850323.788945982</v>
      </c>
      <c r="N531" s="31" t="n">
        <f aca="false">M531*(1+'3. The decision'!$B$19+'3. The decision'!$B$20+'3. The decision'!$B$22)</f>
        <v>940458.110574256</v>
      </c>
      <c r="O531" s="31" t="n">
        <f aca="false">'3. The decision'!$B$17+'3. The decision'!$B$18*L531*12+M531*('3. The decision'!$B$20*(1-'3. The decision'!$B$21)+'3. The decision'!$B$23)+N531*('3. The decision'!$B$24+'3. The decision'!$B$25)</f>
        <v>634912.152064056</v>
      </c>
      <c r="P531" s="31" t="n">
        <f aca="false">N531-O531</f>
        <v>305545.9585102</v>
      </c>
    </row>
    <row r="532" customFormat="false" ht="15" hidden="false" customHeight="false" outlineLevel="0" collapsed="false">
      <c r="A532" s="27" t="n">
        <f aca="false">93*0.0025</f>
        <v>0.2325</v>
      </c>
      <c r="B532" s="27" t="n">
        <f aca="false">IF(A532&gt;0,MIN('3. The decision'!$B$15,'3. The decision'!$B$29*(A532/'3. The decision'!$B$28)^$B$436),0)</f>
        <v>0.683830660738382</v>
      </c>
      <c r="C532" s="15" t="n">
        <f aca="false">(1-'3. The decision'!$B$27-B532)*(1-'3. The decision'!$B$27)^('3. The decision'!$B$12-1)</f>
        <v>0.176985147998937</v>
      </c>
      <c r="D532" s="15" t="n">
        <f aca="false">1+(1-'3. The decision'!$B$27-B532)*(1-(1-'3. The decision'!$B$27)^('3. The decision'!$B$12-1))/'3. The decision'!$B$27</f>
        <v>2.09299535733356</v>
      </c>
      <c r="E532" s="15" t="n">
        <f aca="false">(1-'3. The decision'!$B$14)*(1-'3. The decision'!$B$27)^('3. The decision'!$B$11-1)</f>
        <v>0.690273454655712</v>
      </c>
      <c r="F532" s="15" t="n">
        <f aca="false">1+(1-'3. The decision'!$B$14)*(1-(1-'3. The decision'!$B$27)^('3. The decision'!$B$11-1))/'3. The decision'!$B$27</f>
        <v>4.28912098262087</v>
      </c>
      <c r="G532" s="15" t="n">
        <f aca="false">(1-(1-'3. The decision'!$B$9*MIN(1,('3. The decision'!$B$10/(52/12)))))+(1-(1-'3. The decision'!$B$9*MAX(0,MIN(1,('3. The decision'!$B$10/(52/12))-1))))*(1-'3. The decision'!$B$14)+(1-(1-'3. The decision'!$B$9*MAX(0,MIN(1,('3. The decision'!$B$10/(52/12))-2))))*(1-'3. The decision'!$B$14)*(1-'3. The decision'!$B$27)</f>
        <v>0.884576923076923</v>
      </c>
      <c r="H532" s="15" t="n">
        <f aca="false">IF(A532&lt;=0,0,MAX(0,ROUNDUP(LN('3. The decision'!$B$13)/LN(1+A532)-0.000000000001,0)-1))</f>
        <v>2</v>
      </c>
      <c r="I532" s="15" t="n">
        <f aca="false">IF(A532&lt;=0,1/(1-C532),(1+A532)*(1-(C532*(1+A532))^H532)/(1-C532*(1+A532))+'3. The decision'!$B$13*C532^H532/(1-C532))</f>
        <v>1.56300719632447</v>
      </c>
      <c r="J532" s="17" t="n">
        <f aca="false">F532+E532*D532/(1-C532)</f>
        <v>6.04454390405697</v>
      </c>
      <c r="K532" s="15" t="n">
        <f aca="false">F532-G532+E532*D532*I532</f>
        <v>5.66268172574381</v>
      </c>
      <c r="L532" s="17" t="n">
        <f aca="false">'3. The decision'!$B$8*'3. The decision'!$B$5/J532</f>
        <v>77.6965156436018</v>
      </c>
      <c r="M532" s="31" t="n">
        <f aca="false">L532*'3. The decision'!$B$6*'3. The decision'!$B$7*K532</f>
        <v>843874.126137557</v>
      </c>
      <c r="N532" s="31" t="n">
        <f aca="false">M532*(1+'3. The decision'!$B$19+'3. The decision'!$B$20+'3. The decision'!$B$22)</f>
        <v>933324.783508138</v>
      </c>
      <c r="O532" s="31" t="n">
        <f aca="false">'3. The decision'!$B$17+'3. The decision'!$B$18*L532*12+M532*('3. The decision'!$B$20*(1-'3. The decision'!$B$21)+'3. The decision'!$B$23)+N532*('3. The decision'!$B$24+'3. The decision'!$B$25)</f>
        <v>636420.841474524</v>
      </c>
      <c r="P532" s="31" t="n">
        <f aca="false">N532-O532</f>
        <v>296903.942033614</v>
      </c>
    </row>
    <row r="533" customFormat="false" ht="15" hidden="false" customHeight="false" outlineLevel="0" collapsed="false">
      <c r="A533" s="27" t="n">
        <f aca="false">94*0.0025</f>
        <v>0.235</v>
      </c>
      <c r="B533" s="27" t="n">
        <f aca="false">IF(A533&gt;0,MIN('3. The decision'!$B$15,'3. The decision'!$B$29*(A533/'3. The decision'!$B$28)^$B$436),0)</f>
        <v>0.706127758593172</v>
      </c>
      <c r="C533" s="15" t="n">
        <f aca="false">(1-'3. The decision'!$B$27-B533)*(1-'3. The decision'!$B$27)^('3. The decision'!$B$12-1)</f>
        <v>0.161179221746848</v>
      </c>
      <c r="D533" s="15" t="n">
        <f aca="false">1+(1-'3. The decision'!$B$27-B533)*(1-(1-'3. The decision'!$B$27)^('3. The decision'!$B$12-1))/'3. The decision'!$B$27</f>
        <v>1.99538375428541</v>
      </c>
      <c r="E533" s="15" t="n">
        <f aca="false">(1-'3. The decision'!$B$14)*(1-'3. The decision'!$B$27)^('3. The decision'!$B$11-1)</f>
        <v>0.690273454655712</v>
      </c>
      <c r="F533" s="15" t="n">
        <f aca="false">1+(1-'3. The decision'!$B$14)*(1-(1-'3. The decision'!$B$27)^('3. The decision'!$B$11-1))/'3. The decision'!$B$27</f>
        <v>4.28912098262087</v>
      </c>
      <c r="G533" s="15" t="n">
        <f aca="false">(1-(1-'3. The decision'!$B$9*MIN(1,('3. The decision'!$B$10/(52/12)))))+(1-(1-'3. The decision'!$B$9*MAX(0,MIN(1,('3. The decision'!$B$10/(52/12))-1))))*(1-'3. The decision'!$B$14)+(1-(1-'3. The decision'!$B$9*MAX(0,MIN(1,('3. The decision'!$B$10/(52/12))-2))))*(1-'3. The decision'!$B$14)*(1-'3. The decision'!$B$27)</f>
        <v>0.884576923076923</v>
      </c>
      <c r="H533" s="15" t="n">
        <f aca="false">IF(A533&lt;=0,0,MAX(0,ROUNDUP(LN('3. The decision'!$B$13)/LN(1+A533)-0.000000000001,0)-1))</f>
        <v>2</v>
      </c>
      <c r="I533" s="15" t="n">
        <f aca="false">IF(A533&lt;=0,1/(1-C533),(1+A533)*(1-(C533*(1+A533))^H533)/(1-C533*(1+A533))+'3. The decision'!$B$13*C533^H533/(1-C533))</f>
        <v>1.53100687078085</v>
      </c>
      <c r="J533" s="17" t="n">
        <f aca="false">F533+E533*D533/(1-C533)</f>
        <v>5.93114091482002</v>
      </c>
      <c r="K533" s="15" t="n">
        <f aca="false">F533-G533+E533*D533*I533</f>
        <v>5.51329235279785</v>
      </c>
      <c r="L533" s="17" t="n">
        <f aca="false">'3. The decision'!$B$8*'3. The decision'!$B$5/J533</f>
        <v>79.1820674545972</v>
      </c>
      <c r="M533" s="31" t="n">
        <f aca="false">L533*'3. The decision'!$B$6*'3. The decision'!$B$7*K533</f>
        <v>837320.714126056</v>
      </c>
      <c r="N533" s="31" t="n">
        <f aca="false">M533*(1+'3. The decision'!$B$19+'3. The decision'!$B$20+'3. The decision'!$B$22)</f>
        <v>926076.709823418</v>
      </c>
      <c r="O533" s="31" t="n">
        <f aca="false">'3. The decision'!$B$17+'3. The decision'!$B$18*L533*12+M533*('3. The decision'!$B$20*(1-'3. The decision'!$B$21)+'3. The decision'!$B$23)+N533*('3. The decision'!$B$24+'3. The decision'!$B$25)</f>
        <v>637965.87944643</v>
      </c>
      <c r="P533" s="31" t="n">
        <f aca="false">N533-O533</f>
        <v>288110.830376988</v>
      </c>
    </row>
    <row r="534" customFormat="false" ht="15" hidden="false" customHeight="false" outlineLevel="0" collapsed="false">
      <c r="A534" s="27" t="n">
        <f aca="false">95*0.0025</f>
        <v>0.2375</v>
      </c>
      <c r="B534" s="27" t="n">
        <f aca="false">IF(A534&gt;0,MIN('3. The decision'!$B$15,'3. The decision'!$B$29*(A534/'3. The decision'!$B$28)^$B$436),0)</f>
        <v>0.72890434564574</v>
      </c>
      <c r="C534" s="15" t="n">
        <f aca="false">(1-'3. The decision'!$B$27-B534)*(1-'3. The decision'!$B$27)^('3. The decision'!$B$12-1)</f>
        <v>0.145033396062641</v>
      </c>
      <c r="D534" s="15" t="n">
        <f aca="false">1+(1-'3. The decision'!$B$27-B534)*(1-(1-'3. The decision'!$B$27)^('3. The decision'!$B$12-1))/'3. The decision'!$B$27</f>
        <v>1.89567305701684</v>
      </c>
      <c r="E534" s="15" t="n">
        <f aca="false">(1-'3. The decision'!$B$14)*(1-'3. The decision'!$B$27)^('3. The decision'!$B$11-1)</f>
        <v>0.690273454655712</v>
      </c>
      <c r="F534" s="15" t="n">
        <f aca="false">1+(1-'3. The decision'!$B$14)*(1-(1-'3. The decision'!$B$27)^('3. The decision'!$B$11-1))/'3. The decision'!$B$27</f>
        <v>4.28912098262087</v>
      </c>
      <c r="G534" s="15" t="n">
        <f aca="false">(1-(1-'3. The decision'!$B$9*MIN(1,('3. The decision'!$B$10/(52/12)))))+(1-(1-'3. The decision'!$B$9*MAX(0,MIN(1,('3. The decision'!$B$10/(52/12))-1))))*(1-'3. The decision'!$B$14)+(1-(1-'3. The decision'!$B$9*MAX(0,MIN(1,('3. The decision'!$B$10/(52/12))-2))))*(1-'3. The decision'!$B$14)*(1-'3. The decision'!$B$27)</f>
        <v>0.884576923076923</v>
      </c>
      <c r="H534" s="15" t="n">
        <f aca="false">IF(A534&lt;=0,0,MAX(0,ROUNDUP(LN('3. The decision'!$B$13)/LN(1+A534)-0.000000000001,0)-1))</f>
        <v>2</v>
      </c>
      <c r="I534" s="15" t="n">
        <f aca="false">IF(A534&lt;=0,1/(1-C534),(1+A534)*(1-(C534*(1+A534))^H534)/(1-C534*(1+A534))+'3. The decision'!$B$13*C534^H534/(1-C534))</f>
        <v>1.49946180045873</v>
      </c>
      <c r="J534" s="17" t="n">
        <f aca="false">F534+E534*D534/(1-C534)</f>
        <v>5.81962847137963</v>
      </c>
      <c r="K534" s="15" t="n">
        <f aca="false">F534-G534+E534*D534*I534</f>
        <v>5.36663899274381</v>
      </c>
      <c r="L534" s="17" t="n">
        <f aca="false">'3. The decision'!$B$8*'3. The decision'!$B$5/J534</f>
        <v>80.6993096397209</v>
      </c>
      <c r="M534" s="31" t="n">
        <f aca="false">L534*'3. The decision'!$B$6*'3. The decision'!$B$7*K534</f>
        <v>830665.50710342</v>
      </c>
      <c r="N534" s="31" t="n">
        <f aca="false">M534*(1+'3. The decision'!$B$19+'3. The decision'!$B$20+'3. The decision'!$B$22)</f>
        <v>918716.050856382</v>
      </c>
      <c r="O534" s="31" t="n">
        <f aca="false">'3. The decision'!$B$17+'3. The decision'!$B$18*L534*12+M534*('3. The decision'!$B$20*(1-'3. The decision'!$B$21)+'3. The decision'!$B$23)+N534*('3. The decision'!$B$24+'3. The decision'!$B$25)</f>
        <v>639547.967132838</v>
      </c>
      <c r="P534" s="31" t="n">
        <f aca="false">N534-O534</f>
        <v>279168.083723544</v>
      </c>
    </row>
    <row r="535" customFormat="false" ht="15" hidden="false" customHeight="false" outlineLevel="0" collapsed="false">
      <c r="A535" s="27" t="n">
        <f aca="false">96*0.0025</f>
        <v>0.24</v>
      </c>
      <c r="B535" s="27" t="n">
        <f aca="false">IF(A535&gt;0,MIN('3. The decision'!$B$15,'3. The decision'!$B$29*(A535/'3. The decision'!$B$28)^$B$436),0)</f>
        <v>0.75</v>
      </c>
      <c r="C535" s="15" t="n">
        <f aca="false">(1-'3. The decision'!$B$27-B535)*(1-'3. The decision'!$B$27)^('3. The decision'!$B$12-1)</f>
        <v>0.130079146898265</v>
      </c>
      <c r="D535" s="15" t="n">
        <f aca="false">1+(1-'3. The decision'!$B$27-B535)*(1-(1-'3. The decision'!$B$27)^('3. The decision'!$B$12-1))/'3. The decision'!$B$27</f>
        <v>1.80332109927421</v>
      </c>
      <c r="E535" s="15" t="n">
        <f aca="false">(1-'3. The decision'!$B$14)*(1-'3. The decision'!$B$27)^('3. The decision'!$B$11-1)</f>
        <v>0.690273454655712</v>
      </c>
      <c r="F535" s="15" t="n">
        <f aca="false">1+(1-'3. The decision'!$B$14)*(1-(1-'3. The decision'!$B$27)^('3. The decision'!$B$11-1))/'3. The decision'!$B$27</f>
        <v>4.28912098262087</v>
      </c>
      <c r="G535" s="15" t="n">
        <f aca="false">(1-(1-'3. The decision'!$B$9*MIN(1,('3. The decision'!$B$10/(52/12)))))+(1-(1-'3. The decision'!$B$9*MAX(0,MIN(1,('3. The decision'!$B$10/(52/12))-1))))*(1-'3. The decision'!$B$14)+(1-(1-'3. The decision'!$B$9*MAX(0,MIN(1,('3. The decision'!$B$10/(52/12))-2))))*(1-'3. The decision'!$B$14)*(1-'3. The decision'!$B$27)</f>
        <v>0.884576923076923</v>
      </c>
      <c r="H535" s="15" t="n">
        <f aca="false">IF(A535&lt;=0,0,MAX(0,ROUNDUP(LN('3. The decision'!$B$13)/LN(1+A535)-0.000000000001,0)-1))</f>
        <v>2</v>
      </c>
      <c r="I535" s="15" t="n">
        <f aca="false">IF(A535&lt;=0,1/(1-C535),(1+A535)*(1-(C535*(1+A535))^H535)/(1-C535*(1+A535))+'3. The decision'!$B$13*C535^H535/(1-C535))</f>
        <v>1.47151985805603</v>
      </c>
      <c r="J535" s="17" t="n">
        <f aca="false">F535+E535*D535/(1-C535)</f>
        <v>5.72003815239697</v>
      </c>
      <c r="K535" s="15" t="n">
        <f aca="false">F535-G535+E535*D535*I535</f>
        <v>5.23626944259837</v>
      </c>
      <c r="L535" s="17" t="n">
        <f aca="false">'3. The decision'!$B$8*'3. The decision'!$B$5/J535</f>
        <v>82.104347468941</v>
      </c>
      <c r="M535" s="31" t="n">
        <f aca="false">L535*'3. The decision'!$B$6*'3. The decision'!$B$7*K535</f>
        <v>824597.693183242</v>
      </c>
      <c r="N535" s="31" t="n">
        <f aca="false">M535*(1+'3. The decision'!$B$19+'3. The decision'!$B$20+'3. The decision'!$B$22)</f>
        <v>912005.048660665</v>
      </c>
      <c r="O535" s="31" t="n">
        <f aca="false">'3. The decision'!$B$17+'3. The decision'!$B$18*L535*12+M535*('3. The decision'!$B$20*(1-'3. The decision'!$B$21)+'3. The decision'!$B$23)+N535*('3. The decision'!$B$24+'3. The decision'!$B$25)</f>
        <v>641023.303380576</v>
      </c>
      <c r="P535" s="31" t="n">
        <f aca="false">N535-O535</f>
        <v>270981.745280089</v>
      </c>
    </row>
    <row r="536" customFormat="false" ht="15" hidden="false" customHeight="false" outlineLevel="0" collapsed="false">
      <c r="A536" s="27" t="n">
        <f aca="false">97*0.0025</f>
        <v>0.2425</v>
      </c>
      <c r="B536" s="27" t="n">
        <f aca="false">IF(A536&gt;0,MIN('3. The decision'!$B$15,'3. The decision'!$B$29*(A536/'3. The decision'!$B$28)^$B$436),0)</f>
        <v>0.75</v>
      </c>
      <c r="C536" s="15" t="n">
        <f aca="false">(1-'3. The decision'!$B$27-B536)*(1-'3. The decision'!$B$27)^('3. The decision'!$B$12-1)</f>
        <v>0.130079146898265</v>
      </c>
      <c r="D536" s="15" t="n">
        <f aca="false">1+(1-'3. The decision'!$B$27-B536)*(1-(1-'3. The decision'!$B$27)^('3. The decision'!$B$12-1))/'3. The decision'!$B$27</f>
        <v>1.80332109927421</v>
      </c>
      <c r="E536" s="15" t="n">
        <f aca="false">(1-'3. The decision'!$B$14)*(1-'3. The decision'!$B$27)^('3. The decision'!$B$11-1)</f>
        <v>0.690273454655712</v>
      </c>
      <c r="F536" s="15" t="n">
        <f aca="false">1+(1-'3. The decision'!$B$14)*(1-(1-'3. The decision'!$B$27)^('3. The decision'!$B$11-1))/'3. The decision'!$B$27</f>
        <v>4.28912098262087</v>
      </c>
      <c r="G536" s="15" t="n">
        <f aca="false">(1-(1-'3. The decision'!$B$9*MIN(1,('3. The decision'!$B$10/(52/12)))))+(1-(1-'3. The decision'!$B$9*MAX(0,MIN(1,('3. The decision'!$B$10/(52/12))-1))))*(1-'3. The decision'!$B$14)+(1-(1-'3. The decision'!$B$9*MAX(0,MIN(1,('3. The decision'!$B$10/(52/12))-2))))*(1-'3. The decision'!$B$14)*(1-'3. The decision'!$B$27)</f>
        <v>0.884576923076923</v>
      </c>
      <c r="H536" s="15" t="n">
        <f aca="false">IF(A536&lt;=0,0,MAX(0,ROUNDUP(LN('3. The decision'!$B$13)/LN(1+A536)-0.000000000001,0)-1))</f>
        <v>2</v>
      </c>
      <c r="I536" s="15" t="n">
        <f aca="false">IF(A536&lt;=0,1/(1-C536),(1+A536)*(1-(C536*(1+A536))^H536)/(1-C536*(1+A536))+'3. The decision'!$B$13*C536^H536/(1-C536))</f>
        <v>1.47482716176147</v>
      </c>
      <c r="J536" s="17" t="n">
        <f aca="false">F536+E536*D536/(1-C536)</f>
        <v>5.72003815239697</v>
      </c>
      <c r="K536" s="15" t="n">
        <f aca="false">F536-G536+E536*D536*I536</f>
        <v>5.24038632359971</v>
      </c>
      <c r="L536" s="17" t="n">
        <f aca="false">'3. The decision'!$B$8*'3. The decision'!$B$5/J536</f>
        <v>82.104347468941</v>
      </c>
      <c r="M536" s="31" t="n">
        <f aca="false">L536*'3. The decision'!$B$6*'3. The decision'!$B$7*K536</f>
        <v>825246.011726439</v>
      </c>
      <c r="N536" s="31" t="n">
        <f aca="false">M536*(1+'3. The decision'!$B$19+'3. The decision'!$B$20+'3. The decision'!$B$22)</f>
        <v>912722.088969441</v>
      </c>
      <c r="O536" s="31" t="n">
        <f aca="false">'3. The decision'!$B$17+'3. The decision'!$B$18*L536*12+M536*('3. The decision'!$B$20*(1-'3. The decision'!$B$21)+'3. The decision'!$B$23)+N536*('3. The decision'!$B$24+'3. The decision'!$B$25)</f>
        <v>641093.079960425</v>
      </c>
      <c r="P536" s="31" t="n">
        <f aca="false">N536-O536</f>
        <v>271629.009009016</v>
      </c>
    </row>
    <row r="537" customFormat="false" ht="15" hidden="false" customHeight="false" outlineLevel="0" collapsed="false">
      <c r="A537" s="27" t="n">
        <f aca="false">98*0.0025</f>
        <v>0.245</v>
      </c>
      <c r="B537" s="27" t="n">
        <f aca="false">IF(A537&gt;0,MIN('3. The decision'!$B$15,'3. The decision'!$B$29*(A537/'3. The decision'!$B$28)^$B$436),0)</f>
        <v>0.75</v>
      </c>
      <c r="C537" s="15" t="n">
        <f aca="false">(1-'3. The decision'!$B$27-B537)*(1-'3. The decision'!$B$27)^('3. The decision'!$B$12-1)</f>
        <v>0.130079146898265</v>
      </c>
      <c r="D537" s="15" t="n">
        <f aca="false">1+(1-'3. The decision'!$B$27-B537)*(1-(1-'3. The decision'!$B$27)^('3. The decision'!$B$12-1))/'3. The decision'!$B$27</f>
        <v>1.80332109927421</v>
      </c>
      <c r="E537" s="15" t="n">
        <f aca="false">(1-'3. The decision'!$B$14)*(1-'3. The decision'!$B$27)^('3. The decision'!$B$11-1)</f>
        <v>0.690273454655712</v>
      </c>
      <c r="F537" s="15" t="n">
        <f aca="false">1+(1-'3. The decision'!$B$14)*(1-(1-'3. The decision'!$B$27)^('3. The decision'!$B$11-1))/'3. The decision'!$B$27</f>
        <v>4.28912098262087</v>
      </c>
      <c r="G537" s="15" t="n">
        <f aca="false">(1-(1-'3. The decision'!$B$9*MIN(1,('3. The decision'!$B$10/(52/12)))))+(1-(1-'3. The decision'!$B$9*MAX(0,MIN(1,('3. The decision'!$B$10/(52/12))-1))))*(1-'3. The decision'!$B$14)+(1-(1-'3. The decision'!$B$9*MAX(0,MIN(1,('3. The decision'!$B$10/(52/12))-2))))*(1-'3. The decision'!$B$14)*(1-'3. The decision'!$B$27)</f>
        <v>0.884576923076923</v>
      </c>
      <c r="H537" s="15" t="n">
        <f aca="false">IF(A537&lt;=0,0,MAX(0,ROUNDUP(LN('3. The decision'!$B$13)/LN(1+A537)-0.000000000001,0)-1))</f>
        <v>2</v>
      </c>
      <c r="I537" s="15" t="n">
        <f aca="false">IF(A537&lt;=0,1/(1-C537),(1+A537)*(1-(C537*(1+A537))^H537)/(1-C537*(1+A537))+'3. The decision'!$B$13*C537^H537/(1-C537))</f>
        <v>1.47813609145624</v>
      </c>
      <c r="J537" s="17" t="n">
        <f aca="false">F537+E537*D537/(1-C537)</f>
        <v>5.72003815239697</v>
      </c>
      <c r="K537" s="15" t="n">
        <f aca="false">F537-G537+E537*D537*I537</f>
        <v>5.24450522860767</v>
      </c>
      <c r="L537" s="17" t="n">
        <f aca="false">'3. The decision'!$B$8*'3. The decision'!$B$5/J537</f>
        <v>82.104347468941</v>
      </c>
      <c r="M537" s="31" t="n">
        <f aca="false">L537*'3. The decision'!$B$6*'3. The decision'!$B$7*K537</f>
        <v>825894.649006326</v>
      </c>
      <c r="N537" s="31" t="n">
        <f aca="false">M537*(1+'3. The decision'!$B$19+'3. The decision'!$B$20+'3. The decision'!$B$22)</f>
        <v>913439.481800997</v>
      </c>
      <c r="O537" s="31" t="n">
        <f aca="false">'3. The decision'!$B$17+'3. The decision'!$B$18*L537*12+M537*('3. The decision'!$B$20*(1-'3. The decision'!$B$21)+'3. The decision'!$B$23)+N537*('3. The decision'!$B$24+'3. The decision'!$B$25)</f>
        <v>641162.890844947</v>
      </c>
      <c r="P537" s="31" t="n">
        <f aca="false">N537-O537</f>
        <v>272276.590956049</v>
      </c>
    </row>
    <row r="538" customFormat="false" ht="15" hidden="false" customHeight="false" outlineLevel="0" collapsed="false">
      <c r="A538" s="27" t="n">
        <f aca="false">99*0.0025</f>
        <v>0.2475</v>
      </c>
      <c r="B538" s="27" t="n">
        <f aca="false">IF(A538&gt;0,MIN('3. The decision'!$B$15,'3. The decision'!$B$29*(A538/'3. The decision'!$B$28)^$B$436),0)</f>
        <v>0.75</v>
      </c>
      <c r="C538" s="15" t="n">
        <f aca="false">(1-'3. The decision'!$B$27-B538)*(1-'3. The decision'!$B$27)^('3. The decision'!$B$12-1)</f>
        <v>0.130079146898265</v>
      </c>
      <c r="D538" s="15" t="n">
        <f aca="false">1+(1-'3. The decision'!$B$27-B538)*(1-(1-'3. The decision'!$B$27)^('3. The decision'!$B$12-1))/'3. The decision'!$B$27</f>
        <v>1.80332109927421</v>
      </c>
      <c r="E538" s="15" t="n">
        <f aca="false">(1-'3. The decision'!$B$14)*(1-'3. The decision'!$B$27)^('3. The decision'!$B$11-1)</f>
        <v>0.690273454655712</v>
      </c>
      <c r="F538" s="15" t="n">
        <f aca="false">1+(1-'3. The decision'!$B$14)*(1-(1-'3. The decision'!$B$27)^('3. The decision'!$B$11-1))/'3. The decision'!$B$27</f>
        <v>4.28912098262087</v>
      </c>
      <c r="G538" s="15" t="n">
        <f aca="false">(1-(1-'3. The decision'!$B$9*MIN(1,('3. The decision'!$B$10/(52/12)))))+(1-(1-'3. The decision'!$B$9*MAX(0,MIN(1,('3. The decision'!$B$10/(52/12))-1))))*(1-'3. The decision'!$B$14)+(1-(1-'3. The decision'!$B$9*MAX(0,MIN(1,('3. The decision'!$B$10/(52/12))-2))))*(1-'3. The decision'!$B$14)*(1-'3. The decision'!$B$27)</f>
        <v>0.884576923076923</v>
      </c>
      <c r="H538" s="15" t="n">
        <f aca="false">IF(A538&lt;=0,0,MAX(0,ROUNDUP(LN('3. The decision'!$B$13)/LN(1+A538)-0.000000000001,0)-1))</f>
        <v>2</v>
      </c>
      <c r="I538" s="15" t="n">
        <f aca="false">IF(A538&lt;=0,1/(1-C538),(1+A538)*(1-(C538*(1+A538))^H538)/(1-C538*(1+A538))+'3. The decision'!$B$13*C538^H538/(1-C538))</f>
        <v>1.48144664714035</v>
      </c>
      <c r="J538" s="17" t="n">
        <f aca="false">F538+E538*D538/(1-C538)</f>
        <v>5.72003815239697</v>
      </c>
      <c r="K538" s="15" t="n">
        <f aca="false">F538-G538+E538*D538*I538</f>
        <v>5.24862615762225</v>
      </c>
      <c r="L538" s="17" t="n">
        <f aca="false">'3. The decision'!$B$8*'3. The decision'!$B$5/J538</f>
        <v>82.104347468941</v>
      </c>
      <c r="M538" s="31" t="n">
        <f aca="false">L538*'3. The decision'!$B$6*'3. The decision'!$B$7*K538</f>
        <v>826543.605022904</v>
      </c>
      <c r="N538" s="31" t="n">
        <f aca="false">M538*(1+'3. The decision'!$B$19+'3. The decision'!$B$20+'3. The decision'!$B$22)</f>
        <v>914157.227155332</v>
      </c>
      <c r="O538" s="31" t="n">
        <f aca="false">'3. The decision'!$B$17+'3. The decision'!$B$18*L538*12+M538*('3. The decision'!$B$20*(1-'3. The decision'!$B$21)+'3. The decision'!$B$23)+N538*('3. The decision'!$B$24+'3. The decision'!$B$25)</f>
        <v>641232.736034144</v>
      </c>
      <c r="P538" s="31" t="n">
        <f aca="false">N538-O538</f>
        <v>272924.491121188</v>
      </c>
    </row>
    <row r="539" customFormat="false" ht="15" hidden="false" customHeight="false" outlineLevel="0" collapsed="false">
      <c r="A539" s="27" t="n">
        <f aca="false">100*0.0025</f>
        <v>0.25</v>
      </c>
      <c r="B539" s="27" t="n">
        <f aca="false">IF(A539&gt;0,MIN('3. The decision'!$B$15,'3. The decision'!$B$29*(A539/'3. The decision'!$B$28)^$B$436),0)</f>
        <v>0.75</v>
      </c>
      <c r="C539" s="15" t="n">
        <f aca="false">(1-'3. The decision'!$B$27-B539)*(1-'3. The decision'!$B$27)^('3. The decision'!$B$12-1)</f>
        <v>0.130079146898265</v>
      </c>
      <c r="D539" s="15" t="n">
        <f aca="false">1+(1-'3. The decision'!$B$27-B539)*(1-(1-'3. The decision'!$B$27)^('3. The decision'!$B$12-1))/'3. The decision'!$B$27</f>
        <v>1.80332109927421</v>
      </c>
      <c r="E539" s="15" t="n">
        <f aca="false">(1-'3. The decision'!$B$14)*(1-'3. The decision'!$B$27)^('3. The decision'!$B$11-1)</f>
        <v>0.690273454655712</v>
      </c>
      <c r="F539" s="15" t="n">
        <f aca="false">1+(1-'3. The decision'!$B$14)*(1-(1-'3. The decision'!$B$27)^('3. The decision'!$B$11-1))/'3. The decision'!$B$27</f>
        <v>4.28912098262087</v>
      </c>
      <c r="G539" s="15" t="n">
        <f aca="false">(1-(1-'3. The decision'!$B$9*MIN(1,('3. The decision'!$B$10/(52/12)))))+(1-(1-'3. The decision'!$B$9*MAX(0,MIN(1,('3. The decision'!$B$10/(52/12))-1))))*(1-'3. The decision'!$B$14)+(1-(1-'3. The decision'!$B$9*MAX(0,MIN(1,('3. The decision'!$B$10/(52/12))-2))))*(1-'3. The decision'!$B$14)*(1-'3. The decision'!$B$27)</f>
        <v>0.884576923076923</v>
      </c>
      <c r="H539" s="15" t="n">
        <f aca="false">IF(A539&lt;=0,0,MAX(0,ROUNDUP(LN('3. The decision'!$B$13)/LN(1+A539)-0.000000000001,0)-1))</f>
        <v>2</v>
      </c>
      <c r="I539" s="15" t="n">
        <f aca="false">IF(A539&lt;=0,1/(1-C539),(1+A539)*(1-(C539*(1+A539))^H539)/(1-C539*(1+A539))+'3. The decision'!$B$13*C539^H539/(1-C539))</f>
        <v>1.4847588288138</v>
      </c>
      <c r="J539" s="17" t="n">
        <f aca="false">F539+E539*D539/(1-C539)</f>
        <v>5.72003815239697</v>
      </c>
      <c r="K539" s="15" t="n">
        <f aca="false">F539-G539+E539*D539*I539</f>
        <v>5.25274911064346</v>
      </c>
      <c r="L539" s="17" t="n">
        <f aca="false">'3. The decision'!$B$8*'3. The decision'!$B$5/J539</f>
        <v>82.104347468941</v>
      </c>
      <c r="M539" s="31" t="n">
        <f aca="false">L539*'3. The decision'!$B$6*'3. The decision'!$B$7*K539</f>
        <v>827192.879776173</v>
      </c>
      <c r="N539" s="31" t="n">
        <f aca="false">M539*(1+'3. The decision'!$B$19+'3. The decision'!$B$20+'3. The decision'!$B$22)</f>
        <v>914875.325032447</v>
      </c>
      <c r="O539" s="31" t="n">
        <f aca="false">'3. The decision'!$B$17+'3. The decision'!$B$18*L539*12+M539*('3. The decision'!$B$20*(1-'3. The decision'!$B$21)+'3. The decision'!$B$23)+N539*('3. The decision'!$B$24+'3. The decision'!$B$25)</f>
        <v>641302.615528014</v>
      </c>
      <c r="P539" s="31" t="n">
        <f aca="false">N539-O539</f>
        <v>273572.709504433</v>
      </c>
    </row>
    <row r="540" customFormat="false" ht="15" hidden="false" customHeight="false" outlineLevel="0" collapsed="false">
      <c r="A540" s="27" t="n">
        <f aca="false">101*0.0025</f>
        <v>0.2525</v>
      </c>
      <c r="B540" s="27" t="n">
        <f aca="false">IF(A540&gt;0,MIN('3. The decision'!$B$15,'3. The decision'!$B$29*(A540/'3. The decision'!$B$28)^$B$436),0)</f>
        <v>0.75</v>
      </c>
      <c r="C540" s="15" t="n">
        <f aca="false">(1-'3. The decision'!$B$27-B540)*(1-'3. The decision'!$B$27)^('3. The decision'!$B$12-1)</f>
        <v>0.130079146898265</v>
      </c>
      <c r="D540" s="15" t="n">
        <f aca="false">1+(1-'3. The decision'!$B$27-B540)*(1-(1-'3. The decision'!$B$27)^('3. The decision'!$B$12-1))/'3. The decision'!$B$27</f>
        <v>1.80332109927421</v>
      </c>
      <c r="E540" s="15" t="n">
        <f aca="false">(1-'3. The decision'!$B$14)*(1-'3. The decision'!$B$27)^('3. The decision'!$B$11-1)</f>
        <v>0.690273454655712</v>
      </c>
      <c r="F540" s="15" t="n">
        <f aca="false">1+(1-'3. The decision'!$B$14)*(1-(1-'3. The decision'!$B$27)^('3. The decision'!$B$11-1))/'3. The decision'!$B$27</f>
        <v>4.28912098262087</v>
      </c>
      <c r="G540" s="15" t="n">
        <f aca="false">(1-(1-'3. The decision'!$B$9*MIN(1,('3. The decision'!$B$10/(52/12)))))+(1-(1-'3. The decision'!$B$9*MAX(0,MIN(1,('3. The decision'!$B$10/(52/12))-1))))*(1-'3. The decision'!$B$14)+(1-(1-'3. The decision'!$B$9*MAX(0,MIN(1,('3. The decision'!$B$10/(52/12))-2))))*(1-'3. The decision'!$B$14)*(1-'3. The decision'!$B$27)</f>
        <v>0.884576923076923</v>
      </c>
      <c r="H540" s="15" t="n">
        <f aca="false">IF(A540&lt;=0,0,MAX(0,ROUNDUP(LN('3. The decision'!$B$13)/LN(1+A540)-0.000000000001,0)-1))</f>
        <v>2</v>
      </c>
      <c r="I540" s="15" t="n">
        <f aca="false">IF(A540&lt;=0,1/(1-C540),(1+A540)*(1-(C540*(1+A540))^H540)/(1-C540*(1+A540))+'3. The decision'!$B$13*C540^H540/(1-C540))</f>
        <v>1.48807263647658</v>
      </c>
      <c r="J540" s="17" t="n">
        <f aca="false">F540+E540*D540/(1-C540)</f>
        <v>5.72003815239697</v>
      </c>
      <c r="K540" s="15" t="n">
        <f aca="false">F540-G540+E540*D540*I540</f>
        <v>5.25687408767129</v>
      </c>
      <c r="L540" s="17" t="n">
        <f aca="false">'3. The decision'!$B$8*'3. The decision'!$B$5/J540</f>
        <v>82.104347468941</v>
      </c>
      <c r="M540" s="31" t="n">
        <f aca="false">L540*'3. The decision'!$B$6*'3. The decision'!$B$7*K540</f>
        <v>827842.473266132</v>
      </c>
      <c r="N540" s="31" t="n">
        <f aca="false">M540*(1+'3. The decision'!$B$19+'3. The decision'!$B$20+'3. The decision'!$B$22)</f>
        <v>915593.775432341</v>
      </c>
      <c r="O540" s="31" t="n">
        <f aca="false">'3. The decision'!$B$17+'3. The decision'!$B$18*L540*12+M540*('3. The decision'!$B$20*(1-'3. The decision'!$B$21)+'3. The decision'!$B$23)+N540*('3. The decision'!$B$24+'3. The decision'!$B$25)</f>
        <v>641372.529326557</v>
      </c>
      <c r="P540" s="31" t="n">
        <f aca="false">N540-O540</f>
        <v>274221.246105784</v>
      </c>
    </row>
    <row r="541" customFormat="false" ht="15" hidden="false" customHeight="false" outlineLevel="0" collapsed="false">
      <c r="A541" s="27" t="n">
        <f aca="false">102*0.0025</f>
        <v>0.255</v>
      </c>
      <c r="B541" s="27" t="n">
        <f aca="false">IF(A541&gt;0,MIN('3. The decision'!$B$15,'3. The decision'!$B$29*(A541/'3. The decision'!$B$28)^$B$436),0)</f>
        <v>0.75</v>
      </c>
      <c r="C541" s="15" t="n">
        <f aca="false">(1-'3. The decision'!$B$27-B541)*(1-'3. The decision'!$B$27)^('3. The decision'!$B$12-1)</f>
        <v>0.130079146898265</v>
      </c>
      <c r="D541" s="15" t="n">
        <f aca="false">1+(1-'3. The decision'!$B$27-B541)*(1-(1-'3. The decision'!$B$27)^('3. The decision'!$B$12-1))/'3. The decision'!$B$27</f>
        <v>1.80332109927421</v>
      </c>
      <c r="E541" s="15" t="n">
        <f aca="false">(1-'3. The decision'!$B$14)*(1-'3. The decision'!$B$27)^('3. The decision'!$B$11-1)</f>
        <v>0.690273454655712</v>
      </c>
      <c r="F541" s="15" t="n">
        <f aca="false">1+(1-'3. The decision'!$B$14)*(1-(1-'3. The decision'!$B$27)^('3. The decision'!$B$11-1))/'3. The decision'!$B$27</f>
        <v>4.28912098262087</v>
      </c>
      <c r="G541" s="15" t="n">
        <f aca="false">(1-(1-'3. The decision'!$B$9*MIN(1,('3. The decision'!$B$10/(52/12)))))+(1-(1-'3. The decision'!$B$9*MAX(0,MIN(1,('3. The decision'!$B$10/(52/12))-1))))*(1-'3. The decision'!$B$14)+(1-(1-'3. The decision'!$B$9*MAX(0,MIN(1,('3. The decision'!$B$10/(52/12))-2))))*(1-'3. The decision'!$B$14)*(1-'3. The decision'!$B$27)</f>
        <v>0.884576923076923</v>
      </c>
      <c r="H541" s="15" t="n">
        <f aca="false">IF(A541&lt;=0,0,MAX(0,ROUNDUP(LN('3. The decision'!$B$13)/LN(1+A541)-0.000000000001,0)-1))</f>
        <v>2</v>
      </c>
      <c r="I541" s="15" t="n">
        <f aca="false">IF(A541&lt;=0,1/(1-C541),(1+A541)*(1-(C541*(1+A541))^H541)/(1-C541*(1+A541))+'3. The decision'!$B$13*C541^H541/(1-C541))</f>
        <v>1.4913880701287</v>
      </c>
      <c r="J541" s="17" t="n">
        <f aca="false">F541+E541*D541/(1-C541)</f>
        <v>5.72003815239697</v>
      </c>
      <c r="K541" s="15" t="n">
        <f aca="false">F541-G541+E541*D541*I541</f>
        <v>5.26100108870575</v>
      </c>
      <c r="L541" s="17" t="n">
        <f aca="false">'3. The decision'!$B$8*'3. The decision'!$B$5/J541</f>
        <v>82.104347468941</v>
      </c>
      <c r="M541" s="31" t="n">
        <f aca="false">L541*'3. The decision'!$B$6*'3. The decision'!$B$7*K541</f>
        <v>828492.385492781</v>
      </c>
      <c r="N541" s="31" t="n">
        <f aca="false">M541*(1+'3. The decision'!$B$19+'3. The decision'!$B$20+'3. The decision'!$B$22)</f>
        <v>916312.578355016</v>
      </c>
      <c r="O541" s="31" t="n">
        <f aca="false">'3. The decision'!$B$17+'3. The decision'!$B$18*L541*12+M541*('3. The decision'!$B$20*(1-'3. The decision'!$B$21)+'3. The decision'!$B$23)+N541*('3. The decision'!$B$24+'3. The decision'!$B$25)</f>
        <v>641442.477429775</v>
      </c>
      <c r="P541" s="31" t="n">
        <f aca="false">N541-O541</f>
        <v>274870.100925241</v>
      </c>
    </row>
    <row r="542" customFormat="false" ht="15" hidden="false" customHeight="false" outlineLevel="0" collapsed="false">
      <c r="A542" s="27" t="n">
        <f aca="false">103*0.0025</f>
        <v>0.2575</v>
      </c>
      <c r="B542" s="27" t="n">
        <f aca="false">IF(A542&gt;0,MIN('3. The decision'!$B$15,'3. The decision'!$B$29*(A542/'3. The decision'!$B$28)^$B$436),0)</f>
        <v>0.75</v>
      </c>
      <c r="C542" s="15" t="n">
        <f aca="false">(1-'3. The decision'!$B$27-B542)*(1-'3. The decision'!$B$27)^('3. The decision'!$B$12-1)</f>
        <v>0.130079146898265</v>
      </c>
      <c r="D542" s="15" t="n">
        <f aca="false">1+(1-'3. The decision'!$B$27-B542)*(1-(1-'3. The decision'!$B$27)^('3. The decision'!$B$12-1))/'3. The decision'!$B$27</f>
        <v>1.80332109927421</v>
      </c>
      <c r="E542" s="15" t="n">
        <f aca="false">(1-'3. The decision'!$B$14)*(1-'3. The decision'!$B$27)^('3. The decision'!$B$11-1)</f>
        <v>0.690273454655712</v>
      </c>
      <c r="F542" s="15" t="n">
        <f aca="false">1+(1-'3. The decision'!$B$14)*(1-(1-'3. The decision'!$B$27)^('3. The decision'!$B$11-1))/'3. The decision'!$B$27</f>
        <v>4.28912098262087</v>
      </c>
      <c r="G542" s="15" t="n">
        <f aca="false">(1-(1-'3. The decision'!$B$9*MIN(1,('3. The decision'!$B$10/(52/12)))))+(1-(1-'3. The decision'!$B$9*MAX(0,MIN(1,('3. The decision'!$B$10/(52/12))-1))))*(1-'3. The decision'!$B$14)+(1-(1-'3. The decision'!$B$9*MAX(0,MIN(1,('3. The decision'!$B$10/(52/12))-2))))*(1-'3. The decision'!$B$14)*(1-'3. The decision'!$B$27)</f>
        <v>0.884576923076923</v>
      </c>
      <c r="H542" s="15" t="n">
        <f aca="false">IF(A542&lt;=0,0,MAX(0,ROUNDUP(LN('3. The decision'!$B$13)/LN(1+A542)-0.000000000001,0)-1))</f>
        <v>2</v>
      </c>
      <c r="I542" s="15" t="n">
        <f aca="false">IF(A542&lt;=0,1/(1-C542),(1+A542)*(1-(C542*(1+A542))^H542)/(1-C542*(1+A542))+'3. The decision'!$B$13*C542^H542/(1-C542))</f>
        <v>1.49470512977015</v>
      </c>
      <c r="J542" s="17" t="n">
        <f aca="false">F542+E542*D542/(1-C542)</f>
        <v>5.72003815239697</v>
      </c>
      <c r="K542" s="15" t="n">
        <f aca="false">F542-G542+E542*D542*I542</f>
        <v>5.26513011374682</v>
      </c>
      <c r="L542" s="17" t="n">
        <f aca="false">'3. The decision'!$B$8*'3. The decision'!$B$5/J542</f>
        <v>82.104347468941</v>
      </c>
      <c r="M542" s="31" t="n">
        <f aca="false">L542*'3. The decision'!$B$6*'3. The decision'!$B$7*K542</f>
        <v>829142.616456121</v>
      </c>
      <c r="N542" s="31" t="n">
        <f aca="false">M542*(1+'3. The decision'!$B$19+'3. The decision'!$B$20+'3. The decision'!$B$22)</f>
        <v>917031.73380047</v>
      </c>
      <c r="O542" s="31" t="n">
        <f aca="false">'3. The decision'!$B$17+'3. The decision'!$B$18*L542*12+M542*('3. The decision'!$B$20*(1-'3. The decision'!$B$21)+'3. The decision'!$B$23)+N542*('3. The decision'!$B$24+'3. The decision'!$B$25)</f>
        <v>641512.459837667</v>
      </c>
      <c r="P542" s="31" t="n">
        <f aca="false">N542-O542</f>
        <v>275519.273962804</v>
      </c>
    </row>
    <row r="543" customFormat="false" ht="15" hidden="false" customHeight="false" outlineLevel="0" collapsed="false">
      <c r="A543" s="27" t="n">
        <f aca="false">104*0.0025</f>
        <v>0.26</v>
      </c>
      <c r="B543" s="27" t="n">
        <f aca="false">IF(A543&gt;0,MIN('3. The decision'!$B$15,'3. The decision'!$B$29*(A543/'3. The decision'!$B$28)^$B$436),0)</f>
        <v>0.75</v>
      </c>
      <c r="C543" s="15" t="n">
        <f aca="false">(1-'3. The decision'!$B$27-B543)*(1-'3. The decision'!$B$27)^('3. The decision'!$B$12-1)</f>
        <v>0.130079146898265</v>
      </c>
      <c r="D543" s="15" t="n">
        <f aca="false">1+(1-'3. The decision'!$B$27-B543)*(1-(1-'3. The decision'!$B$27)^('3. The decision'!$B$12-1))/'3. The decision'!$B$27</f>
        <v>1.80332109927421</v>
      </c>
      <c r="E543" s="15" t="n">
        <f aca="false">(1-'3. The decision'!$B$14)*(1-'3. The decision'!$B$27)^('3. The decision'!$B$11-1)</f>
        <v>0.690273454655712</v>
      </c>
      <c r="F543" s="15" t="n">
        <f aca="false">1+(1-'3. The decision'!$B$14)*(1-(1-'3. The decision'!$B$27)^('3. The decision'!$B$11-1))/'3. The decision'!$B$27</f>
        <v>4.28912098262087</v>
      </c>
      <c r="G543" s="15" t="n">
        <f aca="false">(1-(1-'3. The decision'!$B$9*MIN(1,('3. The decision'!$B$10/(52/12)))))+(1-(1-'3. The decision'!$B$9*MAX(0,MIN(1,('3. The decision'!$B$10/(52/12))-1))))*(1-'3. The decision'!$B$14)+(1-(1-'3. The decision'!$B$9*MAX(0,MIN(1,('3. The decision'!$B$10/(52/12))-2))))*(1-'3. The decision'!$B$14)*(1-'3. The decision'!$B$27)</f>
        <v>0.884576923076923</v>
      </c>
      <c r="H543" s="15" t="n">
        <f aca="false">IF(A543&lt;=0,0,MAX(0,ROUNDUP(LN('3. The decision'!$B$13)/LN(1+A543)-0.000000000001,0)-1))</f>
        <v>2</v>
      </c>
      <c r="I543" s="15" t="n">
        <f aca="false">IF(A543&lt;=0,1/(1-C543),(1+A543)*(1-(C543*(1+A543))^H543)/(1-C543*(1+A543))+'3. The decision'!$B$13*C543^H543/(1-C543))</f>
        <v>1.49802381540094</v>
      </c>
      <c r="J543" s="17" t="n">
        <f aca="false">F543+E543*D543/(1-C543)</f>
        <v>5.72003815239697</v>
      </c>
      <c r="K543" s="15" t="n">
        <f aca="false">F543-G543+E543*D543*I543</f>
        <v>5.26926116279453</v>
      </c>
      <c r="L543" s="17" t="n">
        <f aca="false">'3. The decision'!$B$8*'3. The decision'!$B$5/J543</f>
        <v>82.104347468941</v>
      </c>
      <c r="M543" s="31" t="n">
        <f aca="false">L543*'3. The decision'!$B$6*'3. The decision'!$B$7*K543</f>
        <v>829793.166156152</v>
      </c>
      <c r="N543" s="31" t="n">
        <f aca="false">M543*(1+'3. The decision'!$B$19+'3. The decision'!$B$20+'3. The decision'!$B$22)</f>
        <v>917751.241768704</v>
      </c>
      <c r="O543" s="31" t="n">
        <f aca="false">'3. The decision'!$B$17+'3. The decision'!$B$18*L543*12+M543*('3. The decision'!$B$20*(1-'3. The decision'!$B$21)+'3. The decision'!$B$23)+N543*('3. The decision'!$B$24+'3. The decision'!$B$25)</f>
        <v>641582.476550232</v>
      </c>
      <c r="P543" s="31" t="n">
        <f aca="false">N543-O543</f>
        <v>276168.765218472</v>
      </c>
    </row>
    <row r="544" customFormat="false" ht="15" hidden="false" customHeight="false" outlineLevel="0" collapsed="false">
      <c r="A544" s="27" t="n">
        <f aca="false">105*0.0025</f>
        <v>0.2625</v>
      </c>
      <c r="B544" s="27" t="n">
        <f aca="false">IF(A544&gt;0,MIN('3. The decision'!$B$15,'3. The decision'!$B$29*(A544/'3. The decision'!$B$28)^$B$436),0)</f>
        <v>0.75</v>
      </c>
      <c r="C544" s="15" t="n">
        <f aca="false">(1-'3. The decision'!$B$27-B544)*(1-'3. The decision'!$B$27)^('3. The decision'!$B$12-1)</f>
        <v>0.130079146898265</v>
      </c>
      <c r="D544" s="15" t="n">
        <f aca="false">1+(1-'3. The decision'!$B$27-B544)*(1-(1-'3. The decision'!$B$27)^('3. The decision'!$B$12-1))/'3. The decision'!$B$27</f>
        <v>1.80332109927421</v>
      </c>
      <c r="E544" s="15" t="n">
        <f aca="false">(1-'3. The decision'!$B$14)*(1-'3. The decision'!$B$27)^('3. The decision'!$B$11-1)</f>
        <v>0.690273454655712</v>
      </c>
      <c r="F544" s="15" t="n">
        <f aca="false">1+(1-'3. The decision'!$B$14)*(1-(1-'3. The decision'!$B$27)^('3. The decision'!$B$11-1))/'3. The decision'!$B$27</f>
        <v>4.28912098262087</v>
      </c>
      <c r="G544" s="15" t="n">
        <f aca="false">(1-(1-'3. The decision'!$B$9*MIN(1,('3. The decision'!$B$10/(52/12)))))+(1-(1-'3. The decision'!$B$9*MAX(0,MIN(1,('3. The decision'!$B$10/(52/12))-1))))*(1-'3. The decision'!$B$14)+(1-(1-'3. The decision'!$B$9*MAX(0,MIN(1,('3. The decision'!$B$10/(52/12))-2))))*(1-'3. The decision'!$B$14)*(1-'3. The decision'!$B$27)</f>
        <v>0.884576923076923</v>
      </c>
      <c r="H544" s="15" t="n">
        <f aca="false">IF(A544&lt;=0,0,MAX(0,ROUNDUP(LN('3. The decision'!$B$13)/LN(1+A544)-0.000000000001,0)-1))</f>
        <v>2</v>
      </c>
      <c r="I544" s="15" t="n">
        <f aca="false">IF(A544&lt;=0,1/(1-C544),(1+A544)*(1-(C544*(1+A544))^H544)/(1-C544*(1+A544))+'3. The decision'!$B$13*C544^H544/(1-C544))</f>
        <v>1.50134412702107</v>
      </c>
      <c r="J544" s="17" t="n">
        <f aca="false">F544+E544*D544/(1-C544)</f>
        <v>5.72003815239697</v>
      </c>
      <c r="K544" s="15" t="n">
        <f aca="false">F544-G544+E544*D544*I544</f>
        <v>5.27339423584885</v>
      </c>
      <c r="L544" s="17" t="n">
        <f aca="false">'3. The decision'!$B$8*'3. The decision'!$B$5/J544</f>
        <v>82.104347468941</v>
      </c>
      <c r="M544" s="31" t="n">
        <f aca="false">L544*'3. The decision'!$B$6*'3. The decision'!$B$7*K544</f>
        <v>830444.034592873</v>
      </c>
      <c r="N544" s="31" t="n">
        <f aca="false">M544*(1+'3. The decision'!$B$19+'3. The decision'!$B$20+'3. The decision'!$B$22)</f>
        <v>918471.102259718</v>
      </c>
      <c r="O544" s="31" t="n">
        <f aca="false">'3. The decision'!$B$17+'3. The decision'!$B$18*L544*12+M544*('3. The decision'!$B$20*(1-'3. The decision'!$B$21)+'3. The decision'!$B$23)+N544*('3. The decision'!$B$24+'3. The decision'!$B$25)</f>
        <v>641652.527567471</v>
      </c>
      <c r="P544" s="31" t="n">
        <f aca="false">N544-O544</f>
        <v>276818.574692247</v>
      </c>
    </row>
    <row r="545" customFormat="false" ht="15" hidden="false" customHeight="false" outlineLevel="0" collapsed="false">
      <c r="A545" s="27" t="n">
        <f aca="false">106*0.0025</f>
        <v>0.265</v>
      </c>
      <c r="B545" s="27" t="n">
        <f aca="false">IF(A545&gt;0,MIN('3. The decision'!$B$15,'3. The decision'!$B$29*(A545/'3. The decision'!$B$28)^$B$436),0)</f>
        <v>0.75</v>
      </c>
      <c r="C545" s="15" t="n">
        <f aca="false">(1-'3. The decision'!$B$27-B545)*(1-'3. The decision'!$B$27)^('3. The decision'!$B$12-1)</f>
        <v>0.130079146898265</v>
      </c>
      <c r="D545" s="15" t="n">
        <f aca="false">1+(1-'3. The decision'!$B$27-B545)*(1-(1-'3. The decision'!$B$27)^('3. The decision'!$B$12-1))/'3. The decision'!$B$27</f>
        <v>1.80332109927421</v>
      </c>
      <c r="E545" s="15" t="n">
        <f aca="false">(1-'3. The decision'!$B$14)*(1-'3. The decision'!$B$27)^('3. The decision'!$B$11-1)</f>
        <v>0.690273454655712</v>
      </c>
      <c r="F545" s="15" t="n">
        <f aca="false">1+(1-'3. The decision'!$B$14)*(1-(1-'3. The decision'!$B$27)^('3. The decision'!$B$11-1))/'3. The decision'!$B$27</f>
        <v>4.28912098262087</v>
      </c>
      <c r="G545" s="15" t="n">
        <f aca="false">(1-(1-'3. The decision'!$B$9*MIN(1,('3. The decision'!$B$10/(52/12)))))+(1-(1-'3. The decision'!$B$9*MAX(0,MIN(1,('3. The decision'!$B$10/(52/12))-1))))*(1-'3. The decision'!$B$14)+(1-(1-'3. The decision'!$B$9*MAX(0,MIN(1,('3. The decision'!$B$10/(52/12))-2))))*(1-'3. The decision'!$B$14)*(1-'3. The decision'!$B$27)</f>
        <v>0.884576923076923</v>
      </c>
      <c r="H545" s="15" t="n">
        <f aca="false">IF(A545&lt;=0,0,MAX(0,ROUNDUP(LN('3. The decision'!$B$13)/LN(1+A545)-0.000000000001,0)-1))</f>
        <v>2</v>
      </c>
      <c r="I545" s="15" t="n">
        <f aca="false">IF(A545&lt;=0,1/(1-C545),(1+A545)*(1-(C545*(1+A545))^H545)/(1-C545*(1+A545))+'3. The decision'!$B$13*C545^H545/(1-C545))</f>
        <v>1.50466606463053</v>
      </c>
      <c r="J545" s="17" t="n">
        <f aca="false">F545+E545*D545/(1-C545)</f>
        <v>5.72003815239697</v>
      </c>
      <c r="K545" s="15" t="n">
        <f aca="false">F545-G545+E545*D545*I545</f>
        <v>5.2775293329098</v>
      </c>
      <c r="L545" s="17" t="n">
        <f aca="false">'3. The decision'!$B$8*'3. The decision'!$B$5/J545</f>
        <v>82.104347468941</v>
      </c>
      <c r="M545" s="31" t="n">
        <f aca="false">L545*'3. The decision'!$B$6*'3. The decision'!$B$7*K545</f>
        <v>831095.221766285</v>
      </c>
      <c r="N545" s="31" t="n">
        <f aca="false">M545*(1+'3. The decision'!$B$19+'3. The decision'!$B$20+'3. The decision'!$B$22)</f>
        <v>919191.315273511</v>
      </c>
      <c r="O545" s="31" t="n">
        <f aca="false">'3. The decision'!$B$17+'3. The decision'!$B$18*L545*12+M545*('3. The decision'!$B$20*(1-'3. The decision'!$B$21)+'3. The decision'!$B$23)+N545*('3. The decision'!$B$24+'3. The decision'!$B$25)</f>
        <v>641722.612889384</v>
      </c>
      <c r="P545" s="31" t="n">
        <f aca="false">N545-O545</f>
        <v>277468.702384128</v>
      </c>
    </row>
    <row r="546" customFormat="false" ht="15" hidden="false" customHeight="false" outlineLevel="0" collapsed="false">
      <c r="A546" s="27" t="n">
        <f aca="false">107*0.0025</f>
        <v>0.2675</v>
      </c>
      <c r="B546" s="27" t="n">
        <f aca="false">IF(A546&gt;0,MIN('3. The decision'!$B$15,'3. The decision'!$B$29*(A546/'3. The decision'!$B$28)^$B$436),0)</f>
        <v>0.75</v>
      </c>
      <c r="C546" s="15" t="n">
        <f aca="false">(1-'3. The decision'!$B$27-B546)*(1-'3. The decision'!$B$27)^('3. The decision'!$B$12-1)</f>
        <v>0.130079146898265</v>
      </c>
      <c r="D546" s="15" t="n">
        <f aca="false">1+(1-'3. The decision'!$B$27-B546)*(1-(1-'3. The decision'!$B$27)^('3. The decision'!$B$12-1))/'3. The decision'!$B$27</f>
        <v>1.80332109927421</v>
      </c>
      <c r="E546" s="15" t="n">
        <f aca="false">(1-'3. The decision'!$B$14)*(1-'3. The decision'!$B$27)^('3. The decision'!$B$11-1)</f>
        <v>0.690273454655712</v>
      </c>
      <c r="F546" s="15" t="n">
        <f aca="false">1+(1-'3. The decision'!$B$14)*(1-(1-'3. The decision'!$B$27)^('3. The decision'!$B$11-1))/'3. The decision'!$B$27</f>
        <v>4.28912098262087</v>
      </c>
      <c r="G546" s="15" t="n">
        <f aca="false">(1-(1-'3. The decision'!$B$9*MIN(1,('3. The decision'!$B$10/(52/12)))))+(1-(1-'3. The decision'!$B$9*MAX(0,MIN(1,('3. The decision'!$B$10/(52/12))-1))))*(1-'3. The decision'!$B$14)+(1-(1-'3. The decision'!$B$9*MAX(0,MIN(1,('3. The decision'!$B$10/(52/12))-2))))*(1-'3. The decision'!$B$14)*(1-'3. The decision'!$B$27)</f>
        <v>0.884576923076923</v>
      </c>
      <c r="H546" s="15" t="n">
        <f aca="false">IF(A546&lt;=0,0,MAX(0,ROUNDUP(LN('3. The decision'!$B$13)/LN(1+A546)-0.000000000001,0)-1))</f>
        <v>2</v>
      </c>
      <c r="I546" s="15" t="n">
        <f aca="false">IF(A546&lt;=0,1/(1-C546),(1+A546)*(1-(C546*(1+A546))^H546)/(1-C546*(1+A546))+'3. The decision'!$B$13*C546^H546/(1-C546))</f>
        <v>1.50798962822933</v>
      </c>
      <c r="J546" s="17" t="n">
        <f aca="false">F546+E546*D546/(1-C546)</f>
        <v>5.72003815239697</v>
      </c>
      <c r="K546" s="15" t="n">
        <f aca="false">F546-G546+E546*D546*I546</f>
        <v>5.28166645397738</v>
      </c>
      <c r="L546" s="17" t="n">
        <f aca="false">'3. The decision'!$B$8*'3. The decision'!$B$5/J546</f>
        <v>82.104347468941</v>
      </c>
      <c r="M546" s="31" t="n">
        <f aca="false">L546*'3. The decision'!$B$6*'3. The decision'!$B$7*K546</f>
        <v>831746.727676388</v>
      </c>
      <c r="N546" s="31" t="n">
        <f aca="false">M546*(1+'3. The decision'!$B$19+'3. The decision'!$B$20+'3. The decision'!$B$22)</f>
        <v>919911.880810085</v>
      </c>
      <c r="O546" s="31" t="n">
        <f aca="false">'3. The decision'!$B$17+'3. The decision'!$B$18*L546*12+M546*('3. The decision'!$B$20*(1-'3. The decision'!$B$21)+'3. The decision'!$B$23)+N546*('3. The decision'!$B$24+'3. The decision'!$B$25)</f>
        <v>641792.73251597</v>
      </c>
      <c r="P546" s="31" t="n">
        <f aca="false">N546-O546</f>
        <v>278119.148294114</v>
      </c>
    </row>
    <row r="547" customFormat="false" ht="15" hidden="false" customHeight="false" outlineLevel="0" collapsed="false">
      <c r="A547" s="27" t="n">
        <f aca="false">108*0.0025</f>
        <v>0.27</v>
      </c>
      <c r="B547" s="27" t="n">
        <f aca="false">IF(A547&gt;0,MIN('3. The decision'!$B$15,'3. The decision'!$B$29*(A547/'3. The decision'!$B$28)^$B$436),0)</f>
        <v>0.75</v>
      </c>
      <c r="C547" s="15" t="n">
        <f aca="false">(1-'3. The decision'!$B$27-B547)*(1-'3. The decision'!$B$27)^('3. The decision'!$B$12-1)</f>
        <v>0.130079146898265</v>
      </c>
      <c r="D547" s="15" t="n">
        <f aca="false">1+(1-'3. The decision'!$B$27-B547)*(1-(1-'3. The decision'!$B$27)^('3. The decision'!$B$12-1))/'3. The decision'!$B$27</f>
        <v>1.80332109927421</v>
      </c>
      <c r="E547" s="15" t="n">
        <f aca="false">(1-'3. The decision'!$B$14)*(1-'3. The decision'!$B$27)^('3. The decision'!$B$11-1)</f>
        <v>0.690273454655712</v>
      </c>
      <c r="F547" s="15" t="n">
        <f aca="false">1+(1-'3. The decision'!$B$14)*(1-(1-'3. The decision'!$B$27)^('3. The decision'!$B$11-1))/'3. The decision'!$B$27</f>
        <v>4.28912098262087</v>
      </c>
      <c r="G547" s="15" t="n">
        <f aca="false">(1-(1-'3. The decision'!$B$9*MIN(1,('3. The decision'!$B$10/(52/12)))))+(1-(1-'3. The decision'!$B$9*MAX(0,MIN(1,('3. The decision'!$B$10/(52/12))-1))))*(1-'3. The decision'!$B$14)+(1-(1-'3. The decision'!$B$9*MAX(0,MIN(1,('3. The decision'!$B$10/(52/12))-2))))*(1-'3. The decision'!$B$14)*(1-'3. The decision'!$B$27)</f>
        <v>0.884576923076923</v>
      </c>
      <c r="H547" s="15" t="n">
        <f aca="false">IF(A547&lt;=0,0,MAX(0,ROUNDUP(LN('3. The decision'!$B$13)/LN(1+A547)-0.000000000001,0)-1))</f>
        <v>2</v>
      </c>
      <c r="I547" s="15" t="n">
        <f aca="false">IF(A547&lt;=0,1/(1-C547),(1+A547)*(1-(C547*(1+A547))^H547)/(1-C547*(1+A547))+'3. The decision'!$B$13*C547^H547/(1-C547))</f>
        <v>1.51131481781747</v>
      </c>
      <c r="J547" s="17" t="n">
        <f aca="false">F547+E547*D547/(1-C547)</f>
        <v>5.72003815239697</v>
      </c>
      <c r="K547" s="15" t="n">
        <f aca="false">F547-G547+E547*D547*I547</f>
        <v>5.28580559905158</v>
      </c>
      <c r="L547" s="17" t="n">
        <f aca="false">'3. The decision'!$B$8*'3. The decision'!$B$5/J547</f>
        <v>82.104347468941</v>
      </c>
      <c r="M547" s="31" t="n">
        <f aca="false">L547*'3. The decision'!$B$6*'3. The decision'!$B$7*K547</f>
        <v>832398.55232318</v>
      </c>
      <c r="N547" s="31" t="n">
        <f aca="false">M547*(1+'3. The decision'!$B$19+'3. The decision'!$B$20+'3. The decision'!$B$22)</f>
        <v>920632.798869437</v>
      </c>
      <c r="O547" s="31" t="n">
        <f aca="false">'3. The decision'!$B$17+'3. The decision'!$B$18*L547*12+M547*('3. The decision'!$B$20*(1-'3. The decision'!$B$21)+'3. The decision'!$B$23)+N547*('3. The decision'!$B$24+'3. The decision'!$B$25)</f>
        <v>641862.886447231</v>
      </c>
      <c r="P547" s="31" t="n">
        <f aca="false">N547-O547</f>
        <v>278769.912422207</v>
      </c>
    </row>
    <row r="548" customFormat="false" ht="15" hidden="false" customHeight="false" outlineLevel="0" collapsed="false">
      <c r="A548" s="27" t="n">
        <f aca="false">109*0.0025</f>
        <v>0.2725</v>
      </c>
      <c r="B548" s="27" t="n">
        <f aca="false">IF(A548&gt;0,MIN('3. The decision'!$B$15,'3. The decision'!$B$29*(A548/'3. The decision'!$B$28)^$B$436),0)</f>
        <v>0.75</v>
      </c>
      <c r="C548" s="15" t="n">
        <f aca="false">(1-'3. The decision'!$B$27-B548)*(1-'3. The decision'!$B$27)^('3. The decision'!$B$12-1)</f>
        <v>0.130079146898265</v>
      </c>
      <c r="D548" s="15" t="n">
        <f aca="false">1+(1-'3. The decision'!$B$27-B548)*(1-(1-'3. The decision'!$B$27)^('3. The decision'!$B$12-1))/'3. The decision'!$B$27</f>
        <v>1.80332109927421</v>
      </c>
      <c r="E548" s="15" t="n">
        <f aca="false">(1-'3. The decision'!$B$14)*(1-'3. The decision'!$B$27)^('3. The decision'!$B$11-1)</f>
        <v>0.690273454655712</v>
      </c>
      <c r="F548" s="15" t="n">
        <f aca="false">1+(1-'3. The decision'!$B$14)*(1-(1-'3. The decision'!$B$27)^('3. The decision'!$B$11-1))/'3. The decision'!$B$27</f>
        <v>4.28912098262087</v>
      </c>
      <c r="G548" s="15" t="n">
        <f aca="false">(1-(1-'3. The decision'!$B$9*MIN(1,('3. The decision'!$B$10/(52/12)))))+(1-(1-'3. The decision'!$B$9*MAX(0,MIN(1,('3. The decision'!$B$10/(52/12))-1))))*(1-'3. The decision'!$B$14)+(1-(1-'3. The decision'!$B$9*MAX(0,MIN(1,('3. The decision'!$B$10/(52/12))-2))))*(1-'3. The decision'!$B$14)*(1-'3. The decision'!$B$27)</f>
        <v>0.884576923076923</v>
      </c>
      <c r="H548" s="15" t="n">
        <f aca="false">IF(A548&lt;=0,0,MAX(0,ROUNDUP(LN('3. The decision'!$B$13)/LN(1+A548)-0.000000000001,0)-1))</f>
        <v>2</v>
      </c>
      <c r="I548" s="15" t="n">
        <f aca="false">IF(A548&lt;=0,1/(1-C548),(1+A548)*(1-(C548*(1+A548))^H548)/(1-C548*(1+A548))+'3. The decision'!$B$13*C548^H548/(1-C548))</f>
        <v>1.51464163339494</v>
      </c>
      <c r="J548" s="17" t="n">
        <f aca="false">F548+E548*D548/(1-C548)</f>
        <v>5.72003815239697</v>
      </c>
      <c r="K548" s="15" t="n">
        <f aca="false">F548-G548+E548*D548*I548</f>
        <v>5.2899467681324</v>
      </c>
      <c r="L548" s="17" t="n">
        <f aca="false">'3. The decision'!$B$8*'3. The decision'!$B$5/J548</f>
        <v>82.104347468941</v>
      </c>
      <c r="M548" s="31" t="n">
        <f aca="false">L548*'3. The decision'!$B$6*'3. The decision'!$B$7*K548</f>
        <v>833050.695706664</v>
      </c>
      <c r="N548" s="31" t="n">
        <f aca="false">M548*(1+'3. The decision'!$B$19+'3. The decision'!$B$20+'3. The decision'!$B$22)</f>
        <v>921354.06945157</v>
      </c>
      <c r="O548" s="31" t="n">
        <f aca="false">'3. The decision'!$B$17+'3. The decision'!$B$18*L548*12+M548*('3. The decision'!$B$20*(1-'3. The decision'!$B$21)+'3. The decision'!$B$23)+N548*('3. The decision'!$B$24+'3. The decision'!$B$25)</f>
        <v>641933.074683165</v>
      </c>
      <c r="P548" s="31" t="n">
        <f aca="false">N548-O548</f>
        <v>279420.994768405</v>
      </c>
    </row>
    <row r="549" customFormat="false" ht="15" hidden="false" customHeight="false" outlineLevel="0" collapsed="false">
      <c r="A549" s="27" t="n">
        <f aca="false">110*0.0025</f>
        <v>0.275</v>
      </c>
      <c r="B549" s="27" t="n">
        <f aca="false">IF(A549&gt;0,MIN('3. The decision'!$B$15,'3. The decision'!$B$29*(A549/'3. The decision'!$B$28)^$B$436),0)</f>
        <v>0.75</v>
      </c>
      <c r="C549" s="15" t="n">
        <f aca="false">(1-'3. The decision'!$B$27-B549)*(1-'3. The decision'!$B$27)^('3. The decision'!$B$12-1)</f>
        <v>0.130079146898265</v>
      </c>
      <c r="D549" s="15" t="n">
        <f aca="false">1+(1-'3. The decision'!$B$27-B549)*(1-(1-'3. The decision'!$B$27)^('3. The decision'!$B$12-1))/'3. The decision'!$B$27</f>
        <v>1.80332109927421</v>
      </c>
      <c r="E549" s="15" t="n">
        <f aca="false">(1-'3. The decision'!$B$14)*(1-'3. The decision'!$B$27)^('3. The decision'!$B$11-1)</f>
        <v>0.690273454655712</v>
      </c>
      <c r="F549" s="15" t="n">
        <f aca="false">1+(1-'3. The decision'!$B$14)*(1-(1-'3. The decision'!$B$27)^('3. The decision'!$B$11-1))/'3. The decision'!$B$27</f>
        <v>4.28912098262087</v>
      </c>
      <c r="G549" s="15" t="n">
        <f aca="false">(1-(1-'3. The decision'!$B$9*MIN(1,('3. The decision'!$B$10/(52/12)))))+(1-(1-'3. The decision'!$B$9*MAX(0,MIN(1,('3. The decision'!$B$10/(52/12))-1))))*(1-'3. The decision'!$B$14)+(1-(1-'3. The decision'!$B$9*MAX(0,MIN(1,('3. The decision'!$B$10/(52/12))-2))))*(1-'3. The decision'!$B$14)*(1-'3. The decision'!$B$27)</f>
        <v>0.884576923076923</v>
      </c>
      <c r="H549" s="15" t="n">
        <f aca="false">IF(A549&lt;=0,0,MAX(0,ROUNDUP(LN('3. The decision'!$B$13)/LN(1+A549)-0.000000000001,0)-1))</f>
        <v>1</v>
      </c>
      <c r="I549" s="15" t="n">
        <f aca="false">IF(A549&lt;=0,1/(1-C549),(1+A549)*(1-(C549*(1+A549))^H549)/(1-C549*(1+A549))+'3. The decision'!$B$13*C549^H549/(1-C549))</f>
        <v>1.51723837976045</v>
      </c>
      <c r="J549" s="17" t="n">
        <f aca="false">F549+E549*D549/(1-C549)</f>
        <v>5.72003815239697</v>
      </c>
      <c r="K549" s="15" t="n">
        <f aca="false">F549-G549+E549*D549*I549</f>
        <v>5.29317915823914</v>
      </c>
      <c r="L549" s="17" t="n">
        <f aca="false">'3. The decision'!$B$8*'3. The decision'!$B$5/J549</f>
        <v>82.104347468941</v>
      </c>
      <c r="M549" s="31" t="n">
        <f aca="false">L549*'3. The decision'!$B$6*'3. The decision'!$B$7*K549</f>
        <v>833559.72631609</v>
      </c>
      <c r="N549" s="31" t="n">
        <f aca="false">M549*(1+'3. The decision'!$B$19+'3. The decision'!$B$20+'3. The decision'!$B$22)</f>
        <v>921917.057305595</v>
      </c>
      <c r="O549" s="31" t="n">
        <f aca="false">'3. The decision'!$B$17+'3. The decision'!$B$18*L549*12+M549*('3. The decision'!$B$20*(1-'3. The decision'!$B$21)+'3. The decision'!$B$23)+N549*('3. The decision'!$B$24+'3. The decision'!$B$25)</f>
        <v>641987.860120565</v>
      </c>
      <c r="P549" s="31" t="n">
        <f aca="false">N549-O549</f>
        <v>279929.19718503</v>
      </c>
    </row>
    <row r="550" customFormat="false" ht="15" hidden="false" customHeight="false" outlineLevel="0" collapsed="false">
      <c r="A550" s="27" t="n">
        <f aca="false">111*0.0025</f>
        <v>0.2775</v>
      </c>
      <c r="B550" s="27" t="n">
        <f aca="false">IF(A550&gt;0,MIN('3. The decision'!$B$15,'3. The decision'!$B$29*(A550/'3. The decision'!$B$28)^$B$436),0)</f>
        <v>0.75</v>
      </c>
      <c r="C550" s="15" t="n">
        <f aca="false">(1-'3. The decision'!$B$27-B550)*(1-'3. The decision'!$B$27)^('3. The decision'!$B$12-1)</f>
        <v>0.130079146898265</v>
      </c>
      <c r="D550" s="15" t="n">
        <f aca="false">1+(1-'3. The decision'!$B$27-B550)*(1-(1-'3. The decision'!$B$27)^('3. The decision'!$B$12-1))/'3. The decision'!$B$27</f>
        <v>1.80332109927421</v>
      </c>
      <c r="E550" s="15" t="n">
        <f aca="false">(1-'3. The decision'!$B$14)*(1-'3. The decision'!$B$27)^('3. The decision'!$B$11-1)</f>
        <v>0.690273454655712</v>
      </c>
      <c r="F550" s="15" t="n">
        <f aca="false">1+(1-'3. The decision'!$B$14)*(1-(1-'3. The decision'!$B$27)^('3. The decision'!$B$11-1))/'3. The decision'!$B$27</f>
        <v>4.28912098262087</v>
      </c>
      <c r="G550" s="15" t="n">
        <f aca="false">(1-(1-'3. The decision'!$B$9*MIN(1,('3. The decision'!$B$10/(52/12)))))+(1-(1-'3. The decision'!$B$9*MAX(0,MIN(1,('3. The decision'!$B$10/(52/12))-1))))*(1-'3. The decision'!$B$14)+(1-(1-'3. The decision'!$B$9*MAX(0,MIN(1,('3. The decision'!$B$10/(52/12))-2))))*(1-'3. The decision'!$B$14)*(1-'3. The decision'!$B$27)</f>
        <v>0.884576923076923</v>
      </c>
      <c r="H550" s="15" t="n">
        <f aca="false">IF(A550&lt;=0,0,MAX(0,ROUNDUP(LN('3. The decision'!$B$13)/LN(1+A550)-0.000000000001,0)-1))</f>
        <v>1</v>
      </c>
      <c r="I550" s="15" t="n">
        <f aca="false">IF(A550&lt;=0,1/(1-C550),(1+A550)*(1-(C550*(1+A550))^H550)/(1-C550*(1+A550))+'3. The decision'!$B$13*C550^H550/(1-C550))</f>
        <v>1.51973837976045</v>
      </c>
      <c r="J550" s="17" t="n">
        <f aca="false">F550+E550*D550/(1-C550)</f>
        <v>5.72003815239697</v>
      </c>
      <c r="K550" s="15" t="n">
        <f aca="false">F550-G550+E550*D550*I550</f>
        <v>5.29629111995176</v>
      </c>
      <c r="L550" s="17" t="n">
        <f aca="false">'3. The decision'!$B$8*'3. The decision'!$B$5/J550</f>
        <v>82.104347468941</v>
      </c>
      <c r="M550" s="31" t="n">
        <f aca="false">L550*'3. The decision'!$B$6*'3. The decision'!$B$7*K550</f>
        <v>834049.792092428</v>
      </c>
      <c r="N550" s="31" t="n">
        <f aca="false">M550*(1+'3. The decision'!$B$19+'3. The decision'!$B$20+'3. The decision'!$B$22)</f>
        <v>922459.070054226</v>
      </c>
      <c r="O550" s="31" t="n">
        <f aca="false">'3. The decision'!$B$17+'3. The decision'!$B$18*L550*12+M550*('3. The decision'!$B$20*(1-'3. The decision'!$B$21)+'3. The decision'!$B$23)+N550*('3. The decision'!$B$24+'3. The decision'!$B$25)</f>
        <v>642040.604429875</v>
      </c>
      <c r="P550" s="31" t="n">
        <f aca="false">N550-O550</f>
        <v>280418.46562435</v>
      </c>
    </row>
    <row r="551" customFormat="false" ht="15" hidden="false" customHeight="false" outlineLevel="0" collapsed="false">
      <c r="A551" s="27" t="n">
        <f aca="false">112*0.0025</f>
        <v>0.28</v>
      </c>
      <c r="B551" s="27" t="n">
        <f aca="false">IF(A551&gt;0,MIN('3. The decision'!$B$15,'3. The decision'!$B$29*(A551/'3. The decision'!$B$28)^$B$436),0)</f>
        <v>0.75</v>
      </c>
      <c r="C551" s="15" t="n">
        <f aca="false">(1-'3. The decision'!$B$27-B551)*(1-'3. The decision'!$B$27)^('3. The decision'!$B$12-1)</f>
        <v>0.130079146898265</v>
      </c>
      <c r="D551" s="15" t="n">
        <f aca="false">1+(1-'3. The decision'!$B$27-B551)*(1-(1-'3. The decision'!$B$27)^('3. The decision'!$B$12-1))/'3. The decision'!$B$27</f>
        <v>1.80332109927421</v>
      </c>
      <c r="E551" s="15" t="n">
        <f aca="false">(1-'3. The decision'!$B$14)*(1-'3. The decision'!$B$27)^('3. The decision'!$B$11-1)</f>
        <v>0.690273454655712</v>
      </c>
      <c r="F551" s="15" t="n">
        <f aca="false">1+(1-'3. The decision'!$B$14)*(1-(1-'3. The decision'!$B$27)^('3. The decision'!$B$11-1))/'3. The decision'!$B$27</f>
        <v>4.28912098262087</v>
      </c>
      <c r="G551" s="15" t="n">
        <f aca="false">(1-(1-'3. The decision'!$B$9*MIN(1,('3. The decision'!$B$10/(52/12)))))+(1-(1-'3. The decision'!$B$9*MAX(0,MIN(1,('3. The decision'!$B$10/(52/12))-1))))*(1-'3. The decision'!$B$14)+(1-(1-'3. The decision'!$B$9*MAX(0,MIN(1,('3. The decision'!$B$10/(52/12))-2))))*(1-'3. The decision'!$B$14)*(1-'3. The decision'!$B$27)</f>
        <v>0.884576923076923</v>
      </c>
      <c r="H551" s="15" t="n">
        <f aca="false">IF(A551&lt;=0,0,MAX(0,ROUNDUP(LN('3. The decision'!$B$13)/LN(1+A551)-0.000000000001,0)-1))</f>
        <v>1</v>
      </c>
      <c r="I551" s="15" t="n">
        <f aca="false">IF(A551&lt;=0,1/(1-C551),(1+A551)*(1-(C551*(1+A551))^H551)/(1-C551*(1+A551))+'3. The decision'!$B$13*C551^H551/(1-C551))</f>
        <v>1.52223837976045</v>
      </c>
      <c r="J551" s="17" t="n">
        <f aca="false">F551+E551*D551/(1-C551)</f>
        <v>5.72003815239697</v>
      </c>
      <c r="K551" s="15" t="n">
        <f aca="false">F551-G551+E551*D551*I551</f>
        <v>5.29940308166438</v>
      </c>
      <c r="L551" s="17" t="n">
        <f aca="false">'3. The decision'!$B$8*'3. The decision'!$B$5/J551</f>
        <v>82.104347468941</v>
      </c>
      <c r="M551" s="31" t="n">
        <f aca="false">L551*'3. The decision'!$B$6*'3. The decision'!$B$7*K551</f>
        <v>834539.857868767</v>
      </c>
      <c r="N551" s="31" t="n">
        <f aca="false">M551*(1+'3. The decision'!$B$19+'3. The decision'!$B$20+'3. The decision'!$B$22)</f>
        <v>923001.082802856</v>
      </c>
      <c r="O551" s="31" t="n">
        <f aca="false">'3. The decision'!$B$17+'3. The decision'!$B$18*L551*12+M551*('3. The decision'!$B$20*(1-'3. The decision'!$B$21)+'3. The decision'!$B$23)+N551*('3. The decision'!$B$24+'3. The decision'!$B$25)</f>
        <v>642093.348739185</v>
      </c>
      <c r="P551" s="31" t="n">
        <f aca="false">N551-O551</f>
        <v>280907.734063671</v>
      </c>
    </row>
    <row r="552" customFormat="false" ht="15" hidden="false" customHeight="false" outlineLevel="0" collapsed="false">
      <c r="A552" s="27" t="n">
        <f aca="false">113*0.0025</f>
        <v>0.2825</v>
      </c>
      <c r="B552" s="27" t="n">
        <f aca="false">IF(A552&gt;0,MIN('3. The decision'!$B$15,'3. The decision'!$B$29*(A552/'3. The decision'!$B$28)^$B$436),0)</f>
        <v>0.75</v>
      </c>
      <c r="C552" s="15" t="n">
        <f aca="false">(1-'3. The decision'!$B$27-B552)*(1-'3. The decision'!$B$27)^('3. The decision'!$B$12-1)</f>
        <v>0.130079146898265</v>
      </c>
      <c r="D552" s="15" t="n">
        <f aca="false">1+(1-'3. The decision'!$B$27-B552)*(1-(1-'3. The decision'!$B$27)^('3. The decision'!$B$12-1))/'3. The decision'!$B$27</f>
        <v>1.80332109927421</v>
      </c>
      <c r="E552" s="15" t="n">
        <f aca="false">(1-'3. The decision'!$B$14)*(1-'3. The decision'!$B$27)^('3. The decision'!$B$11-1)</f>
        <v>0.690273454655712</v>
      </c>
      <c r="F552" s="15" t="n">
        <f aca="false">1+(1-'3. The decision'!$B$14)*(1-(1-'3. The decision'!$B$27)^('3. The decision'!$B$11-1))/'3. The decision'!$B$27</f>
        <v>4.28912098262087</v>
      </c>
      <c r="G552" s="15" t="n">
        <f aca="false">(1-(1-'3. The decision'!$B$9*MIN(1,('3. The decision'!$B$10/(52/12)))))+(1-(1-'3. The decision'!$B$9*MAX(0,MIN(1,('3. The decision'!$B$10/(52/12))-1))))*(1-'3. The decision'!$B$14)+(1-(1-'3. The decision'!$B$9*MAX(0,MIN(1,('3. The decision'!$B$10/(52/12))-2))))*(1-'3. The decision'!$B$14)*(1-'3. The decision'!$B$27)</f>
        <v>0.884576923076923</v>
      </c>
      <c r="H552" s="15" t="n">
        <f aca="false">IF(A552&lt;=0,0,MAX(0,ROUNDUP(LN('3. The decision'!$B$13)/LN(1+A552)-0.000000000001,0)-1))</f>
        <v>1</v>
      </c>
      <c r="I552" s="15" t="n">
        <f aca="false">IF(A552&lt;=0,1/(1-C552),(1+A552)*(1-(C552*(1+A552))^H552)/(1-C552*(1+A552))+'3. The decision'!$B$13*C552^H552/(1-C552))</f>
        <v>1.52473837976045</v>
      </c>
      <c r="J552" s="17" t="n">
        <f aca="false">F552+E552*D552/(1-C552)</f>
        <v>5.72003815239697</v>
      </c>
      <c r="K552" s="15" t="n">
        <f aca="false">F552-G552+E552*D552*I552</f>
        <v>5.30251504337701</v>
      </c>
      <c r="L552" s="17" t="n">
        <f aca="false">'3. The decision'!$B$8*'3. The decision'!$B$5/J552</f>
        <v>82.104347468941</v>
      </c>
      <c r="M552" s="31" t="n">
        <f aca="false">L552*'3. The decision'!$B$6*'3. The decision'!$B$7*K552</f>
        <v>835029.923645105</v>
      </c>
      <c r="N552" s="31" t="n">
        <f aca="false">M552*(1+'3. The decision'!$B$19+'3. The decision'!$B$20+'3. The decision'!$B$22)</f>
        <v>923543.095551486</v>
      </c>
      <c r="O552" s="31" t="n">
        <f aca="false">'3. The decision'!$B$17+'3. The decision'!$B$18*L552*12+M552*('3. The decision'!$B$20*(1-'3. The decision'!$B$21)+'3. The decision'!$B$23)+N552*('3. The decision'!$B$24+'3. The decision'!$B$25)</f>
        <v>642146.093048495</v>
      </c>
      <c r="P552" s="31" t="n">
        <f aca="false">N552-O552</f>
        <v>281397.002502991</v>
      </c>
    </row>
    <row r="553" customFormat="false" ht="15" hidden="false" customHeight="false" outlineLevel="0" collapsed="false">
      <c r="A553" s="27" t="n">
        <f aca="false">114*0.0025</f>
        <v>0.285</v>
      </c>
      <c r="B553" s="27" t="n">
        <f aca="false">IF(A553&gt;0,MIN('3. The decision'!$B$15,'3. The decision'!$B$29*(A553/'3. The decision'!$B$28)^$B$436),0)</f>
        <v>0.75</v>
      </c>
      <c r="C553" s="15" t="n">
        <f aca="false">(1-'3. The decision'!$B$27-B553)*(1-'3. The decision'!$B$27)^('3. The decision'!$B$12-1)</f>
        <v>0.130079146898265</v>
      </c>
      <c r="D553" s="15" t="n">
        <f aca="false">1+(1-'3. The decision'!$B$27-B553)*(1-(1-'3. The decision'!$B$27)^('3. The decision'!$B$12-1))/'3. The decision'!$B$27</f>
        <v>1.80332109927421</v>
      </c>
      <c r="E553" s="15" t="n">
        <f aca="false">(1-'3. The decision'!$B$14)*(1-'3. The decision'!$B$27)^('3. The decision'!$B$11-1)</f>
        <v>0.690273454655712</v>
      </c>
      <c r="F553" s="15" t="n">
        <f aca="false">1+(1-'3. The decision'!$B$14)*(1-(1-'3. The decision'!$B$27)^('3. The decision'!$B$11-1))/'3. The decision'!$B$27</f>
        <v>4.28912098262087</v>
      </c>
      <c r="G553" s="15" t="n">
        <f aca="false">(1-(1-'3. The decision'!$B$9*MIN(1,('3. The decision'!$B$10/(52/12)))))+(1-(1-'3. The decision'!$B$9*MAX(0,MIN(1,('3. The decision'!$B$10/(52/12))-1))))*(1-'3. The decision'!$B$14)+(1-(1-'3. The decision'!$B$9*MAX(0,MIN(1,('3. The decision'!$B$10/(52/12))-2))))*(1-'3. The decision'!$B$14)*(1-'3. The decision'!$B$27)</f>
        <v>0.884576923076923</v>
      </c>
      <c r="H553" s="15" t="n">
        <f aca="false">IF(A553&lt;=0,0,MAX(0,ROUNDUP(LN('3. The decision'!$B$13)/LN(1+A553)-0.000000000001,0)-1))</f>
        <v>1</v>
      </c>
      <c r="I553" s="15" t="n">
        <f aca="false">IF(A553&lt;=0,1/(1-C553),(1+A553)*(1-(C553*(1+A553))^H553)/(1-C553*(1+A553))+'3. The decision'!$B$13*C553^H553/(1-C553))</f>
        <v>1.52723837976045</v>
      </c>
      <c r="J553" s="17" t="n">
        <f aca="false">F553+E553*D553/(1-C553)</f>
        <v>5.72003815239697</v>
      </c>
      <c r="K553" s="15" t="n">
        <f aca="false">F553-G553+E553*D553*I553</f>
        <v>5.30562700508963</v>
      </c>
      <c r="L553" s="17" t="n">
        <f aca="false">'3. The decision'!$B$8*'3. The decision'!$B$5/J553</f>
        <v>82.104347468941</v>
      </c>
      <c r="M553" s="31" t="n">
        <f aca="false">L553*'3. The decision'!$B$6*'3. The decision'!$B$7*K553</f>
        <v>835519.989421444</v>
      </c>
      <c r="N553" s="31" t="n">
        <f aca="false">M553*(1+'3. The decision'!$B$19+'3. The decision'!$B$20+'3. The decision'!$B$22)</f>
        <v>924085.108300117</v>
      </c>
      <c r="O553" s="31" t="n">
        <f aca="false">'3. The decision'!$B$17+'3. The decision'!$B$18*L553*12+M553*('3. The decision'!$B$20*(1-'3. The decision'!$B$21)+'3. The decision'!$B$23)+N553*('3. The decision'!$B$24+'3. The decision'!$B$25)</f>
        <v>642198.837357805</v>
      </c>
      <c r="P553" s="31" t="n">
        <f aca="false">N553-O553</f>
        <v>281886.270942311</v>
      </c>
    </row>
    <row r="554" customFormat="false" ht="15" hidden="false" customHeight="false" outlineLevel="0" collapsed="false">
      <c r="A554" s="27" t="n">
        <f aca="false">115*0.0025</f>
        <v>0.2875</v>
      </c>
      <c r="B554" s="27" t="n">
        <f aca="false">IF(A554&gt;0,MIN('3. The decision'!$B$15,'3. The decision'!$B$29*(A554/'3. The decision'!$B$28)^$B$436),0)</f>
        <v>0.75</v>
      </c>
      <c r="C554" s="15" t="n">
        <f aca="false">(1-'3. The decision'!$B$27-B554)*(1-'3. The decision'!$B$27)^('3. The decision'!$B$12-1)</f>
        <v>0.130079146898265</v>
      </c>
      <c r="D554" s="15" t="n">
        <f aca="false">1+(1-'3. The decision'!$B$27-B554)*(1-(1-'3. The decision'!$B$27)^('3. The decision'!$B$12-1))/'3. The decision'!$B$27</f>
        <v>1.80332109927421</v>
      </c>
      <c r="E554" s="15" t="n">
        <f aca="false">(1-'3. The decision'!$B$14)*(1-'3. The decision'!$B$27)^('3. The decision'!$B$11-1)</f>
        <v>0.690273454655712</v>
      </c>
      <c r="F554" s="15" t="n">
        <f aca="false">1+(1-'3. The decision'!$B$14)*(1-(1-'3. The decision'!$B$27)^('3. The decision'!$B$11-1))/'3. The decision'!$B$27</f>
        <v>4.28912098262087</v>
      </c>
      <c r="G554" s="15" t="n">
        <f aca="false">(1-(1-'3. The decision'!$B$9*MIN(1,('3. The decision'!$B$10/(52/12)))))+(1-(1-'3. The decision'!$B$9*MAX(0,MIN(1,('3. The decision'!$B$10/(52/12))-1))))*(1-'3. The decision'!$B$14)+(1-(1-'3. The decision'!$B$9*MAX(0,MIN(1,('3. The decision'!$B$10/(52/12))-2))))*(1-'3. The decision'!$B$14)*(1-'3. The decision'!$B$27)</f>
        <v>0.884576923076923</v>
      </c>
      <c r="H554" s="15" t="n">
        <f aca="false">IF(A554&lt;=0,0,MAX(0,ROUNDUP(LN('3. The decision'!$B$13)/LN(1+A554)-0.000000000001,0)-1))</f>
        <v>1</v>
      </c>
      <c r="I554" s="15" t="n">
        <f aca="false">IF(A554&lt;=0,1/(1-C554),(1+A554)*(1-(C554*(1+A554))^H554)/(1-C554*(1+A554))+'3. The decision'!$B$13*C554^H554/(1-C554))</f>
        <v>1.52973837976045</v>
      </c>
      <c r="J554" s="17" t="n">
        <f aca="false">F554+E554*D554/(1-C554)</f>
        <v>5.72003815239697</v>
      </c>
      <c r="K554" s="15" t="n">
        <f aca="false">F554-G554+E554*D554*I554</f>
        <v>5.30873896680226</v>
      </c>
      <c r="L554" s="17" t="n">
        <f aca="false">'3. The decision'!$B$8*'3. The decision'!$B$5/J554</f>
        <v>82.104347468941</v>
      </c>
      <c r="M554" s="31" t="n">
        <f aca="false">L554*'3. The decision'!$B$6*'3. The decision'!$B$7*K554</f>
        <v>836010.055197782</v>
      </c>
      <c r="N554" s="31" t="n">
        <f aca="false">M554*(1+'3. The decision'!$B$19+'3. The decision'!$B$20+'3. The decision'!$B$22)</f>
        <v>924627.121048747</v>
      </c>
      <c r="O554" s="31" t="n">
        <f aca="false">'3. The decision'!$B$17+'3. The decision'!$B$18*L554*12+M554*('3. The decision'!$B$20*(1-'3. The decision'!$B$21)+'3. The decision'!$B$23)+N554*('3. The decision'!$B$24+'3. The decision'!$B$25)</f>
        <v>642251.581667115</v>
      </c>
      <c r="P554" s="31" t="n">
        <f aca="false">N554-O554</f>
        <v>282375.539381632</v>
      </c>
    </row>
    <row r="555" customFormat="false" ht="15" hidden="false" customHeight="false" outlineLevel="0" collapsed="false">
      <c r="A555" s="27" t="n">
        <f aca="false">116*0.0025</f>
        <v>0.29</v>
      </c>
      <c r="B555" s="27" t="n">
        <f aca="false">IF(A555&gt;0,MIN('3. The decision'!$B$15,'3. The decision'!$B$29*(A555/'3. The decision'!$B$28)^$B$436),0)</f>
        <v>0.75</v>
      </c>
      <c r="C555" s="15" t="n">
        <f aca="false">(1-'3. The decision'!$B$27-B555)*(1-'3. The decision'!$B$27)^('3. The decision'!$B$12-1)</f>
        <v>0.130079146898265</v>
      </c>
      <c r="D555" s="15" t="n">
        <f aca="false">1+(1-'3. The decision'!$B$27-B555)*(1-(1-'3. The decision'!$B$27)^('3. The decision'!$B$12-1))/'3. The decision'!$B$27</f>
        <v>1.80332109927421</v>
      </c>
      <c r="E555" s="15" t="n">
        <f aca="false">(1-'3. The decision'!$B$14)*(1-'3. The decision'!$B$27)^('3. The decision'!$B$11-1)</f>
        <v>0.690273454655712</v>
      </c>
      <c r="F555" s="15" t="n">
        <f aca="false">1+(1-'3. The decision'!$B$14)*(1-(1-'3. The decision'!$B$27)^('3. The decision'!$B$11-1))/'3. The decision'!$B$27</f>
        <v>4.28912098262087</v>
      </c>
      <c r="G555" s="15" t="n">
        <f aca="false">(1-(1-'3. The decision'!$B$9*MIN(1,('3. The decision'!$B$10/(52/12)))))+(1-(1-'3. The decision'!$B$9*MAX(0,MIN(1,('3. The decision'!$B$10/(52/12))-1))))*(1-'3. The decision'!$B$14)+(1-(1-'3. The decision'!$B$9*MAX(0,MIN(1,('3. The decision'!$B$10/(52/12))-2))))*(1-'3. The decision'!$B$14)*(1-'3. The decision'!$B$27)</f>
        <v>0.884576923076923</v>
      </c>
      <c r="H555" s="15" t="n">
        <f aca="false">IF(A555&lt;=0,0,MAX(0,ROUNDUP(LN('3. The decision'!$B$13)/LN(1+A555)-0.000000000001,0)-1))</f>
        <v>1</v>
      </c>
      <c r="I555" s="15" t="n">
        <f aca="false">IF(A555&lt;=0,1/(1-C555),(1+A555)*(1-(C555*(1+A555))^H555)/(1-C555*(1+A555))+'3. The decision'!$B$13*C555^H555/(1-C555))</f>
        <v>1.53223837976045</v>
      </c>
      <c r="J555" s="17" t="n">
        <f aca="false">F555+E555*D555/(1-C555)</f>
        <v>5.72003815239697</v>
      </c>
      <c r="K555" s="15" t="n">
        <f aca="false">F555-G555+E555*D555*I555</f>
        <v>5.31185092851488</v>
      </c>
      <c r="L555" s="17" t="n">
        <f aca="false">'3. The decision'!$B$8*'3. The decision'!$B$5/J555</f>
        <v>82.104347468941</v>
      </c>
      <c r="M555" s="31" t="n">
        <f aca="false">L555*'3. The decision'!$B$6*'3. The decision'!$B$7*K555</f>
        <v>836500.120974121</v>
      </c>
      <c r="N555" s="31" t="n">
        <f aca="false">M555*(1+'3. The decision'!$B$19+'3. The decision'!$B$20+'3. The decision'!$B$22)</f>
        <v>925169.133797377</v>
      </c>
      <c r="O555" s="31" t="n">
        <f aca="false">'3. The decision'!$B$17+'3. The decision'!$B$18*L555*12+M555*('3. The decision'!$B$20*(1-'3. The decision'!$B$21)+'3. The decision'!$B$23)+N555*('3. The decision'!$B$24+'3. The decision'!$B$25)</f>
        <v>642304.325976425</v>
      </c>
      <c r="P555" s="31" t="n">
        <f aca="false">N555-O555</f>
        <v>282864.807820952</v>
      </c>
    </row>
    <row r="556" customFormat="false" ht="15" hidden="false" customHeight="false" outlineLevel="0" collapsed="false">
      <c r="A556" s="27" t="n">
        <f aca="false">117*0.0025</f>
        <v>0.2925</v>
      </c>
      <c r="B556" s="27" t="n">
        <f aca="false">IF(A556&gt;0,MIN('3. The decision'!$B$15,'3. The decision'!$B$29*(A556/'3. The decision'!$B$28)^$B$436),0)</f>
        <v>0.75</v>
      </c>
      <c r="C556" s="15" t="n">
        <f aca="false">(1-'3. The decision'!$B$27-B556)*(1-'3. The decision'!$B$27)^('3. The decision'!$B$12-1)</f>
        <v>0.130079146898265</v>
      </c>
      <c r="D556" s="15" t="n">
        <f aca="false">1+(1-'3. The decision'!$B$27-B556)*(1-(1-'3. The decision'!$B$27)^('3. The decision'!$B$12-1))/'3. The decision'!$B$27</f>
        <v>1.80332109927421</v>
      </c>
      <c r="E556" s="15" t="n">
        <f aca="false">(1-'3. The decision'!$B$14)*(1-'3. The decision'!$B$27)^('3. The decision'!$B$11-1)</f>
        <v>0.690273454655712</v>
      </c>
      <c r="F556" s="15" t="n">
        <f aca="false">1+(1-'3. The decision'!$B$14)*(1-(1-'3. The decision'!$B$27)^('3. The decision'!$B$11-1))/'3. The decision'!$B$27</f>
        <v>4.28912098262087</v>
      </c>
      <c r="G556" s="15" t="n">
        <f aca="false">(1-(1-'3. The decision'!$B$9*MIN(1,('3. The decision'!$B$10/(52/12)))))+(1-(1-'3. The decision'!$B$9*MAX(0,MIN(1,('3. The decision'!$B$10/(52/12))-1))))*(1-'3. The decision'!$B$14)+(1-(1-'3. The decision'!$B$9*MAX(0,MIN(1,('3. The decision'!$B$10/(52/12))-2))))*(1-'3. The decision'!$B$14)*(1-'3. The decision'!$B$27)</f>
        <v>0.884576923076923</v>
      </c>
      <c r="H556" s="15" t="n">
        <f aca="false">IF(A556&lt;=0,0,MAX(0,ROUNDUP(LN('3. The decision'!$B$13)/LN(1+A556)-0.000000000001,0)-1))</f>
        <v>1</v>
      </c>
      <c r="I556" s="15" t="n">
        <f aca="false">IF(A556&lt;=0,1/(1-C556),(1+A556)*(1-(C556*(1+A556))^H556)/(1-C556*(1+A556))+'3. The decision'!$B$13*C556^H556/(1-C556))</f>
        <v>1.53473837976045</v>
      </c>
      <c r="J556" s="17" t="n">
        <f aca="false">F556+E556*D556/(1-C556)</f>
        <v>5.72003815239697</v>
      </c>
      <c r="K556" s="15" t="n">
        <f aca="false">F556-G556+E556*D556*I556</f>
        <v>5.3149628902275</v>
      </c>
      <c r="L556" s="17" t="n">
        <f aca="false">'3. The decision'!$B$8*'3. The decision'!$B$5/J556</f>
        <v>82.104347468941</v>
      </c>
      <c r="M556" s="31" t="n">
        <f aca="false">L556*'3. The decision'!$B$6*'3. The decision'!$B$7*K556</f>
        <v>836990.186750459</v>
      </c>
      <c r="N556" s="31" t="n">
        <f aca="false">M556*(1+'3. The decision'!$B$19+'3. The decision'!$B$20+'3. The decision'!$B$22)</f>
        <v>925711.146546008</v>
      </c>
      <c r="O556" s="31" t="n">
        <f aca="false">'3. The decision'!$B$17+'3. The decision'!$B$18*L556*12+M556*('3. The decision'!$B$20*(1-'3. The decision'!$B$21)+'3. The decision'!$B$23)+N556*('3. The decision'!$B$24+'3. The decision'!$B$25)</f>
        <v>642357.070285735</v>
      </c>
      <c r="P556" s="31" t="n">
        <f aca="false">N556-O556</f>
        <v>283354.076260272</v>
      </c>
    </row>
    <row r="557" customFormat="false" ht="15" hidden="false" customHeight="false" outlineLevel="0" collapsed="false">
      <c r="A557" s="27" t="n">
        <f aca="false">118*0.0025</f>
        <v>0.295</v>
      </c>
      <c r="B557" s="27" t="n">
        <f aca="false">IF(A557&gt;0,MIN('3. The decision'!$B$15,'3. The decision'!$B$29*(A557/'3. The decision'!$B$28)^$B$436),0)</f>
        <v>0.75</v>
      </c>
      <c r="C557" s="15" t="n">
        <f aca="false">(1-'3. The decision'!$B$27-B557)*(1-'3. The decision'!$B$27)^('3. The decision'!$B$12-1)</f>
        <v>0.130079146898265</v>
      </c>
      <c r="D557" s="15" t="n">
        <f aca="false">1+(1-'3. The decision'!$B$27-B557)*(1-(1-'3. The decision'!$B$27)^('3. The decision'!$B$12-1))/'3. The decision'!$B$27</f>
        <v>1.80332109927421</v>
      </c>
      <c r="E557" s="15" t="n">
        <f aca="false">(1-'3. The decision'!$B$14)*(1-'3. The decision'!$B$27)^('3. The decision'!$B$11-1)</f>
        <v>0.690273454655712</v>
      </c>
      <c r="F557" s="15" t="n">
        <f aca="false">1+(1-'3. The decision'!$B$14)*(1-(1-'3. The decision'!$B$27)^('3. The decision'!$B$11-1))/'3. The decision'!$B$27</f>
        <v>4.28912098262087</v>
      </c>
      <c r="G557" s="15" t="n">
        <f aca="false">(1-(1-'3. The decision'!$B$9*MIN(1,('3. The decision'!$B$10/(52/12)))))+(1-(1-'3. The decision'!$B$9*MAX(0,MIN(1,('3. The decision'!$B$10/(52/12))-1))))*(1-'3. The decision'!$B$14)+(1-(1-'3. The decision'!$B$9*MAX(0,MIN(1,('3. The decision'!$B$10/(52/12))-2))))*(1-'3. The decision'!$B$14)*(1-'3. The decision'!$B$27)</f>
        <v>0.884576923076923</v>
      </c>
      <c r="H557" s="15" t="n">
        <f aca="false">IF(A557&lt;=0,0,MAX(0,ROUNDUP(LN('3. The decision'!$B$13)/LN(1+A557)-0.000000000001,0)-1))</f>
        <v>1</v>
      </c>
      <c r="I557" s="15" t="n">
        <f aca="false">IF(A557&lt;=0,1/(1-C557),(1+A557)*(1-(C557*(1+A557))^H557)/(1-C557*(1+A557))+'3. The decision'!$B$13*C557^H557/(1-C557))</f>
        <v>1.53723837976045</v>
      </c>
      <c r="J557" s="17" t="n">
        <f aca="false">F557+E557*D557/(1-C557)</f>
        <v>5.72003815239697</v>
      </c>
      <c r="K557" s="15" t="n">
        <f aca="false">F557-G557+E557*D557*I557</f>
        <v>5.31807485194013</v>
      </c>
      <c r="L557" s="17" t="n">
        <f aca="false">'3. The decision'!$B$8*'3. The decision'!$B$5/J557</f>
        <v>82.104347468941</v>
      </c>
      <c r="M557" s="31" t="n">
        <f aca="false">L557*'3. The decision'!$B$6*'3. The decision'!$B$7*K557</f>
        <v>837480.252526798</v>
      </c>
      <c r="N557" s="31" t="n">
        <f aca="false">M557*(1+'3. The decision'!$B$19+'3. The decision'!$B$20+'3. The decision'!$B$22)</f>
        <v>926253.159294638</v>
      </c>
      <c r="O557" s="31" t="n">
        <f aca="false">'3. The decision'!$B$17+'3. The decision'!$B$18*L557*12+M557*('3. The decision'!$B$20*(1-'3. The decision'!$B$21)+'3. The decision'!$B$23)+N557*('3. The decision'!$B$24+'3. The decision'!$B$25)</f>
        <v>642409.814595045</v>
      </c>
      <c r="P557" s="31" t="n">
        <f aca="false">N557-O557</f>
        <v>283843.344699593</v>
      </c>
    </row>
    <row r="558" customFormat="false" ht="15" hidden="false" customHeight="false" outlineLevel="0" collapsed="false">
      <c r="A558" s="27" t="n">
        <f aca="false">119*0.0025</f>
        <v>0.2975</v>
      </c>
      <c r="B558" s="27" t="n">
        <f aca="false">IF(A558&gt;0,MIN('3. The decision'!$B$15,'3. The decision'!$B$29*(A558/'3. The decision'!$B$28)^$B$436),0)</f>
        <v>0.75</v>
      </c>
      <c r="C558" s="15" t="n">
        <f aca="false">(1-'3. The decision'!$B$27-B558)*(1-'3. The decision'!$B$27)^('3. The decision'!$B$12-1)</f>
        <v>0.130079146898265</v>
      </c>
      <c r="D558" s="15" t="n">
        <f aca="false">1+(1-'3. The decision'!$B$27-B558)*(1-(1-'3. The decision'!$B$27)^('3. The decision'!$B$12-1))/'3. The decision'!$B$27</f>
        <v>1.80332109927421</v>
      </c>
      <c r="E558" s="15" t="n">
        <f aca="false">(1-'3. The decision'!$B$14)*(1-'3. The decision'!$B$27)^('3. The decision'!$B$11-1)</f>
        <v>0.690273454655712</v>
      </c>
      <c r="F558" s="15" t="n">
        <f aca="false">1+(1-'3. The decision'!$B$14)*(1-(1-'3. The decision'!$B$27)^('3. The decision'!$B$11-1))/'3. The decision'!$B$27</f>
        <v>4.28912098262087</v>
      </c>
      <c r="G558" s="15" t="n">
        <f aca="false">(1-(1-'3. The decision'!$B$9*MIN(1,('3. The decision'!$B$10/(52/12)))))+(1-(1-'3. The decision'!$B$9*MAX(0,MIN(1,('3. The decision'!$B$10/(52/12))-1))))*(1-'3. The decision'!$B$14)+(1-(1-'3. The decision'!$B$9*MAX(0,MIN(1,('3. The decision'!$B$10/(52/12))-2))))*(1-'3. The decision'!$B$14)*(1-'3. The decision'!$B$27)</f>
        <v>0.884576923076923</v>
      </c>
      <c r="H558" s="15" t="n">
        <f aca="false">IF(A558&lt;=0,0,MAX(0,ROUNDUP(LN('3. The decision'!$B$13)/LN(1+A558)-0.000000000001,0)-1))</f>
        <v>1</v>
      </c>
      <c r="I558" s="15" t="n">
        <f aca="false">IF(A558&lt;=0,1/(1-C558),(1+A558)*(1-(C558*(1+A558))^H558)/(1-C558*(1+A558))+'3. The decision'!$B$13*C558^H558/(1-C558))</f>
        <v>1.53973837976045</v>
      </c>
      <c r="J558" s="17" t="n">
        <f aca="false">F558+E558*D558/(1-C558)</f>
        <v>5.72003815239697</v>
      </c>
      <c r="K558" s="15" t="n">
        <f aca="false">F558-G558+E558*D558*I558</f>
        <v>5.32118681365275</v>
      </c>
      <c r="L558" s="17" t="n">
        <f aca="false">'3. The decision'!$B$8*'3. The decision'!$B$5/J558</f>
        <v>82.104347468941</v>
      </c>
      <c r="M558" s="31" t="n">
        <f aca="false">L558*'3. The decision'!$B$6*'3. The decision'!$B$7*K558</f>
        <v>837970.318303136</v>
      </c>
      <c r="N558" s="31" t="n">
        <f aca="false">M558*(1+'3. The decision'!$B$19+'3. The decision'!$B$20+'3. The decision'!$B$22)</f>
        <v>926795.172043268</v>
      </c>
      <c r="O558" s="31" t="n">
        <f aca="false">'3. The decision'!$B$17+'3. The decision'!$B$18*L558*12+M558*('3. The decision'!$B$20*(1-'3. The decision'!$B$21)+'3. The decision'!$B$23)+N558*('3. The decision'!$B$24+'3. The decision'!$B$25)</f>
        <v>642462.558904355</v>
      </c>
      <c r="P558" s="31" t="n">
        <f aca="false">N558-O558</f>
        <v>284332.613138913</v>
      </c>
    </row>
    <row r="559" customFormat="false" ht="15" hidden="false" customHeight="false" outlineLevel="0" collapsed="false">
      <c r="A559" s="27" t="n">
        <f aca="false">120*0.0025</f>
        <v>0.3</v>
      </c>
      <c r="B559" s="27" t="n">
        <f aca="false">IF(A559&gt;0,MIN('3. The decision'!$B$15,'3. The decision'!$B$29*(A559/'3. The decision'!$B$28)^$B$436),0)</f>
        <v>0.75</v>
      </c>
      <c r="C559" s="15" t="n">
        <f aca="false">(1-'3. The decision'!$B$27-B559)*(1-'3. The decision'!$B$27)^('3. The decision'!$B$12-1)</f>
        <v>0.130079146898265</v>
      </c>
      <c r="D559" s="15" t="n">
        <f aca="false">1+(1-'3. The decision'!$B$27-B559)*(1-(1-'3. The decision'!$B$27)^('3. The decision'!$B$12-1))/'3. The decision'!$B$27</f>
        <v>1.80332109927421</v>
      </c>
      <c r="E559" s="15" t="n">
        <f aca="false">(1-'3. The decision'!$B$14)*(1-'3. The decision'!$B$27)^('3. The decision'!$B$11-1)</f>
        <v>0.690273454655712</v>
      </c>
      <c r="F559" s="15" t="n">
        <f aca="false">1+(1-'3. The decision'!$B$14)*(1-(1-'3. The decision'!$B$27)^('3. The decision'!$B$11-1))/'3. The decision'!$B$27</f>
        <v>4.28912098262087</v>
      </c>
      <c r="G559" s="15" t="n">
        <f aca="false">(1-(1-'3. The decision'!$B$9*MIN(1,('3. The decision'!$B$10/(52/12)))))+(1-(1-'3. The decision'!$B$9*MAX(0,MIN(1,('3. The decision'!$B$10/(52/12))-1))))*(1-'3. The decision'!$B$14)+(1-(1-'3. The decision'!$B$9*MAX(0,MIN(1,('3. The decision'!$B$10/(52/12))-2))))*(1-'3. The decision'!$B$14)*(1-'3. The decision'!$B$27)</f>
        <v>0.884576923076923</v>
      </c>
      <c r="H559" s="15" t="n">
        <f aca="false">IF(A559&lt;=0,0,MAX(0,ROUNDUP(LN('3. The decision'!$B$13)/LN(1+A559)-0.000000000001,0)-1))</f>
        <v>1</v>
      </c>
      <c r="I559" s="15" t="n">
        <f aca="false">IF(A559&lt;=0,1/(1-C559),(1+A559)*(1-(C559*(1+A559))^H559)/(1-C559*(1+A559))+'3. The decision'!$B$13*C559^H559/(1-C559))</f>
        <v>1.54223837976045</v>
      </c>
      <c r="J559" s="17" t="n">
        <f aca="false">F559+E559*D559/(1-C559)</f>
        <v>5.72003815239697</v>
      </c>
      <c r="K559" s="15" t="n">
        <f aca="false">F559-G559+E559*D559*I559</f>
        <v>5.32429877536537</v>
      </c>
      <c r="L559" s="17" t="n">
        <f aca="false">'3. The decision'!$B$8*'3. The decision'!$B$5/J559</f>
        <v>82.104347468941</v>
      </c>
      <c r="M559" s="31" t="n">
        <f aca="false">L559*'3. The decision'!$B$6*'3. The decision'!$B$7*K559</f>
        <v>838460.384079474</v>
      </c>
      <c r="N559" s="31" t="n">
        <f aca="false">M559*(1+'3. The decision'!$B$19+'3. The decision'!$B$20+'3. The decision'!$B$22)</f>
        <v>927337.184791899</v>
      </c>
      <c r="O559" s="31" t="n">
        <f aca="false">'3. The decision'!$B$17+'3. The decision'!$B$18*L559*12+M559*('3. The decision'!$B$20*(1-'3. The decision'!$B$21)+'3. The decision'!$B$23)+N559*('3. The decision'!$B$24+'3. The decision'!$B$25)</f>
        <v>642515.303213665</v>
      </c>
      <c r="P559" s="31" t="n">
        <f aca="false">N559-O559</f>
        <v>284821.881578233</v>
      </c>
    </row>
    <row r="560" customFormat="false" ht="15" hidden="false" customHeight="false" outlineLevel="0" collapsed="false">
      <c r="A560" s="27" t="n">
        <f aca="false">'3. The decision'!$B$13^(1/1)-1</f>
        <v>0.62</v>
      </c>
      <c r="B560" s="27" t="n">
        <f aca="false">IF(A560&gt;0,MIN('3. The decision'!$B$15,'3. The decision'!$B$29*(A560/'3. The decision'!$B$28)^$B$436),0)</f>
        <v>0.75</v>
      </c>
      <c r="C560" s="15" t="n">
        <f aca="false">(1-'3. The decision'!$B$27-B560)*(1-'3. The decision'!$B$27)^('3. The decision'!$B$12-1)</f>
        <v>0.130079146898265</v>
      </c>
      <c r="D560" s="15" t="n">
        <f aca="false">1+(1-'3. The decision'!$B$27-B560)*(1-(1-'3. The decision'!$B$27)^('3. The decision'!$B$12-1))/'3. The decision'!$B$27</f>
        <v>1.80332109927421</v>
      </c>
      <c r="E560" s="15" t="n">
        <f aca="false">(1-'3. The decision'!$B$14)*(1-'3. The decision'!$B$27)^('3. The decision'!$B$11-1)</f>
        <v>0.690273454655712</v>
      </c>
      <c r="F560" s="15" t="n">
        <f aca="false">1+(1-'3. The decision'!$B$14)*(1-(1-'3. The decision'!$B$27)^('3. The decision'!$B$11-1))/'3. The decision'!$B$27</f>
        <v>4.28912098262087</v>
      </c>
      <c r="G560" s="15" t="n">
        <f aca="false">(1-(1-'3. The decision'!$B$9*MIN(1,('3. The decision'!$B$10/(52/12)))))+(1-(1-'3. The decision'!$B$9*MAX(0,MIN(1,('3. The decision'!$B$10/(52/12))-1))))*(1-'3. The decision'!$B$14)+(1-(1-'3. The decision'!$B$9*MAX(0,MIN(1,('3. The decision'!$B$10/(52/12))-2))))*(1-'3. The decision'!$B$14)*(1-'3. The decision'!$B$27)</f>
        <v>0.884576923076923</v>
      </c>
      <c r="H560" s="15" t="n">
        <f aca="false">IF(A560&lt;=0,0,MAX(0,ROUNDUP(LN('3. The decision'!$B$13)/LN(1+A560)-0.000000000001,0)-1))</f>
        <v>0</v>
      </c>
      <c r="I560" s="15" t="n">
        <f aca="false">IF(A560&lt;=0,1/(1-C560),(1+A560)*(1-(C560*(1+A560))^H560)/(1-C560*(1+A560))+'3. The decision'!$B$13*C560^H560/(1-C560))</f>
        <v>1.86223837976045</v>
      </c>
      <c r="J560" s="17" t="n">
        <f aca="false">F560+E560*D560/(1-C560)</f>
        <v>5.72003815239697</v>
      </c>
      <c r="K560" s="15" t="n">
        <f aca="false">F560-G560+E560*D560*I560</f>
        <v>5.72262987458123</v>
      </c>
      <c r="L560" s="17" t="n">
        <f aca="false">'3. The decision'!$B$8*'3. The decision'!$B$5/J560</f>
        <v>82.104347468941</v>
      </c>
      <c r="M560" s="31" t="n">
        <f aca="false">L560*'3. The decision'!$B$6*'3. The decision'!$B$7*K560</f>
        <v>901188.803450794</v>
      </c>
      <c r="N560" s="31" t="n">
        <f aca="false">M560*(1+'3. The decision'!$B$19+'3. The decision'!$B$20+'3. The decision'!$B$22)</f>
        <v>996714.816616578</v>
      </c>
      <c r="O560" s="31" t="n">
        <f aca="false">'3. The decision'!$B$17+'3. The decision'!$B$18*L560*12+M560*('3. The decision'!$B$20*(1-'3. The decision'!$B$21)+'3. The decision'!$B$23)+N560*('3. The decision'!$B$24+'3. The decision'!$B$25)</f>
        <v>649266.574805342</v>
      </c>
      <c r="P560" s="31" t="n">
        <f aca="false">N560-O560</f>
        <v>347448.241811236</v>
      </c>
    </row>
    <row r="561" customFormat="false" ht="15" hidden="false" customHeight="false" outlineLevel="0" collapsed="false">
      <c r="A561" s="27" t="n">
        <f aca="false">'3. The decision'!$B$13^(1/2)-1</f>
        <v>0.272792206135786</v>
      </c>
      <c r="B561" s="27" t="n">
        <f aca="false">IF(A561&gt;0,MIN('3. The decision'!$B$15,'3. The decision'!$B$29*(A561/'3. The decision'!$B$28)^$B$436),0)</f>
        <v>0.75</v>
      </c>
      <c r="C561" s="15" t="n">
        <f aca="false">(1-'3. The decision'!$B$27-B561)*(1-'3. The decision'!$B$27)^('3. The decision'!$B$12-1)</f>
        <v>0.130079146898265</v>
      </c>
      <c r="D561" s="15" t="n">
        <f aca="false">1+(1-'3. The decision'!$B$27-B561)*(1-(1-'3. The decision'!$B$27)^('3. The decision'!$B$12-1))/'3. The decision'!$B$27</f>
        <v>1.80332109927421</v>
      </c>
      <c r="E561" s="15" t="n">
        <f aca="false">(1-'3. The decision'!$B$14)*(1-'3. The decision'!$B$27)^('3. The decision'!$B$11-1)</f>
        <v>0.690273454655712</v>
      </c>
      <c r="F561" s="15" t="n">
        <f aca="false">1+(1-'3. The decision'!$B$14)*(1-(1-'3. The decision'!$B$27)^('3. The decision'!$B$11-1))/'3. The decision'!$B$27</f>
        <v>4.28912098262087</v>
      </c>
      <c r="G561" s="15" t="n">
        <f aca="false">(1-(1-'3. The decision'!$B$9*MIN(1,('3. The decision'!$B$10/(52/12)))))+(1-(1-'3. The decision'!$B$9*MAX(0,MIN(1,('3. The decision'!$B$10/(52/12))-1))))*(1-'3. The decision'!$B$14)+(1-(1-'3. The decision'!$B$9*MAX(0,MIN(1,('3. The decision'!$B$10/(52/12))-2))))*(1-'3. The decision'!$B$14)*(1-'3. The decision'!$B$27)</f>
        <v>0.884576923076923</v>
      </c>
      <c r="H561" s="15" t="n">
        <f aca="false">IF(A561&lt;=0,0,MAX(0,ROUNDUP(LN('3. The decision'!$B$13)/LN(1+A561)-0.000000000001,0)-1))</f>
        <v>1</v>
      </c>
      <c r="I561" s="15" t="n">
        <f aca="false">IF(A561&lt;=0,1/(1-C561),(1+A561)*(1-(C561*(1+A561))^H561)/(1-C561*(1+A561))+'3. The decision'!$B$13*C561^H561/(1-C561))</f>
        <v>1.51503058589623</v>
      </c>
      <c r="J561" s="17" t="n">
        <f aca="false">F561+E561*D561/(1-C561)</f>
        <v>5.72003815239697</v>
      </c>
      <c r="K561" s="15" t="n">
        <f aca="false">F561-G561+E561*D561*I561</f>
        <v>5.29043093024922</v>
      </c>
      <c r="L561" s="17" t="n">
        <f aca="false">'3. The decision'!$B$8*'3. The decision'!$B$5/J561</f>
        <v>82.104347468941</v>
      </c>
      <c r="M561" s="31" t="n">
        <f aca="false">L561*'3. The decision'!$B$6*'3. The decision'!$B$7*K561</f>
        <v>833126.940630465</v>
      </c>
      <c r="N561" s="31" t="n">
        <f aca="false">M561*(1+'3. The decision'!$B$19+'3. The decision'!$B$20+'3. The decision'!$B$22)</f>
        <v>921438.396337295</v>
      </c>
      <c r="O561" s="31" t="n">
        <f aca="false">'3. The decision'!$B$17+'3. The decision'!$B$18*L561*12+M561*('3. The decision'!$B$20*(1-'3. The decision'!$B$21)+'3. The decision'!$B$23)+N561*('3. The decision'!$B$24+'3. The decision'!$B$25)</f>
        <v>641941.280695579</v>
      </c>
      <c r="P561" s="31" t="n">
        <f aca="false">N561-O561</f>
        <v>279497.115641716</v>
      </c>
    </row>
    <row r="562" customFormat="false" ht="15" hidden="false" customHeight="false" outlineLevel="0" collapsed="false">
      <c r="A562" s="27" t="n">
        <f aca="false">'3. The decision'!$B$13^(1/3)-1</f>
        <v>0.174460292350659</v>
      </c>
      <c r="B562" s="27" t="n">
        <f aca="false">IF(A562&gt;0,MIN('3. The decision'!$B$15,'3. The decision'!$B$29*(A562/'3. The decision'!$B$28)^$B$436),0)</f>
        <v>0.288914597516928</v>
      </c>
      <c r="C562" s="15" t="n">
        <f aca="false">(1-'3. The decision'!$B$27-B562)*(1-'3. The decision'!$B$27)^('3. The decision'!$B$12-1)</f>
        <v>0.456932530016746</v>
      </c>
      <c r="D562" s="15" t="n">
        <f aca="false">1+(1-'3. The decision'!$B$27-B562)*(1-(1-'3. The decision'!$B$27)^('3. The decision'!$B$12-1))/'3. The decision'!$B$27</f>
        <v>3.82184770626053</v>
      </c>
      <c r="E562" s="15" t="n">
        <f aca="false">(1-'3. The decision'!$B$14)*(1-'3. The decision'!$B$27)^('3. The decision'!$B$11-1)</f>
        <v>0.690273454655712</v>
      </c>
      <c r="F562" s="15" t="n">
        <f aca="false">1+(1-'3. The decision'!$B$14)*(1-(1-'3. The decision'!$B$27)^('3. The decision'!$B$11-1))/'3. The decision'!$B$27</f>
        <v>4.28912098262087</v>
      </c>
      <c r="G562" s="15" t="n">
        <f aca="false">(1-(1-'3. The decision'!$B$9*MIN(1,('3. The decision'!$B$10/(52/12)))))+(1-(1-'3. The decision'!$B$9*MAX(0,MIN(1,('3. The decision'!$B$10/(52/12))-1))))*(1-'3. The decision'!$B$14)+(1-(1-'3. The decision'!$B$9*MAX(0,MIN(1,('3. The decision'!$B$10/(52/12))-2))))*(1-'3. The decision'!$B$14)*(1-'3. The decision'!$B$27)</f>
        <v>0.884576923076923</v>
      </c>
      <c r="H562" s="15" t="n">
        <f aca="false">IF(A562&lt;=0,0,MAX(0,ROUNDUP(LN('3. The decision'!$B$13)/LN(1+A562)-0.000000000001,0)-1))</f>
        <v>2</v>
      </c>
      <c r="I562" s="15" t="n">
        <f aca="false">IF(A562&lt;=0,1/(1-C562),(1+A562)*(1-(C562*(1+A562))^H562)/(1-C562*(1+A562))+'3. The decision'!$B$13*C562^H562/(1-C562))</f>
        <v>2.42755742516053</v>
      </c>
      <c r="J562" s="17" t="n">
        <f aca="false">F562+E562*D562/(1-C562)</f>
        <v>9.14693362135215</v>
      </c>
      <c r="K562" s="15" t="n">
        <f aca="false">F562-G562+E562*D562*I562</f>
        <v>9.80873190102651</v>
      </c>
      <c r="L562" s="17" t="n">
        <f aca="false">'3. The decision'!$B$8*'3. The decision'!$B$5/J562</f>
        <v>51.3439825236838</v>
      </c>
      <c r="M562" s="31" t="n">
        <f aca="false">L562*'3. The decision'!$B$6*'3. The decision'!$B$7*K562</f>
        <v>965953.881438415</v>
      </c>
      <c r="N562" s="31" t="n">
        <f aca="false">M562*(1+'3. The decision'!$B$19+'3. The decision'!$B$20+'3. The decision'!$B$22)</f>
        <v>1068344.99287089</v>
      </c>
      <c r="O562" s="31" t="n">
        <f aca="false">'3. The decision'!$B$17+'3. The decision'!$B$18*L562*12+M562*('3. The decision'!$B$20*(1-'3. The decision'!$B$21)+'3. The decision'!$B$23)+N562*('3. The decision'!$B$24+'3. The decision'!$B$25)</f>
        <v>609640.247751047</v>
      </c>
      <c r="P562" s="31" t="n">
        <f aca="false">N562-O562</f>
        <v>458704.745119841</v>
      </c>
    </row>
    <row r="563" customFormat="false" ht="15" hidden="false" customHeight="false" outlineLevel="0" collapsed="false">
      <c r="A563" s="27" t="n">
        <f aca="false">'3. The decision'!$B$13^(1/4)-1</f>
        <v>0.128180927925918</v>
      </c>
      <c r="B563" s="27" t="n">
        <f aca="false">IF(A563&gt;0,MIN('3. The decision'!$B$15,'3. The decision'!$B$29*(A563/'3. The decision'!$B$28)^$B$436),0)</f>
        <v>0.114590847430999</v>
      </c>
      <c r="C563" s="15" t="n">
        <f aca="false">(1-'3. The decision'!$B$27-B563)*(1-'3. The decision'!$B$27)^('3. The decision'!$B$12-1)</f>
        <v>0.580506833533281</v>
      </c>
      <c r="D563" s="15" t="n">
        <f aca="false">1+(1-'3. The decision'!$B$27-B563)*(1-(1-'3. The decision'!$B$27)^('3. The decision'!$B$12-1))/'3. The decision'!$B$27</f>
        <v>4.58499727873264</v>
      </c>
      <c r="E563" s="15" t="n">
        <f aca="false">(1-'3. The decision'!$B$14)*(1-'3. The decision'!$B$27)^('3. The decision'!$B$11-1)</f>
        <v>0.690273454655712</v>
      </c>
      <c r="F563" s="15" t="n">
        <f aca="false">1+(1-'3. The decision'!$B$14)*(1-(1-'3. The decision'!$B$27)^('3. The decision'!$B$11-1))/'3. The decision'!$B$27</f>
        <v>4.28912098262087</v>
      </c>
      <c r="G563" s="15" t="n">
        <f aca="false">(1-(1-'3. The decision'!$B$9*MIN(1,('3. The decision'!$B$10/(52/12)))))+(1-(1-'3. The decision'!$B$9*MAX(0,MIN(1,('3. The decision'!$B$10/(52/12))-1))))*(1-'3. The decision'!$B$14)+(1-(1-'3. The decision'!$B$9*MAX(0,MIN(1,('3. The decision'!$B$10/(52/12))-2))))*(1-'3. The decision'!$B$14)*(1-'3. The decision'!$B$27)</f>
        <v>0.884576923076923</v>
      </c>
      <c r="H563" s="15" t="n">
        <f aca="false">IF(A563&lt;=0,0,MAX(0,ROUNDUP(LN('3. The decision'!$B$13)/LN(1+A563)-0.000000000001,0)-1))</f>
        <v>3</v>
      </c>
      <c r="I563" s="15" t="n">
        <f aca="false">IF(A563&lt;=0,1/(1-C563),(1+A563)*(1-(C563*(1+A563))^H563)/(1-C563*(1+A563))+'3. The decision'!$B$13*C563^H563/(1-C563))</f>
        <v>3.10640142400658</v>
      </c>
      <c r="J563" s="17" t="n">
        <f aca="false">F563+E563*D563/(1-C563)</f>
        <v>11.8337061252942</v>
      </c>
      <c r="K563" s="15" t="n">
        <f aca="false">F563-G563+E563*D563*I563</f>
        <v>13.2359998632678</v>
      </c>
      <c r="L563" s="17" t="n">
        <f aca="false">'3. The decision'!$B$8*'3. The decision'!$B$5/J563</f>
        <v>39.686637054148</v>
      </c>
      <c r="M563" s="31" t="n">
        <f aca="false">L563*'3. The decision'!$B$6*'3. The decision'!$B$7*K563</f>
        <v>1007523.13935309</v>
      </c>
      <c r="N563" s="31" t="n">
        <f aca="false">M563*(1+'3. The decision'!$B$19+'3. The decision'!$B$20+'3. The decision'!$B$22)</f>
        <v>1114320.59212452</v>
      </c>
      <c r="O563" s="31" t="n">
        <f aca="false">'3. The decision'!$B$17+'3. The decision'!$B$18*L563*12+M563*('3. The decision'!$B$20*(1-'3. The decision'!$B$21)+'3. The decision'!$B$23)+N563*('3. The decision'!$B$24+'3. The decision'!$B$25)</f>
        <v>596455.297411821</v>
      </c>
      <c r="P563" s="31" t="n">
        <f aca="false">N563-O563</f>
        <v>517865.294712696</v>
      </c>
    </row>
    <row r="564" customFormat="false" ht="15" hidden="false" customHeight="false" outlineLevel="0" collapsed="false">
      <c r="A564" s="27" t="n">
        <f aca="false">'3. The decision'!$B$13^(1/5)-1</f>
        <v>0.101293314754956</v>
      </c>
      <c r="B564" s="27" t="n">
        <f aca="false">IF(A564&gt;0,MIN('3. The decision'!$B$15,'3. The decision'!$B$29*(A564/'3. The decision'!$B$28)^$B$436),0)</f>
        <v>0.0565486247757453</v>
      </c>
      <c r="C564" s="15" t="n">
        <f aca="false">(1-'3. The decision'!$B$27-B564)*(1-'3. The decision'!$B$27)^('3. The decision'!$B$12-1)</f>
        <v>0.62165169896693</v>
      </c>
      <c r="D564" s="15" t="n">
        <f aca="false">1+(1-'3. The decision'!$B$27-B564)*(1-(1-'3. The decision'!$B$27)^('3. The decision'!$B$12-1))/'3. The decision'!$B$27</f>
        <v>4.83909287605</v>
      </c>
      <c r="E564" s="15" t="n">
        <f aca="false">(1-'3. The decision'!$B$14)*(1-'3. The decision'!$B$27)^('3. The decision'!$B$11-1)</f>
        <v>0.690273454655712</v>
      </c>
      <c r="F564" s="15" t="n">
        <f aca="false">1+(1-'3. The decision'!$B$14)*(1-(1-'3. The decision'!$B$27)^('3. The decision'!$B$11-1))/'3. The decision'!$B$27</f>
        <v>4.28912098262087</v>
      </c>
      <c r="G564" s="15" t="n">
        <f aca="false">(1-(1-'3. The decision'!$B$9*MIN(1,('3. The decision'!$B$10/(52/12)))))+(1-(1-'3. The decision'!$B$9*MAX(0,MIN(1,('3. The decision'!$B$10/(52/12))-1))))*(1-'3. The decision'!$B$14)+(1-(1-'3. The decision'!$B$9*MAX(0,MIN(1,('3. The decision'!$B$10/(52/12))-2))))*(1-'3. The decision'!$B$14)*(1-'3. The decision'!$B$27)</f>
        <v>0.884576923076923</v>
      </c>
      <c r="H564" s="15" t="n">
        <f aca="false">IF(A564&lt;=0,0,MAX(0,ROUNDUP(LN('3. The decision'!$B$13)/LN(1+A564)-0.000000000001,0)-1))</f>
        <v>4</v>
      </c>
      <c r="I564" s="15" t="n">
        <f aca="false">IF(A564&lt;=0,1/(1-C564),(1+A564)*(1-(C564*(1+A564))^H564)/(1-C564*(1+A564))+'3. The decision'!$B$13*C564^H564/(1-C564))</f>
        <v>3.36429102185767</v>
      </c>
      <c r="J564" s="17" t="n">
        <f aca="false">F564+E564*D564/(1-C564)</f>
        <v>13.1177515006654</v>
      </c>
      <c r="K564" s="15" t="n">
        <f aca="false">F564-G564+E564*D564*I564</f>
        <v>14.6422764678687</v>
      </c>
      <c r="L564" s="17" t="n">
        <f aca="false">'3. The decision'!$B$8*'3. The decision'!$B$5/J564</f>
        <v>35.8018674142574</v>
      </c>
      <c r="M564" s="31" t="n">
        <f aca="false">L564*'3. The decision'!$B$6*'3. The decision'!$B$7*K564</f>
        <v>1005468.01168853</v>
      </c>
      <c r="N564" s="31" t="n">
        <f aca="false">M564*(1+'3. The decision'!$B$19+'3. The decision'!$B$20+'3. The decision'!$B$22)</f>
        <v>1112047.62092752</v>
      </c>
      <c r="O564" s="31" t="n">
        <f aca="false">'3. The decision'!$B$17+'3. The decision'!$B$18*L564*12+M564*('3. The decision'!$B$20*(1-'3. The decision'!$B$21)+'3. The decision'!$B$23)+N564*('3. The decision'!$B$24+'3. The decision'!$B$25)</f>
        <v>590349.335187792</v>
      </c>
      <c r="P564" s="31" t="n">
        <f aca="false">N564-O564</f>
        <v>521698.285739725</v>
      </c>
    </row>
    <row r="565" customFormat="false" ht="15" hidden="false" customHeight="false" outlineLevel="0" collapsed="false">
      <c r="A565" s="27" t="n">
        <f aca="false">'3. The decision'!$B$13^(1/6)-1</f>
        <v>0.0837251922653912</v>
      </c>
      <c r="B565" s="27" t="n">
        <f aca="false">IF(A565&gt;0,MIN('3. The decision'!$B$15,'3. The decision'!$B$29*(A565/'3. The decision'!$B$28)^$B$436),0)</f>
        <v>0.0319336203759657</v>
      </c>
      <c r="C565" s="15" t="n">
        <f aca="false">(1-'3. The decision'!$B$27-B565)*(1-'3. The decision'!$B$27)^('3. The decision'!$B$12-1)</f>
        <v>0.639100738603008</v>
      </c>
      <c r="D565" s="15" t="n">
        <f aca="false">1+(1-'3. The decision'!$B$27-B565)*(1-(1-'3. The decision'!$B$27)^('3. The decision'!$B$12-1))/'3. The decision'!$B$27</f>
        <v>4.94685174467709</v>
      </c>
      <c r="E565" s="15" t="n">
        <f aca="false">(1-'3. The decision'!$B$14)*(1-'3. The decision'!$B$27)^('3. The decision'!$B$11-1)</f>
        <v>0.690273454655712</v>
      </c>
      <c r="F565" s="15" t="n">
        <f aca="false">1+(1-'3. The decision'!$B$14)*(1-(1-'3. The decision'!$B$27)^('3. The decision'!$B$11-1))/'3. The decision'!$B$27</f>
        <v>4.28912098262087</v>
      </c>
      <c r="G565" s="15" t="n">
        <f aca="false">(1-(1-'3. The decision'!$B$9*MIN(1,('3. The decision'!$B$10/(52/12)))))+(1-(1-'3. The decision'!$B$9*MAX(0,MIN(1,('3. The decision'!$B$10/(52/12))-1))))*(1-'3. The decision'!$B$14)+(1-(1-'3. The decision'!$B$9*MAX(0,MIN(1,('3. The decision'!$B$10/(52/12))-2))))*(1-'3. The decision'!$B$14)*(1-'3. The decision'!$B$27)</f>
        <v>0.884576923076923</v>
      </c>
      <c r="H565" s="15" t="n">
        <f aca="false">IF(A565&lt;=0,0,MAX(0,ROUNDUP(LN('3. The decision'!$B$13)/LN(1+A565)-0.000000000001,0)-1))</f>
        <v>5</v>
      </c>
      <c r="I565" s="15" t="n">
        <f aca="false">IF(A565&lt;=0,1/(1-C565),(1+A565)*(1-(C565*(1+A565))^H565)/(1-C565*(1+A565))+'3. The decision'!$B$13*C565^H565/(1-C565))</f>
        <v>3.44225321376188</v>
      </c>
      <c r="J565" s="17" t="n">
        <f aca="false">F565+E565*D565/(1-C565)</f>
        <v>13.7507098765691</v>
      </c>
      <c r="K565" s="15" t="n">
        <f aca="false">F565-G565+E565*D565*I565</f>
        <v>15.1587387900411</v>
      </c>
      <c r="L565" s="17" t="n">
        <f aca="false">'3. The decision'!$B$8*'3. The decision'!$B$5/J565</f>
        <v>34.1538730884183</v>
      </c>
      <c r="M565" s="31" t="n">
        <f aca="false">L565*'3. The decision'!$B$6*'3. The decision'!$B$7*K565</f>
        <v>993017.736194342</v>
      </c>
      <c r="N565" s="31" t="n">
        <f aca="false">M565*(1+'3. The decision'!$B$19+'3. The decision'!$B$20+'3. The decision'!$B$22)</f>
        <v>1098277.61623094</v>
      </c>
      <c r="O565" s="31" t="n">
        <f aca="false">'3. The decision'!$B$17+'3. The decision'!$B$18*L565*12+M565*('3. The decision'!$B$20*(1-'3. The decision'!$B$21)+'3. The decision'!$B$23)+N565*('3. The decision'!$B$24+'3. The decision'!$B$25)</f>
        <v>586512.914152666</v>
      </c>
      <c r="P565" s="31" t="n">
        <f aca="false">N565-O565</f>
        <v>511764.702078276</v>
      </c>
    </row>
    <row r="566" customFormat="false" ht="15" hidden="false" customHeight="false" outlineLevel="0" collapsed="false">
      <c r="A566" s="27" t="n">
        <f aca="false">'3. The decision'!$B$13^(1/7)-1</f>
        <v>0.0713483778230704</v>
      </c>
      <c r="B566" s="27" t="n">
        <f aca="false">IF(A566&gt;0,MIN('3. The decision'!$B$15,'3. The decision'!$B$29*(A566/'3. The decision'!$B$28)^$B$436),0)</f>
        <v>0.0197620506427915</v>
      </c>
      <c r="C566" s="15" t="n">
        <f aca="false">(1-'3. The decision'!$B$27-B566)*(1-'3. The decision'!$B$27)^('3. The decision'!$B$12-1)</f>
        <v>0.647728898860796</v>
      </c>
      <c r="D566" s="15" t="n">
        <f aca="false">1+(1-'3. The decision'!$B$27-B566)*(1-(1-'3. The decision'!$B$27)^('3. The decision'!$B$12-1))/'3. The decision'!$B$27</f>
        <v>5.00013609769042</v>
      </c>
      <c r="E566" s="15" t="n">
        <f aca="false">(1-'3. The decision'!$B$14)*(1-'3. The decision'!$B$27)^('3. The decision'!$B$11-1)</f>
        <v>0.690273454655712</v>
      </c>
      <c r="F566" s="15" t="n">
        <f aca="false">1+(1-'3. The decision'!$B$14)*(1-(1-'3. The decision'!$B$27)^('3. The decision'!$B$11-1))/'3. The decision'!$B$27</f>
        <v>4.28912098262087</v>
      </c>
      <c r="G566" s="15" t="n">
        <f aca="false">(1-(1-'3. The decision'!$B$9*MIN(1,('3. The decision'!$B$10/(52/12)))))+(1-(1-'3. The decision'!$B$9*MAX(0,MIN(1,('3. The decision'!$B$10/(52/12))-1))))*(1-'3. The decision'!$B$14)+(1-(1-'3. The decision'!$B$9*MAX(0,MIN(1,('3. The decision'!$B$10/(52/12))-2))))*(1-'3. The decision'!$B$14)*(1-'3. The decision'!$B$27)</f>
        <v>0.884576923076923</v>
      </c>
      <c r="H566" s="15" t="n">
        <f aca="false">IF(A566&lt;=0,0,MAX(0,ROUNDUP(LN('3. The decision'!$B$13)/LN(1+A566)-0.000000000001,0)-1))</f>
        <v>6</v>
      </c>
      <c r="I566" s="15" t="n">
        <f aca="false">IF(A566&lt;=0,1/(1-C566),(1+A566)*(1-(C566*(1+A566))^H566)/(1-C566*(1+A566))+'3. The decision'!$B$13*C566^H566/(1-C566))</f>
        <v>3.4492069615027</v>
      </c>
      <c r="J566" s="17" t="n">
        <f aca="false">F566+E566*D566/(1-C566)</f>
        <v>14.0868625706758</v>
      </c>
      <c r="K566" s="15" t="n">
        <f aca="false">F566-G566+E566*D566*I566</f>
        <v>15.3093481196864</v>
      </c>
      <c r="L566" s="17" t="n">
        <f aca="false">'3. The decision'!$B$8*'3. The decision'!$B$5/J566</f>
        <v>33.3388643243837</v>
      </c>
      <c r="M566" s="31" t="n">
        <f aca="false">L566*'3. The decision'!$B$6*'3. The decision'!$B$7*K566</f>
        <v>978952.175863858</v>
      </c>
      <c r="N566" s="31" t="n">
        <f aca="false">M566*(1+'3. The decision'!$B$19+'3. The decision'!$B$20+'3. The decision'!$B$22)</f>
        <v>1082721.10650543</v>
      </c>
      <c r="O566" s="31" t="n">
        <f aca="false">'3. The decision'!$B$17+'3. The decision'!$B$18*L566*12+M566*('3. The decision'!$B$20*(1-'3. The decision'!$B$21)+'3. The decision'!$B$23)+N566*('3. The decision'!$B$24+'3. The decision'!$B$25)</f>
        <v>583764.478391765</v>
      </c>
      <c r="P566" s="31" t="n">
        <f aca="false">N566-O566</f>
        <v>498956.628113662</v>
      </c>
    </row>
    <row r="567" customFormat="false" ht="15" hidden="false" customHeight="false" outlineLevel="0" collapsed="false">
      <c r="A567" s="27" t="n">
        <f aca="false">'3. The decision'!$B$13^(1/8)-1</f>
        <v>0.062158617121717</v>
      </c>
      <c r="B567" s="27" t="n">
        <f aca="false">IF(A567&gt;0,MIN('3. The decision'!$B$15,'3. The decision'!$B$29*(A567/'3. The decision'!$B$28)^$B$436),0)</f>
        <v>0.0130672358362364</v>
      </c>
      <c r="C567" s="15" t="n">
        <f aca="false">(1-'3. The decision'!$B$27-B567)*(1-'3. The decision'!$B$27)^('3. The decision'!$B$12-1)</f>
        <v>0.652474707027981</v>
      </c>
      <c r="D567" s="15" t="n">
        <f aca="false">1+(1-'3. The decision'!$B$27-B567)*(1-(1-'3. The decision'!$B$27)^('3. The decision'!$B$12-1))/'3. The decision'!$B$27</f>
        <v>5.02944446820725</v>
      </c>
      <c r="E567" s="15" t="n">
        <f aca="false">(1-'3. The decision'!$B$14)*(1-'3. The decision'!$B$27)^('3. The decision'!$B$11-1)</f>
        <v>0.690273454655712</v>
      </c>
      <c r="F567" s="15" t="n">
        <f aca="false">1+(1-'3. The decision'!$B$14)*(1-(1-'3. The decision'!$B$27)^('3. The decision'!$B$11-1))/'3. The decision'!$B$27</f>
        <v>4.28912098262087</v>
      </c>
      <c r="G567" s="15" t="n">
        <f aca="false">(1-(1-'3. The decision'!$B$9*MIN(1,('3. The decision'!$B$10/(52/12)))))+(1-(1-'3. The decision'!$B$9*MAX(0,MIN(1,('3. The decision'!$B$10/(52/12))-1))))*(1-'3. The decision'!$B$14)+(1-(1-'3. The decision'!$B$9*MAX(0,MIN(1,('3. The decision'!$B$10/(52/12))-2))))*(1-'3. The decision'!$B$14)*(1-'3. The decision'!$B$27)</f>
        <v>0.884576923076923</v>
      </c>
      <c r="H567" s="15" t="n">
        <f aca="false">IF(A567&lt;=0,0,MAX(0,ROUNDUP(LN('3. The decision'!$B$13)/LN(1+A567)-0.000000000001,0)-1))</f>
        <v>7</v>
      </c>
      <c r="I567" s="15" t="n">
        <f aca="false">IF(A567&lt;=0,1/(1-C567),(1+A567)*(1-(C567*(1+A567))^H567)/(1-C567*(1+A567))+'3. The decision'!$B$13*C567^H567/(1-C567))</f>
        <v>3.42915058024754</v>
      </c>
      <c r="J567" s="17" t="n">
        <f aca="false">F567+E567*D567/(1-C567)</f>
        <v>14.2788744718669</v>
      </c>
      <c r="K567" s="15" t="n">
        <f aca="false">F567-G567+E567*D567*I567</f>
        <v>15.3094987234527</v>
      </c>
      <c r="L567" s="17" t="n">
        <f aca="false">'3. The decision'!$B$8*'3. The decision'!$B$5/J567</f>
        <v>32.8905475655881</v>
      </c>
      <c r="M567" s="31" t="n">
        <f aca="false">L567*'3. The decision'!$B$6*'3. The decision'!$B$7*K567</f>
        <v>965797.441023082</v>
      </c>
      <c r="N567" s="31" t="n">
        <f aca="false">M567*(1+'3. The decision'!$B$19+'3. The decision'!$B$20+'3. The decision'!$B$22)</f>
        <v>1068171.96977153</v>
      </c>
      <c r="O567" s="31" t="n">
        <f aca="false">'3. The decision'!$B$17+'3. The decision'!$B$18*L567*12+M567*('3. The decision'!$B$20*(1-'3. The decision'!$B$21)+'3. The decision'!$B$23)+N567*('3. The decision'!$B$24+'3. The decision'!$B$25)</f>
        <v>581669.548983927</v>
      </c>
      <c r="P567" s="31" t="n">
        <f aca="false">N567-O567</f>
        <v>486502.420787602</v>
      </c>
    </row>
    <row r="568" customFormat="false" ht="15" hidden="false" customHeight="false" outlineLevel="0" collapsed="false">
      <c r="A568" s="27" t="n">
        <f aca="false">'3. The decision'!$B$13^(1/9)-1</f>
        <v>0.0550655582002784</v>
      </c>
      <c r="B568" s="27" t="n">
        <f aca="false">IF(A568&gt;0,MIN('3. The decision'!$B$15,'3. The decision'!$B$29*(A568/'3. The decision'!$B$28)^$B$436),0)</f>
        <v>0.0090848933978266</v>
      </c>
      <c r="C568" s="15" t="n">
        <f aca="false">(1-'3. The decision'!$B$27-B568)*(1-'3. The decision'!$B$27)^('3. The decision'!$B$12-1)</f>
        <v>0.655297702706701</v>
      </c>
      <c r="D568" s="15" t="n">
        <f aca="false">1+(1-'3. The decision'!$B$27-B568)*(1-(1-'3. The decision'!$B$27)^('3. The decision'!$B$12-1))/'3. The decision'!$B$27</f>
        <v>5.04687825406725</v>
      </c>
      <c r="E568" s="15" t="n">
        <f aca="false">(1-'3. The decision'!$B$14)*(1-'3. The decision'!$B$27)^('3. The decision'!$B$11-1)</f>
        <v>0.690273454655712</v>
      </c>
      <c r="F568" s="15" t="n">
        <f aca="false">1+(1-'3. The decision'!$B$14)*(1-(1-'3. The decision'!$B$27)^('3. The decision'!$B$11-1))/'3. The decision'!$B$27</f>
        <v>4.28912098262087</v>
      </c>
      <c r="G568" s="15" t="n">
        <f aca="false">(1-(1-'3. The decision'!$B$9*MIN(1,('3. The decision'!$B$10/(52/12)))))+(1-(1-'3. The decision'!$B$9*MAX(0,MIN(1,('3. The decision'!$B$10/(52/12))-1))))*(1-'3. The decision'!$B$14)+(1-(1-'3. The decision'!$B$9*MAX(0,MIN(1,('3. The decision'!$B$10/(52/12))-2))))*(1-'3. The decision'!$B$14)*(1-'3. The decision'!$B$27)</f>
        <v>0.884576923076923</v>
      </c>
      <c r="H568" s="15" t="n">
        <f aca="false">IF(A568&lt;=0,0,MAX(0,ROUNDUP(LN('3. The decision'!$B$13)/LN(1+A568)-0.000000000001,0)-1))</f>
        <v>8</v>
      </c>
      <c r="I568" s="15" t="n">
        <f aca="false">IF(A568&lt;=0,1/(1-C568),(1+A568)*(1-(C568*(1+A568))^H568)/(1-C568*(1+A568))+'3. The decision'!$B$13*C568^H568/(1-C568))</f>
        <v>3.39999404738433</v>
      </c>
      <c r="J568" s="17" t="n">
        <f aca="false">F568+E568*D568/(1-C568)</f>
        <v>14.3955987027202</v>
      </c>
      <c r="K568" s="15" t="n">
        <f aca="false">F568-G568+E568*D568*I568</f>
        <v>15.2491920203116</v>
      </c>
      <c r="L568" s="17" t="n">
        <f aca="false">'3. The decision'!$B$8*'3. The decision'!$B$5/J568</f>
        <v>32.6238602296725</v>
      </c>
      <c r="M568" s="31" t="n">
        <f aca="false">L568*'3. The decision'!$B$6*'3. The decision'!$B$7*K568</f>
        <v>954192.847215456</v>
      </c>
      <c r="N568" s="31" t="n">
        <f aca="false">M568*(1+'3. The decision'!$B$19+'3. The decision'!$B$20+'3. The decision'!$B$22)</f>
        <v>1055337.28902029</v>
      </c>
      <c r="O568" s="31" t="n">
        <f aca="false">'3. The decision'!$B$17+'3. The decision'!$B$18*L568*12+M568*('3. The decision'!$B$20*(1-'3. The decision'!$B$21)+'3. The decision'!$B$23)+N568*('3. The decision'!$B$24+'3. The decision'!$B$25)</f>
        <v>580016.594743461</v>
      </c>
      <c r="P568" s="31" t="n">
        <f aca="false">N568-O568</f>
        <v>475320.694276833</v>
      </c>
    </row>
    <row r="569" customFormat="false" ht="15" hidden="false" customHeight="false" outlineLevel="0" collapsed="false">
      <c r="A569" s="27" t="n">
        <f aca="false">'3. The decision'!$B$13^(1/10)-1</f>
        <v>0.0494252306643652</v>
      </c>
      <c r="B569" s="27" t="n">
        <f aca="false">IF(A569&gt;0,MIN('3. The decision'!$B$15,'3. The decision'!$B$29*(A569/'3. The decision'!$B$28)^$B$436),0)</f>
        <v>0.00656940160131385</v>
      </c>
      <c r="C569" s="15" t="n">
        <f aca="false">(1-'3. The decision'!$B$27-B569)*(1-'3. The decision'!$B$27)^('3. The decision'!$B$12-1)</f>
        <v>0.657080879965121</v>
      </c>
      <c r="D569" s="15" t="n">
        <f aca="false">1+(1-'3. The decision'!$B$27-B569)*(1-(1-'3. The decision'!$B$27)^('3. The decision'!$B$12-1))/'3. The decision'!$B$27</f>
        <v>5.05789050276039</v>
      </c>
      <c r="E569" s="15" t="n">
        <f aca="false">(1-'3. The decision'!$B$14)*(1-'3. The decision'!$B$27)^('3. The decision'!$B$11-1)</f>
        <v>0.690273454655712</v>
      </c>
      <c r="F569" s="15" t="n">
        <f aca="false">1+(1-'3. The decision'!$B$14)*(1-(1-'3. The decision'!$B$27)^('3. The decision'!$B$11-1))/'3. The decision'!$B$27</f>
        <v>4.28912098262087</v>
      </c>
      <c r="G569" s="15" t="n">
        <f aca="false">(1-(1-'3. The decision'!$B$9*MIN(1,('3. The decision'!$B$10/(52/12)))))+(1-(1-'3. The decision'!$B$9*MAX(0,MIN(1,('3. The decision'!$B$10/(52/12))-1))))*(1-'3. The decision'!$B$14)+(1-(1-'3. The decision'!$B$9*MAX(0,MIN(1,('3. The decision'!$B$10/(52/12))-2))))*(1-'3. The decision'!$B$14)*(1-'3. The decision'!$B$27)</f>
        <v>0.884576923076923</v>
      </c>
      <c r="H569" s="15" t="n">
        <f aca="false">IF(A569&lt;=0,0,MAX(0,ROUNDUP(LN('3. The decision'!$B$13)/LN(1+A569)-0.000000000001,0)-1))</f>
        <v>9</v>
      </c>
      <c r="I569" s="15" t="n">
        <f aca="false">IF(A569&lt;=0,1/(1-C569),(1+A569)*(1-(C569*(1+A569))^H569)/(1-C569*(1+A569))+'3. The decision'!$B$13*C569^H569/(1-C569))</f>
        <v>3.36913031927542</v>
      </c>
      <c r="J569" s="17" t="n">
        <f aca="false">F569+E569*D569/(1-C569)</f>
        <v>14.470319249593</v>
      </c>
      <c r="K569" s="15" t="n">
        <f aca="false">F569-G569+E569*D569*I569</f>
        <v>15.1672815648281</v>
      </c>
      <c r="L569" s="17" t="n">
        <f aca="false">'3. The decision'!$B$8*'3. The decision'!$B$5/J569</f>
        <v>32.4554000433134</v>
      </c>
      <c r="M569" s="31" t="n">
        <f aca="false">L569*'3. The decision'!$B$6*'3. The decision'!$B$7*K569</f>
        <v>944166.726620431</v>
      </c>
      <c r="N569" s="31" t="n">
        <f aca="false">M569*(1+'3. The decision'!$B$19+'3. The decision'!$B$20+'3. The decision'!$B$22)</f>
        <v>1044248.3996422</v>
      </c>
      <c r="O569" s="31" t="n">
        <f aca="false">'3. The decision'!$B$17+'3. The decision'!$B$18*L569*12+M569*('3. The decision'!$B$20*(1-'3. The decision'!$B$21)+'3. The decision'!$B$23)+N569*('3. The decision'!$B$24+'3. The decision'!$B$25)</f>
        <v>578682.324510225</v>
      </c>
      <c r="P569" s="31" t="n">
        <f aca="false">N569-O569</f>
        <v>465566.075131971</v>
      </c>
    </row>
    <row r="570" customFormat="false" ht="15" hidden="false" customHeight="false" outlineLevel="0" collapsed="false">
      <c r="A570" s="27" t="n">
        <f aca="false">'3. The decision'!$B$13^(1/11)-1</f>
        <v>0.0448328522867396</v>
      </c>
      <c r="B570" s="27" t="n">
        <f aca="false">IF(A570&gt;0,MIN('3. The decision'!$B$15,'3. The decision'!$B$29*(A570/'3. The decision'!$B$28)^$B$436),0)</f>
        <v>0.00490307805225078</v>
      </c>
      <c r="C570" s="15" t="n">
        <f aca="false">(1-'3. The decision'!$B$27-B570)*(1-'3. The decision'!$B$27)^('3. The decision'!$B$12-1)</f>
        <v>0.658262100377756</v>
      </c>
      <c r="D570" s="15" t="n">
        <f aca="false">1+(1-'3. The decision'!$B$27-B570)*(1-(1-'3. The decision'!$B$27)^('3. The decision'!$B$12-1))/'3. The decision'!$B$27</f>
        <v>5.06518528676681</v>
      </c>
      <c r="E570" s="15" t="n">
        <f aca="false">(1-'3. The decision'!$B$14)*(1-'3. The decision'!$B$27)^('3. The decision'!$B$11-1)</f>
        <v>0.690273454655712</v>
      </c>
      <c r="F570" s="15" t="n">
        <f aca="false">1+(1-'3. The decision'!$B$14)*(1-(1-'3. The decision'!$B$27)^('3. The decision'!$B$11-1))/'3. The decision'!$B$27</f>
        <v>4.28912098262087</v>
      </c>
      <c r="G570" s="15" t="n">
        <f aca="false">(1-(1-'3. The decision'!$B$9*MIN(1,('3. The decision'!$B$10/(52/12)))))+(1-(1-'3. The decision'!$B$9*MAX(0,MIN(1,('3. The decision'!$B$10/(52/12))-1))))*(1-'3. The decision'!$B$14)+(1-(1-'3. The decision'!$B$9*MAX(0,MIN(1,('3. The decision'!$B$10/(52/12))-2))))*(1-'3. The decision'!$B$14)*(1-'3. The decision'!$B$27)</f>
        <v>0.884576923076923</v>
      </c>
      <c r="H570" s="15" t="n">
        <f aca="false">IF(A570&lt;=0,0,MAX(0,ROUNDUP(LN('3. The decision'!$B$13)/LN(1+A570)-0.000000000001,0)-1))</f>
        <v>10</v>
      </c>
      <c r="I570" s="15" t="n">
        <f aca="false">IF(A570&lt;=0,1/(1-C570),(1+A570)*(1-(C570*(1+A570))^H570)/(1-C570*(1+A570))+'3. The decision'!$B$13*C570^H570/(1-C570))</f>
        <v>3.3395534189566</v>
      </c>
      <c r="J570" s="17" t="n">
        <f aca="false">F570+E570*D570/(1-C570)</f>
        <v>14.5202453332787</v>
      </c>
      <c r="K570" s="15" t="n">
        <f aca="false">F570-G570+E570*D570*I570</f>
        <v>15.0808348909998</v>
      </c>
      <c r="L570" s="17" t="n">
        <f aca="false">'3. The decision'!$B$8*'3. The decision'!$B$5/J570</f>
        <v>32.3438061286498</v>
      </c>
      <c r="M570" s="31" t="n">
        <f aca="false">L570*'3. The decision'!$B$6*'3. The decision'!$B$7*K570</f>
        <v>935557.502988945</v>
      </c>
      <c r="N570" s="31" t="n">
        <f aca="false">M570*(1+'3. The decision'!$B$19+'3. The decision'!$B$20+'3. The decision'!$B$22)</f>
        <v>1034726.59830577</v>
      </c>
      <c r="O570" s="31" t="n">
        <f aca="false">'3. The decision'!$B$17+'3. The decision'!$B$18*L570*12+M570*('3. The decision'!$B$20*(1-'3. The decision'!$B$21)+'3. The decision'!$B$23)+N570*('3. The decision'!$B$24+'3. The decision'!$B$25)</f>
        <v>577586.693518513</v>
      </c>
      <c r="P570" s="31" t="n">
        <f aca="false">N570-O570</f>
        <v>457139.90478726</v>
      </c>
    </row>
    <row r="571" customFormat="false" ht="15" hidden="false" customHeight="false" outlineLevel="0" collapsed="false">
      <c r="A571" s="27" t="n">
        <f aca="false">'3. The decision'!$B$13^(1/12)-1</f>
        <v>0.0410212256555538</v>
      </c>
      <c r="B571" s="27" t="n">
        <f aca="false">IF(A571&gt;0,MIN('3. The decision'!$B$15,'3. The decision'!$B$29*(A571/'3. The decision'!$B$28)^$B$436),0)</f>
        <v>0.00375582712846159</v>
      </c>
      <c r="C571" s="15" t="n">
        <f aca="false">(1-'3. The decision'!$B$27-B571)*(1-'3. The decision'!$B$27)^('3. The decision'!$B$12-1)</f>
        <v>0.659075361530044</v>
      </c>
      <c r="D571" s="15" t="n">
        <f aca="false">1+(1-'3. The decision'!$B$27-B571)*(1-(1-'3. The decision'!$B$27)^('3. The decision'!$B$12-1))/'3. The decision'!$B$27</f>
        <v>5.07020768934579</v>
      </c>
      <c r="E571" s="15" t="n">
        <f aca="false">(1-'3. The decision'!$B$14)*(1-'3. The decision'!$B$27)^('3. The decision'!$B$11-1)</f>
        <v>0.690273454655712</v>
      </c>
      <c r="F571" s="15" t="n">
        <f aca="false">1+(1-'3. The decision'!$B$14)*(1-(1-'3. The decision'!$B$27)^('3. The decision'!$B$11-1))/'3. The decision'!$B$27</f>
        <v>4.28912098262087</v>
      </c>
      <c r="G571" s="15" t="n">
        <f aca="false">(1-(1-'3. The decision'!$B$9*MIN(1,('3. The decision'!$B$10/(52/12)))))+(1-(1-'3. The decision'!$B$9*MAX(0,MIN(1,('3. The decision'!$B$10/(52/12))-1))))*(1-'3. The decision'!$B$14)+(1-(1-'3. The decision'!$B$9*MAX(0,MIN(1,('3. The decision'!$B$10/(52/12))-2))))*(1-'3. The decision'!$B$14)*(1-'3. The decision'!$B$27)</f>
        <v>0.884576923076923</v>
      </c>
      <c r="H571" s="15" t="n">
        <f aca="false">IF(A571&lt;=0,0,MAX(0,ROUNDUP(LN('3. The decision'!$B$13)/LN(1+A571)-0.000000000001,0)-1))</f>
        <v>11</v>
      </c>
      <c r="I571" s="15" t="n">
        <f aca="false">IF(A571&lt;=0,1/(1-C571),(1+A571)*(1-(C571*(1+A571))^H571)/(1-C571*(1+A571))+'3. The decision'!$B$13*C571^H571/(1-C571))</f>
        <v>3.31235960339165</v>
      </c>
      <c r="J571" s="17" t="n">
        <f aca="false">F571+E571*D571/(1-C571)</f>
        <v>14.554820150782</v>
      </c>
      <c r="K571" s="15" t="n">
        <f aca="false">F571-G571+E571*D571*I571</f>
        <v>14.9972388334367</v>
      </c>
      <c r="L571" s="17" t="n">
        <f aca="false">'3. The decision'!$B$8*'3. The decision'!$B$5/J571</f>
        <v>32.2669737677773</v>
      </c>
      <c r="M571" s="31" t="n">
        <f aca="false">L571*'3. The decision'!$B$6*'3. The decision'!$B$7*K571</f>
        <v>928161.434809889</v>
      </c>
      <c r="N571" s="31" t="n">
        <f aca="false">M571*(1+'3. The decision'!$B$19+'3. The decision'!$B$20+'3. The decision'!$B$22)</f>
        <v>1026546.54689974</v>
      </c>
      <c r="O571" s="31" t="n">
        <f aca="false">'3. The decision'!$B$17+'3. The decision'!$B$18*L571*12+M571*('3. The decision'!$B$20*(1-'3. The decision'!$B$21)+'3. The decision'!$B$23)+N571*('3. The decision'!$B$24+'3. The decision'!$B$25)</f>
        <v>576674.288737369</v>
      </c>
      <c r="P571" s="31" t="n">
        <f aca="false">N571-O571</f>
        <v>449872.258162368</v>
      </c>
    </row>
    <row r="572" customFormat="false" ht="15" hidden="false" customHeight="false" outlineLevel="0" collapsed="false">
      <c r="A572" s="27" t="n">
        <f aca="false">IF(OR(MATCH(MAX(P439:P559),P439:P559,0)=1,MATCH(MAX(P439:P559),P439:P559,0)=121),INDEX(A439:A559,MATCH(MAX(P439:P559),P439:P559,0)),INDEX(A439:A559,MATCH(MAX(P439:P559),P439:P559,0))-0.0025/2*(INDEX(P439:P559,MATCH(MAX(P439:P559),P439:P559,0)+1)-INDEX(P439:P559,MATCH(MAX(P439:P559),P439:P559,0)-1))/(INDEX(P439:P559,MATCH(MAX(P439:P559),P439:P559,0)+1)-2*INDEX(P439:P559,MATCH(MAX(P439:P559),P439:P559,0))+INDEX(P439:P559,MATCH(MAX(P439:P559),P439:P559,0)-1)))</f>
        <v>0.108395133112365</v>
      </c>
      <c r="B572" s="27" t="n">
        <f aca="false">IF(A572&gt;0,MIN('3. The decision'!$B$15,'3. The decision'!$B$29*(A572/'3. The decision'!$B$28)^$B$436),0)</f>
        <v>0.0692961404581284</v>
      </c>
      <c r="C572" s="15" t="n">
        <f aca="false">(1-'3. The decision'!$B$27-B572)*(1-'3. The decision'!$B$27)^('3. The decision'!$B$12-1)</f>
        <v>0.612615263190163</v>
      </c>
      <c r="D572" s="15" t="n">
        <f aca="false">1+(1-'3. The decision'!$B$27-B572)*(1-(1-'3. The decision'!$B$27)^('3. The decision'!$B$12-1))/'3. The decision'!$B$27</f>
        <v>4.78328716318359</v>
      </c>
      <c r="E572" s="15" t="n">
        <f aca="false">(1-'3. The decision'!$B$14)*(1-'3. The decision'!$B$27)^('3. The decision'!$B$11-1)</f>
        <v>0.690273454655712</v>
      </c>
      <c r="F572" s="15" t="n">
        <f aca="false">1+(1-'3. The decision'!$B$14)*(1-(1-'3. The decision'!$B$27)^('3. The decision'!$B$11-1))/'3. The decision'!$B$27</f>
        <v>4.28912098262087</v>
      </c>
      <c r="G572" s="15" t="n">
        <f aca="false">(1-(1-'3. The decision'!$B$9*MIN(1,('3. The decision'!$B$10/(52/12)))))+(1-(1-'3. The decision'!$B$9*MAX(0,MIN(1,('3. The decision'!$B$10/(52/12))-1))))*(1-'3. The decision'!$B$14)+(1-(1-'3. The decision'!$B$9*MAX(0,MIN(1,('3. The decision'!$B$10/(52/12))-2))))*(1-'3. The decision'!$B$14)*(1-'3. The decision'!$B$27)</f>
        <v>0.884576923076923</v>
      </c>
      <c r="H572" s="15" t="n">
        <f aca="false">IF(A572&lt;=0,0,MAX(0,ROUNDUP(LN('3. The decision'!$B$13)/LN(1+A572)-0.000000000001,0)-1))</f>
        <v>4</v>
      </c>
      <c r="I572" s="15" t="n">
        <f aca="false">IF(A572&lt;=0,1/(1-C572),(1+A572)*(1-(C572*(1+A572))^H572)/(1-C572*(1+A572))+'3. The decision'!$B$13*C572^H572/(1-C572))</f>
        <v>3.30808411034637</v>
      </c>
      <c r="J572" s="17" t="n">
        <f aca="false">F572+E572*D572/(1-C572)</f>
        <v>12.8123689090405</v>
      </c>
      <c r="K572" s="15" t="n">
        <f aca="false">F572-G572+E572*D572*I572</f>
        <v>14.3270972929634</v>
      </c>
      <c r="L572" s="17" t="n">
        <f aca="false">'3. The decision'!$B$8*'3. The decision'!$B$5/J572</f>
        <v>36.6552043056315</v>
      </c>
      <c r="M572" s="31" t="n">
        <f aca="false">L572*'3. The decision'!$B$6*'3. The decision'!$B$7*K572</f>
        <v>1007274.47862057</v>
      </c>
      <c r="N572" s="31" t="n">
        <f aca="false">M572*(1+'3. The decision'!$B$19+'3. The decision'!$B$20+'3. The decision'!$B$22)</f>
        <v>1114045.57335435</v>
      </c>
      <c r="O572" s="31" t="n">
        <f aca="false">'3. The decision'!$B$17+'3. The decision'!$B$18*L572*12+M572*('3. The decision'!$B$20*(1-'3. The decision'!$B$21)+'3. The decision'!$B$23)+N572*('3. The decision'!$B$24+'3. The decision'!$B$25)</f>
        <v>591836.42219343</v>
      </c>
      <c r="P572" s="31" t="n">
        <f aca="false">N572-O572</f>
        <v>522209.151160918</v>
      </c>
    </row>
    <row r="574" customFormat="false" ht="15" hidden="false" customHeight="false" outlineLevel="0" collapsed="false">
      <c r="A574" s="13" t="s">
        <v>99</v>
      </c>
      <c r="B574" s="34" t="n">
        <f aca="false">INDEX(A439:A572,MATCH(MAX(P439:P572),P439:P572,0))</f>
        <v>0.108395133112365</v>
      </c>
    </row>
    <row r="575" customFormat="false" ht="15" hidden="false" customHeight="false" outlineLevel="0" collapsed="false">
      <c r="A575" s="13" t="s">
        <v>89</v>
      </c>
      <c r="B575" s="35" t="n">
        <f aca="false">MAX(P439:P572)</f>
        <v>522209.151160918</v>
      </c>
    </row>
    <row r="576" customFormat="false" ht="15" hidden="false" customHeight="false" outlineLevel="0" collapsed="false">
      <c r="A576" s="13" t="s">
        <v>125</v>
      </c>
      <c r="B576" s="36" t="n">
        <f aca="false">INDEX(J439:J572,MATCH(MAX(P439:P572),P439:P572,0))</f>
        <v>12.8123689090405</v>
      </c>
    </row>
    <row r="577" customFormat="false" ht="15" hidden="false" customHeight="false" outlineLevel="0" collapsed="false">
      <c r="A577" s="13" t="s">
        <v>126</v>
      </c>
      <c r="B577" s="0" t="str">
        <f aca="false">IF(AND(MATCH(MAX(P439:P559),P439:P559,0)&gt;1,MATCH(MAX(P439:P559),P439:P559,0)&lt;121),"yes","no — widen the range")</f>
        <v>yes</v>
      </c>
    </row>
    <row r="580" customFormat="false" ht="15" hidden="false" customHeight="false" outlineLevel="0" collapsed="false">
      <c r="A580" s="13" t="s">
        <v>130</v>
      </c>
      <c r="B580" s="19" t="n">
        <f aca="false">'3. The decision'!$B$30*1.5</f>
        <v>3.6</v>
      </c>
    </row>
    <row r="581" customFormat="false" ht="15" hidden="false" customHeight="false" outlineLevel="0" collapsed="false">
      <c r="A581" s="13"/>
    </row>
    <row r="582" customFormat="false" ht="15" hidden="false" customHeight="false" outlineLevel="0" collapsed="false">
      <c r="A582" s="28" t="s">
        <v>109</v>
      </c>
      <c r="B582" s="28" t="s">
        <v>110</v>
      </c>
      <c r="C582" s="28" t="s">
        <v>111</v>
      </c>
      <c r="D582" s="28" t="s">
        <v>112</v>
      </c>
      <c r="E582" s="28" t="s">
        <v>113</v>
      </c>
      <c r="F582" s="28" t="s">
        <v>114</v>
      </c>
      <c r="G582" s="28" t="s">
        <v>115</v>
      </c>
      <c r="H582" s="28" t="s">
        <v>116</v>
      </c>
      <c r="I582" s="28" t="s">
        <v>117</v>
      </c>
      <c r="J582" s="28" t="s">
        <v>118</v>
      </c>
      <c r="K582" s="28" t="s">
        <v>119</v>
      </c>
      <c r="L582" s="28" t="s">
        <v>120</v>
      </c>
      <c r="M582" s="28" t="s">
        <v>121</v>
      </c>
      <c r="N582" s="28" t="s">
        <v>122</v>
      </c>
      <c r="O582" s="28" t="s">
        <v>123</v>
      </c>
      <c r="P582" s="28" t="s">
        <v>124</v>
      </c>
    </row>
    <row r="583" customFormat="false" ht="15" hidden="false" customHeight="false" outlineLevel="0" collapsed="false">
      <c r="A583" s="27" t="n">
        <f aca="false">0*0.0025</f>
        <v>0</v>
      </c>
      <c r="B583" s="27" t="n">
        <f aca="false">IF(A583&gt;0,MIN('3. The decision'!$B$15,'3. The decision'!$B$29*(A583/'3. The decision'!$B$28)^$B$580),0)</f>
        <v>0</v>
      </c>
      <c r="C583" s="15" t="n">
        <f aca="false">(1-'3. The decision'!$B$27-B583)*(1-'3. The decision'!$B$27)^('3. The decision'!$B$12-1)</f>
        <v>0.661737785447033</v>
      </c>
      <c r="D583" s="15" t="n">
        <f aca="false">1+(1-'3. The decision'!$B$27-B583)*(1-(1-'3. The decision'!$B$27)^('3. The decision'!$B$12-1))/'3. The decision'!$B$27</f>
        <v>5.08664984290175</v>
      </c>
      <c r="E583" s="15" t="n">
        <f aca="false">(1-'3. The decision'!$B$14)*(1-'3. The decision'!$B$27)^('3. The decision'!$B$11-1)</f>
        <v>0.690273454655712</v>
      </c>
      <c r="F583" s="15" t="n">
        <f aca="false">1+(1-'3. The decision'!$B$14)*(1-(1-'3. The decision'!$B$27)^('3. The decision'!$B$11-1))/'3. The decision'!$B$27</f>
        <v>4.28912098262087</v>
      </c>
      <c r="G583" s="15" t="n">
        <f aca="false">(1-(1-'3. The decision'!$B$9*MIN(1,('3. The decision'!$B$10/(52/12)))))+(1-(1-'3. The decision'!$B$9*MAX(0,MIN(1,('3. The decision'!$B$10/(52/12))-1))))*(1-'3. The decision'!$B$14)+(1-(1-'3. The decision'!$B$9*MAX(0,MIN(1,('3. The decision'!$B$10/(52/12))-2))))*(1-'3. The decision'!$B$14)*(1-'3. The decision'!$B$27)</f>
        <v>0.884576923076923</v>
      </c>
      <c r="H583" s="15" t="n">
        <f aca="false">IF(A583&lt;=0,0,MAX(0,ROUNDUP(LN('3. The decision'!$B$13)/LN(1+A583)-0.000000000001,0)-1))</f>
        <v>0</v>
      </c>
      <c r="I583" s="15" t="n">
        <f aca="false">IF(A583&lt;=0,1/(1-C583),(1+A583)*(1-(C583*(1+A583))^H583)/(1-C583*(1+A583))+'3. The decision'!$B$13*C583^H583/(1-C583))</f>
        <v>2.95628644577272</v>
      </c>
      <c r="J583" s="17" t="n">
        <f aca="false">F583+E583*D583/(1-C583)</f>
        <v>14.6691729323308</v>
      </c>
      <c r="K583" s="15" t="n">
        <f aca="false">F583-G583+E583*D583*I583</f>
        <v>13.7845960092539</v>
      </c>
      <c r="L583" s="17" t="n">
        <f aca="false">'3. The decision'!$B$8*'3. The decision'!$B$5/J583</f>
        <v>32.0154382368016</v>
      </c>
      <c r="M583" s="31" t="n">
        <f aca="false">L583*'3. The decision'!$B$6*'3. The decision'!$B$7*K583</f>
        <v>846462.005967676</v>
      </c>
      <c r="N583" s="31" t="n">
        <f aca="false">M583*(1+'3. The decision'!$B$19+'3. The decision'!$B$20+'3. The decision'!$B$22)</f>
        <v>936186.97860025</v>
      </c>
      <c r="O583" s="31" t="n">
        <f aca="false">'3. The decision'!$B$17+'3. The decision'!$B$18*L583*12+M583*('3. The decision'!$B$20*(1-'3. The decision'!$B$21)+'3. The decision'!$B$23)+N583*('3. The decision'!$B$24+'3. The decision'!$B$25)</f>
        <v>567500.190131996</v>
      </c>
      <c r="P583" s="31" t="n">
        <f aca="false">N583-O583</f>
        <v>368686.788468253</v>
      </c>
    </row>
    <row r="584" customFormat="false" ht="15" hidden="false" customHeight="false" outlineLevel="0" collapsed="false">
      <c r="A584" s="27" t="n">
        <f aca="false">1*0.0025</f>
        <v>0.0025</v>
      </c>
      <c r="B584" s="27" t="n">
        <f aca="false">IF(A584&gt;0,MIN('3. The decision'!$B$15,'3. The decision'!$B$29*(A584/'3. The decision'!$B$28)^$B$580),0)</f>
        <v>1.04706927845575E-007</v>
      </c>
      <c r="C584" s="15" t="n">
        <f aca="false">(1-'3. The decision'!$B$27-B584)*(1-'3. The decision'!$B$27)^('3. The decision'!$B$12-1)</f>
        <v>0.661737711222577</v>
      </c>
      <c r="D584" s="15" t="n">
        <f aca="false">1+(1-'3. The decision'!$B$27-B584)*(1-(1-'3. The decision'!$B$27)^('3. The decision'!$B$12-1))/'3. The decision'!$B$27</f>
        <v>5.08664938451873</v>
      </c>
      <c r="E584" s="15" t="n">
        <f aca="false">(1-'3. The decision'!$B$14)*(1-'3. The decision'!$B$27)^('3. The decision'!$B$11-1)</f>
        <v>0.690273454655712</v>
      </c>
      <c r="F584" s="15" t="n">
        <f aca="false">1+(1-'3. The decision'!$B$14)*(1-(1-'3. The decision'!$B$27)^('3. The decision'!$B$11-1))/'3. The decision'!$B$27</f>
        <v>4.28912098262087</v>
      </c>
      <c r="G584" s="15" t="n">
        <f aca="false">(1-(1-'3. The decision'!$B$9*MIN(1,('3. The decision'!$B$10/(52/12)))))+(1-(1-'3. The decision'!$B$9*MAX(0,MIN(1,('3. The decision'!$B$10/(52/12))-1))))*(1-'3. The decision'!$B$14)+(1-(1-'3. The decision'!$B$9*MAX(0,MIN(1,('3. The decision'!$B$10/(52/12))-2))))*(1-'3. The decision'!$B$14)*(1-'3. The decision'!$B$27)</f>
        <v>0.884576923076923</v>
      </c>
      <c r="H584" s="15" t="n">
        <f aca="false">IF(A584&lt;=0,0,MAX(0,ROUNDUP(LN('3. The decision'!$B$13)/LN(1+A584)-0.000000000001,0)-1))</f>
        <v>193</v>
      </c>
      <c r="I584" s="15" t="n">
        <f aca="false">IF(A584&lt;=0,1/(1-C584),(1+A584)*(1-(C584*(1+A584))^H584)/(1-C584*(1+A584))+'3. The decision'!$B$13*C584^H584/(1-C584))</f>
        <v>2.97824224407717</v>
      </c>
      <c r="J584" s="17" t="n">
        <f aca="false">F584+E584*D584/(1-C584)</f>
        <v>14.6691697192521</v>
      </c>
      <c r="K584" s="15" t="n">
        <f aca="false">F584-G584+E584*D584*I584</f>
        <v>13.8616858127413</v>
      </c>
      <c r="L584" s="17" t="n">
        <f aca="false">'3. The decision'!$B$8*'3. The decision'!$B$5/J584</f>
        <v>32.0154452493405</v>
      </c>
      <c r="M584" s="31" t="n">
        <f aca="false">L584*'3. The decision'!$B$6*'3. The decision'!$B$7*K584</f>
        <v>851195.997423984</v>
      </c>
      <c r="N584" s="31" t="n">
        <f aca="false">M584*(1+'3. The decision'!$B$19+'3. The decision'!$B$20+'3. The decision'!$B$22)</f>
        <v>941422.773150926</v>
      </c>
      <c r="O584" s="31" t="n">
        <f aca="false">'3. The decision'!$B$17+'3. The decision'!$B$18*L584*12+M584*('3. The decision'!$B$20*(1-'3. The decision'!$B$21)+'3. The decision'!$B$23)+N584*('3. The decision'!$B$24+'3. The decision'!$B$25)</f>
        <v>568009.706053286</v>
      </c>
      <c r="P584" s="31" t="n">
        <f aca="false">N584-O584</f>
        <v>373413.067097641</v>
      </c>
    </row>
    <row r="585" customFormat="false" ht="15" hidden="false" customHeight="false" outlineLevel="0" collapsed="false">
      <c r="A585" s="27" t="n">
        <f aca="false">2*0.0025</f>
        <v>0.005</v>
      </c>
      <c r="B585" s="27" t="n">
        <f aca="false">IF(A585&gt;0,MIN('3. The decision'!$B$15,'3. The decision'!$B$29*(A585/'3. The decision'!$B$28)^$B$580),0)</f>
        <v>1.26964820131158E-006</v>
      </c>
      <c r="C585" s="15" t="n">
        <f aca="false">(1-'3. The decision'!$B$27-B585)*(1-'3. The decision'!$B$27)^('3. The decision'!$B$12-1)</f>
        <v>0.661736885421121</v>
      </c>
      <c r="D585" s="15" t="n">
        <f aca="false">1+(1-'3. The decision'!$B$27-B585)*(1-(1-'3. The decision'!$B$27)^('3. The decision'!$B$12-1))/'3. The decision'!$B$27</f>
        <v>5.08664428467184</v>
      </c>
      <c r="E585" s="15" t="n">
        <f aca="false">(1-'3. The decision'!$B$14)*(1-'3. The decision'!$B$27)^('3. The decision'!$B$11-1)</f>
        <v>0.690273454655712</v>
      </c>
      <c r="F585" s="15" t="n">
        <f aca="false">1+(1-'3. The decision'!$B$14)*(1-(1-'3. The decision'!$B$27)^('3. The decision'!$B$11-1))/'3. The decision'!$B$27</f>
        <v>4.28912098262087</v>
      </c>
      <c r="G585" s="15" t="n">
        <f aca="false">(1-(1-'3. The decision'!$B$9*MIN(1,('3. The decision'!$B$10/(52/12)))))+(1-(1-'3. The decision'!$B$9*MAX(0,MIN(1,('3. The decision'!$B$10/(52/12))-1))))*(1-'3. The decision'!$B$14)+(1-(1-'3. The decision'!$B$9*MAX(0,MIN(1,('3. The decision'!$B$10/(52/12))-2))))*(1-'3. The decision'!$B$14)*(1-'3. The decision'!$B$27)</f>
        <v>0.884576923076923</v>
      </c>
      <c r="H585" s="15" t="n">
        <f aca="false">IF(A585&lt;=0,0,MAX(0,ROUNDUP(LN('3. The decision'!$B$13)/LN(1+A585)-0.000000000001,0)-1))</f>
        <v>96</v>
      </c>
      <c r="I585" s="15" t="n">
        <f aca="false">IF(A585&lt;=0,1/(1-C585),(1+A585)*(1-(C585*(1+A585))^H585)/(1-C585*(1+A585))+'3. The decision'!$B$13*C585^H585/(1-C585))</f>
        <v>3.00040814371262</v>
      </c>
      <c r="J585" s="17" t="n">
        <f aca="false">F585+E585*D585/(1-C585)</f>
        <v>14.6691339714932</v>
      </c>
      <c r="K585" s="15" t="n">
        <f aca="false">F585-G585+E585*D585*I585</f>
        <v>13.939503692713</v>
      </c>
      <c r="L585" s="17" t="n">
        <f aca="false">'3. The decision'!$B$8*'3. The decision'!$B$5/J585</f>
        <v>32.0155232689715</v>
      </c>
      <c r="M585" s="31" t="n">
        <f aca="false">L585*'3. The decision'!$B$6*'3. The decision'!$B$7*K585</f>
        <v>855976.59797461</v>
      </c>
      <c r="N585" s="31" t="n">
        <f aca="false">M585*(1+'3. The decision'!$B$19+'3. The decision'!$B$20+'3. The decision'!$B$22)</f>
        <v>946710.117359918</v>
      </c>
      <c r="O585" s="31" t="n">
        <f aca="false">'3. The decision'!$B$17+'3. The decision'!$B$18*L585*12+M585*('3. The decision'!$B$20*(1-'3. The decision'!$B$21)+'3. The decision'!$B$23)+N585*('3. The decision'!$B$24+'3. The decision'!$B$25)</f>
        <v>568524.345935414</v>
      </c>
      <c r="P585" s="31" t="n">
        <f aca="false">N585-O585</f>
        <v>378185.771424504</v>
      </c>
    </row>
    <row r="586" customFormat="false" ht="15" hidden="false" customHeight="false" outlineLevel="0" collapsed="false">
      <c r="A586" s="27" t="n">
        <f aca="false">3*0.0025</f>
        <v>0.0075</v>
      </c>
      <c r="B586" s="27" t="n">
        <f aca="false">IF(A586&gt;0,MIN('3. The decision'!$B$15,'3. The decision'!$B$29*(A586/'3. The decision'!$B$28)^$B$580),0)</f>
        <v>5.46527392805787E-006</v>
      </c>
      <c r="C586" s="15" t="n">
        <f aca="false">(1-'3. The decision'!$B$27-B586)*(1-'3. The decision'!$B$27)^('3. The decision'!$B$12-1)</f>
        <v>0.661733911233572</v>
      </c>
      <c r="D586" s="15" t="n">
        <f aca="false">1+(1-'3. The decision'!$B$27-B586)*(1-(1-'3. The decision'!$B$27)^('3. The decision'!$B$12-1))/'3. The decision'!$B$27</f>
        <v>5.08662591718045</v>
      </c>
      <c r="E586" s="15" t="n">
        <f aca="false">(1-'3. The decision'!$B$14)*(1-'3. The decision'!$B$27)^('3. The decision'!$B$11-1)</f>
        <v>0.690273454655712</v>
      </c>
      <c r="F586" s="15" t="n">
        <f aca="false">1+(1-'3. The decision'!$B$14)*(1-(1-'3. The decision'!$B$27)^('3. The decision'!$B$11-1))/'3. The decision'!$B$27</f>
        <v>4.28912098262087</v>
      </c>
      <c r="G586" s="15" t="n">
        <f aca="false">(1-(1-'3. The decision'!$B$9*MIN(1,('3. The decision'!$B$10/(52/12)))))+(1-(1-'3. The decision'!$B$9*MAX(0,MIN(1,('3. The decision'!$B$10/(52/12))-1))))*(1-'3. The decision'!$B$14)+(1-(1-'3. The decision'!$B$9*MAX(0,MIN(1,('3. The decision'!$B$10/(52/12))-2))))*(1-'3. The decision'!$B$14)*(1-'3. The decision'!$B$27)</f>
        <v>0.884576923076923</v>
      </c>
      <c r="H586" s="15" t="n">
        <f aca="false">IF(A586&lt;=0,0,MAX(0,ROUNDUP(LN('3. The decision'!$B$13)/LN(1+A586)-0.000000000001,0)-1))</f>
        <v>64</v>
      </c>
      <c r="I586" s="15" t="n">
        <f aca="false">IF(A586&lt;=0,1/(1-C586),(1+A586)*(1-(C586*(1+A586))^H586)/(1-C586*(1+A586))+'3. The decision'!$B$13*C586^H586/(1-C586))</f>
        <v>3.02277430680339</v>
      </c>
      <c r="J586" s="17" t="n">
        <f aca="false">F586+E586*D586/(1-C586)</f>
        <v>14.6690052246321</v>
      </c>
      <c r="K586" s="15" t="n">
        <f aca="false">F586-G586+E586*D586*I586</f>
        <v>14.0179968925791</v>
      </c>
      <c r="L586" s="17" t="n">
        <f aca="false">'3. The decision'!$B$8*'3. The decision'!$B$5/J586</f>
        <v>32.0158042626764</v>
      </c>
      <c r="M586" s="31" t="n">
        <f aca="false">L586*'3. The decision'!$B$6*'3. The decision'!$B$7*K586</f>
        <v>860804.148303384</v>
      </c>
      <c r="N586" s="31" t="n">
        <f aca="false">M586*(1+'3. The decision'!$B$19+'3. The decision'!$B$20+'3. The decision'!$B$22)</f>
        <v>952049.388023543</v>
      </c>
      <c r="O586" s="31" t="n">
        <f aca="false">'3. The decision'!$B$17+'3. The decision'!$B$18*L586*12+M586*('3. The decision'!$B$20*(1-'3. The decision'!$B$21)+'3. The decision'!$B$23)+N586*('3. The decision'!$B$24+'3. The decision'!$B$25)</f>
        <v>569044.346353024</v>
      </c>
      <c r="P586" s="31" t="n">
        <f aca="false">N586-O586</f>
        <v>383005.041670519</v>
      </c>
    </row>
    <row r="587" customFormat="false" ht="15" hidden="false" customHeight="false" outlineLevel="0" collapsed="false">
      <c r="A587" s="27" t="n">
        <f aca="false">4*0.0025</f>
        <v>0.01</v>
      </c>
      <c r="B587" s="27" t="n">
        <f aca="false">IF(A587&gt;0,MIN('3. The decision'!$B$15,'3. The decision'!$B$29*(A587/'3. The decision'!$B$28)^$B$580),0)</f>
        <v>1.53954144989447E-005</v>
      </c>
      <c r="C587" s="15" t="n">
        <f aca="false">(1-'3. The decision'!$B$27-B587)*(1-'3. The decision'!$B$27)^('3. The decision'!$B$12-1)</f>
        <v>0.66172687197355</v>
      </c>
      <c r="D587" s="15" t="n">
        <f aca="false">1+(1-'3. The decision'!$B$27-B587)*(1-(1-'3. The decision'!$B$27)^('3. The decision'!$B$12-1))/'3. The decision'!$B$27</f>
        <v>5.08658244529249</v>
      </c>
      <c r="E587" s="15" t="n">
        <f aca="false">(1-'3. The decision'!$B$14)*(1-'3. The decision'!$B$27)^('3. The decision'!$B$11-1)</f>
        <v>0.690273454655712</v>
      </c>
      <c r="F587" s="15" t="n">
        <f aca="false">1+(1-'3. The decision'!$B$14)*(1-(1-'3. The decision'!$B$27)^('3. The decision'!$B$11-1))/'3. The decision'!$B$27</f>
        <v>4.28912098262087</v>
      </c>
      <c r="G587" s="15" t="n">
        <f aca="false">(1-(1-'3. The decision'!$B$9*MIN(1,('3. The decision'!$B$10/(52/12)))))+(1-(1-'3. The decision'!$B$9*MAX(0,MIN(1,('3. The decision'!$B$10/(52/12))-1))))*(1-'3. The decision'!$B$14)+(1-(1-'3. The decision'!$B$9*MAX(0,MIN(1,('3. The decision'!$B$10/(52/12))-2))))*(1-'3. The decision'!$B$14)*(1-'3. The decision'!$B$27)</f>
        <v>0.884576923076923</v>
      </c>
      <c r="H587" s="15" t="n">
        <f aca="false">IF(A587&lt;=0,0,MAX(0,ROUNDUP(LN('3. The decision'!$B$13)/LN(1+A587)-0.000000000001,0)-1))</f>
        <v>48</v>
      </c>
      <c r="I587" s="15" t="n">
        <f aca="false">IF(A587&lt;=0,1/(1-C587),(1+A587)*(1-(C587*(1+A587))^H587)/(1-C587*(1+A587))+'3. The decision'!$B$13*C587^H587/(1-C587))</f>
        <v>3.04532536229697</v>
      </c>
      <c r="J587" s="17" t="n">
        <f aca="false">F587+E587*D587/(1-C587)</f>
        <v>14.668700517619</v>
      </c>
      <c r="K587" s="15" t="n">
        <f aca="false">F587-G587+E587*D587*I587</f>
        <v>14.0970859381588</v>
      </c>
      <c r="L587" s="17" t="n">
        <f aca="false">'3. The decision'!$B$8*'3. The decision'!$B$5/J587</f>
        <v>32.0164693140951</v>
      </c>
      <c r="M587" s="31" t="n">
        <f aca="false">L587*'3. The decision'!$B$6*'3. The decision'!$B$7*K587</f>
        <v>865678.757064222</v>
      </c>
      <c r="N587" s="31" t="n">
        <f aca="false">M587*(1+'3. The decision'!$B$19+'3. The decision'!$B$20+'3. The decision'!$B$22)</f>
        <v>957440.70531303</v>
      </c>
      <c r="O587" s="31" t="n">
        <f aca="false">'3. The decision'!$B$17+'3. The decision'!$B$18*L587*12+M587*('3. The decision'!$B$20*(1-'3. The decision'!$B$21)+'3. The decision'!$B$23)+N587*('3. The decision'!$B$24+'3. The decision'!$B$25)</f>
        <v>569569.993311577</v>
      </c>
      <c r="P587" s="31" t="n">
        <f aca="false">N587-O587</f>
        <v>387870.712001453</v>
      </c>
    </row>
    <row r="588" customFormat="false" ht="15" hidden="false" customHeight="false" outlineLevel="0" collapsed="false">
      <c r="A588" s="27" t="n">
        <f aca="false">5*0.0025</f>
        <v>0.0125</v>
      </c>
      <c r="B588" s="27" t="n">
        <f aca="false">IF(A588&gt;0,MIN('3. The decision'!$B$15,'3. The decision'!$B$29*(A588/'3. The decision'!$B$28)^$B$580),0)</f>
        <v>3.43769571625129E-005</v>
      </c>
      <c r="C588" s="15" t="n">
        <f aca="false">(1-'3. The decision'!$B$27-B588)*(1-'3. The decision'!$B$27)^('3. The decision'!$B$12-1)</f>
        <v>0.661713416372044</v>
      </c>
      <c r="D588" s="15" t="n">
        <f aca="false">1+(1-'3. The decision'!$B$27-B588)*(1-(1-'3. The decision'!$B$27)^('3. The decision'!$B$12-1))/'3. The decision'!$B$27</f>
        <v>5.08649934843299</v>
      </c>
      <c r="E588" s="15" t="n">
        <f aca="false">(1-'3. The decision'!$B$14)*(1-'3. The decision'!$B$27)^('3. The decision'!$B$11-1)</f>
        <v>0.690273454655712</v>
      </c>
      <c r="F588" s="15" t="n">
        <f aca="false">1+(1-'3. The decision'!$B$14)*(1-(1-'3. The decision'!$B$27)^('3. The decision'!$B$11-1))/'3. The decision'!$B$27</f>
        <v>4.28912098262087</v>
      </c>
      <c r="G588" s="15" t="n">
        <f aca="false">(1-(1-'3. The decision'!$B$9*MIN(1,('3. The decision'!$B$10/(52/12)))))+(1-(1-'3. The decision'!$B$9*MAX(0,MIN(1,('3. The decision'!$B$10/(52/12))-1))))*(1-'3. The decision'!$B$14)+(1-(1-'3. The decision'!$B$9*MAX(0,MIN(1,('3. The decision'!$B$10/(52/12))-2))))*(1-'3. The decision'!$B$14)*(1-'3. The decision'!$B$27)</f>
        <v>0.884576923076923</v>
      </c>
      <c r="H588" s="15" t="n">
        <f aca="false">IF(A588&lt;=0,0,MAX(0,ROUNDUP(LN('3. The decision'!$B$13)/LN(1+A588)-0.000000000001,0)-1))</f>
        <v>38</v>
      </c>
      <c r="I588" s="15" t="n">
        <f aca="false">IF(A588&lt;=0,1/(1-C588),(1+A588)*(1-(C588*(1+A588))^H588)/(1-C588*(1+A588))+'3. The decision'!$B$13*C588^H588/(1-C588))</f>
        <v>3.06804079923445</v>
      </c>
      <c r="J588" s="17" t="n">
        <f aca="false">F588+E588*D588/(1-C588)</f>
        <v>14.6681181030278</v>
      </c>
      <c r="K588" s="15" t="n">
        <f aca="false">F588-G588+E588*D588*I588</f>
        <v>14.1766668732357</v>
      </c>
      <c r="L588" s="17" t="n">
        <f aca="false">'3. The decision'!$B$8*'3. The decision'!$B$5/J588</f>
        <v>32.0177405650324</v>
      </c>
      <c r="M588" s="31" t="n">
        <f aca="false">L588*'3. The decision'!$B$6*'3. The decision'!$B$7*K588</f>
        <v>870600.25762569</v>
      </c>
      <c r="N588" s="31" t="n">
        <f aca="false">M588*(1+'3. The decision'!$B$19+'3. The decision'!$B$20+'3. The decision'!$B$22)</f>
        <v>962883.884934014</v>
      </c>
      <c r="O588" s="31" t="n">
        <f aca="false">'3. The decision'!$B$17+'3. The decision'!$B$18*L588*12+M588*('3. The decision'!$B$20*(1-'3. The decision'!$B$21)+'3. The decision'!$B$23)+N588*('3. The decision'!$B$24+'3. The decision'!$B$25)</f>
        <v>570101.605384641</v>
      </c>
      <c r="P588" s="31" t="n">
        <f aca="false">N588-O588</f>
        <v>392782.279549372</v>
      </c>
    </row>
    <row r="589" customFormat="false" ht="15" hidden="false" customHeight="false" outlineLevel="0" collapsed="false">
      <c r="A589" s="27" t="n">
        <f aca="false">6*0.0025</f>
        <v>0.015</v>
      </c>
      <c r="B589" s="27" t="n">
        <f aca="false">IF(A589&gt;0,MIN('3. The decision'!$B$15,'3. The decision'!$B$29*(A589/'3. The decision'!$B$28)^$B$580),0)</f>
        <v>6.62704498661973E-005</v>
      </c>
      <c r="C589" s="15" t="n">
        <f aca="false">(1-'3. The decision'!$B$27-B589)*(1-'3. The decision'!$B$27)^('3. The decision'!$B$12-1)</f>
        <v>0.661690807770831</v>
      </c>
      <c r="D589" s="15" t="n">
        <f aca="false">1+(1-'3. The decision'!$B$27-B589)*(1-(1-'3. The decision'!$B$27)^('3. The decision'!$B$12-1))/'3. The decision'!$B$27</f>
        <v>5.08635972600456</v>
      </c>
      <c r="E589" s="15" t="n">
        <f aca="false">(1-'3. The decision'!$B$14)*(1-'3. The decision'!$B$27)^('3. The decision'!$B$11-1)</f>
        <v>0.690273454655712</v>
      </c>
      <c r="F589" s="15" t="n">
        <f aca="false">1+(1-'3. The decision'!$B$14)*(1-(1-'3. The decision'!$B$27)^('3. The decision'!$B$11-1))/'3. The decision'!$B$27</f>
        <v>4.28912098262087</v>
      </c>
      <c r="G589" s="15" t="n">
        <f aca="false">(1-(1-'3. The decision'!$B$9*MIN(1,('3. The decision'!$B$10/(52/12)))))+(1-(1-'3. The decision'!$B$9*MAX(0,MIN(1,('3. The decision'!$B$10/(52/12))-1))))*(1-'3. The decision'!$B$14)+(1-(1-'3. The decision'!$B$9*MAX(0,MIN(1,('3. The decision'!$B$10/(52/12))-2))))*(1-'3. The decision'!$B$14)*(1-'3. The decision'!$B$27)</f>
        <v>0.884576923076923</v>
      </c>
      <c r="H589" s="15" t="n">
        <f aca="false">IF(A589&lt;=0,0,MAX(0,ROUNDUP(LN('3. The decision'!$B$13)/LN(1+A589)-0.000000000001,0)-1))</f>
        <v>32</v>
      </c>
      <c r="I589" s="15" t="n">
        <f aca="false">IF(A589&lt;=0,1/(1-C589),(1+A589)*(1-(C589*(1+A589))^H589)/(1-C589*(1+A589))+'3. The decision'!$B$13*C589^H589/(1-C589))</f>
        <v>3.09089484268232</v>
      </c>
      <c r="J589" s="17" t="n">
        <f aca="false">F589+E589*D589/(1-C589)</f>
        <v>14.6671396127281</v>
      </c>
      <c r="K589" s="15" t="n">
        <f aca="false">F589-G589+E589*D589*I589</f>
        <v>14.2566112515438</v>
      </c>
      <c r="L589" s="17" t="n">
        <f aca="false">'3. The decision'!$B$8*'3. The decision'!$B$5/J589</f>
        <v>32.019876567647</v>
      </c>
      <c r="M589" s="31" t="n">
        <f aca="false">L589*'3. The decision'!$B$6*'3. The decision'!$B$7*K589</f>
        <v>875568.112708983</v>
      </c>
      <c r="N589" s="31" t="n">
        <f aca="false">M589*(1+'3. The decision'!$B$19+'3. The decision'!$B$20+'3. The decision'!$B$22)</f>
        <v>968378.332656135</v>
      </c>
      <c r="O589" s="31" t="n">
        <f aca="false">'3. The decision'!$B$17+'3. The decision'!$B$18*L589*12+M589*('3. The decision'!$B$20*(1-'3. The decision'!$B$21)+'3. The decision'!$B$23)+N589*('3. The decision'!$B$24+'3. The decision'!$B$25)</f>
        <v>570639.516409703</v>
      </c>
      <c r="P589" s="31" t="n">
        <f aca="false">N589-O589</f>
        <v>397738.816246432</v>
      </c>
    </row>
    <row r="590" customFormat="false" ht="15" hidden="false" customHeight="false" outlineLevel="0" collapsed="false">
      <c r="A590" s="27" t="n">
        <f aca="false">7*0.0025</f>
        <v>0.0175</v>
      </c>
      <c r="B590" s="27" t="n">
        <f aca="false">IF(A590&gt;0,MIN('3. The decision'!$B$15,'3. The decision'!$B$29*(A590/'3. The decision'!$B$28)^$B$580),0)</f>
        <v>0.000115432569063168</v>
      </c>
      <c r="C590" s="15" t="n">
        <f aca="false">(1-'3. The decision'!$B$27-B590)*(1-'3. The decision'!$B$27)^('3. The decision'!$B$12-1)</f>
        <v>0.661655957817017</v>
      </c>
      <c r="D590" s="15" t="n">
        <f aca="false">1+(1-'3. The decision'!$B$27-B590)*(1-(1-'3. The decision'!$B$27)^('3. The decision'!$B$12-1))/'3. The decision'!$B$27</f>
        <v>5.08614450547248</v>
      </c>
      <c r="E590" s="15" t="n">
        <f aca="false">(1-'3. The decision'!$B$14)*(1-'3. The decision'!$B$27)^('3. The decision'!$B$11-1)</f>
        <v>0.690273454655712</v>
      </c>
      <c r="F590" s="15" t="n">
        <f aca="false">1+(1-'3. The decision'!$B$14)*(1-(1-'3. The decision'!$B$27)^('3. The decision'!$B$11-1))/'3. The decision'!$B$27</f>
        <v>4.28912098262087</v>
      </c>
      <c r="G590" s="15" t="n">
        <f aca="false">(1-(1-'3. The decision'!$B$9*MIN(1,('3. The decision'!$B$10/(52/12)))))+(1-(1-'3. The decision'!$B$9*MAX(0,MIN(1,('3. The decision'!$B$10/(52/12))-1))))*(1-'3. The decision'!$B$14)+(1-(1-'3. The decision'!$B$9*MAX(0,MIN(1,('3. The decision'!$B$10/(52/12))-2))))*(1-'3. The decision'!$B$14)*(1-'3. The decision'!$B$27)</f>
        <v>0.884576923076923</v>
      </c>
      <c r="H590" s="15" t="n">
        <f aca="false">IF(A590&lt;=0,0,MAX(0,ROUNDUP(LN('3. The decision'!$B$13)/LN(1+A590)-0.000000000001,0)-1))</f>
        <v>27</v>
      </c>
      <c r="I590" s="15" t="n">
        <f aca="false">IF(A590&lt;=0,1/(1-C590),(1+A590)*(1-(C590*(1+A590))^H590)/(1-C590*(1+A590))+'3. The decision'!$B$13*C590^H590/(1-C590))</f>
        <v>3.11385531004872</v>
      </c>
      <c r="J590" s="17" t="n">
        <f aca="false">F590+E590*D590/(1-C590)</f>
        <v>14.6656315782232</v>
      </c>
      <c r="K590" s="15" t="n">
        <f aca="false">F590-G590+E590*D590*I590</f>
        <v>14.3367623750648</v>
      </c>
      <c r="L590" s="17" t="n">
        <f aca="false">'3. The decision'!$B$8*'3. The decision'!$B$5/J590</f>
        <v>32.0231691008358</v>
      </c>
      <c r="M590" s="31" t="n">
        <f aca="false">L590*'3. The decision'!$B$6*'3. The decision'!$B$7*K590</f>
        <v>880581.123488557</v>
      </c>
      <c r="N590" s="31" t="n">
        <f aca="false">M590*(1+'3. The decision'!$B$19+'3. The decision'!$B$20+'3. The decision'!$B$22)</f>
        <v>973922.722578344</v>
      </c>
      <c r="O590" s="31" t="n">
        <f aca="false">'3. The decision'!$B$17+'3. The decision'!$B$18*L590*12+M590*('3. The decision'!$B$20*(1-'3. The decision'!$B$21)+'3. The decision'!$B$23)+N590*('3. The decision'!$B$24+'3. The decision'!$B$25)</f>
        <v>571184.039356898</v>
      </c>
      <c r="P590" s="31" t="n">
        <f aca="false">N590-O590</f>
        <v>402738.683221446</v>
      </c>
    </row>
    <row r="591" customFormat="false" ht="15" hidden="false" customHeight="false" outlineLevel="0" collapsed="false">
      <c r="A591" s="27" t="n">
        <f aca="false">8*0.0025</f>
        <v>0.02</v>
      </c>
      <c r="B591" s="27" t="n">
        <f aca="false">IF(A591&gt;0,MIN('3. The decision'!$B$15,'3. The decision'!$B$29*(A591/'3. The decision'!$B$28)^$B$580),0)</f>
        <v>0.000186680678434759</v>
      </c>
      <c r="C591" s="15" t="n">
        <f aca="false">(1-'3. The decision'!$B$27-B591)*(1-'3. The decision'!$B$27)^('3. The decision'!$B$12-1)</f>
        <v>0.66160545158658</v>
      </c>
      <c r="D591" s="15" t="n">
        <f aca="false">1+(1-'3. The decision'!$B$27-B591)*(1-(1-'3. The decision'!$B$27)^('3. The decision'!$B$12-1))/'3. The decision'!$B$27</f>
        <v>5.08583259751857</v>
      </c>
      <c r="E591" s="15" t="n">
        <f aca="false">(1-'3. The decision'!$B$14)*(1-'3. The decision'!$B$27)^('3. The decision'!$B$11-1)</f>
        <v>0.690273454655712</v>
      </c>
      <c r="F591" s="15" t="n">
        <f aca="false">1+(1-'3. The decision'!$B$14)*(1-(1-'3. The decision'!$B$27)^('3. The decision'!$B$11-1))/'3. The decision'!$B$27</f>
        <v>4.28912098262087</v>
      </c>
      <c r="G591" s="15" t="n">
        <f aca="false">(1-(1-'3. The decision'!$B$9*MIN(1,('3. The decision'!$B$10/(52/12)))))+(1-(1-'3. The decision'!$B$9*MAX(0,MIN(1,('3. The decision'!$B$10/(52/12))-1))))*(1-'3. The decision'!$B$14)+(1-(1-'3. The decision'!$B$9*MAX(0,MIN(1,('3. The decision'!$B$10/(52/12))-2))))*(1-'3. The decision'!$B$14)*(1-'3. The decision'!$B$27)</f>
        <v>0.884576923076923</v>
      </c>
      <c r="H591" s="15" t="n">
        <f aca="false">IF(A591&lt;=0,0,MAX(0,ROUNDUP(LN('3. The decision'!$B$13)/LN(1+A591)-0.000000000001,0)-1))</f>
        <v>24</v>
      </c>
      <c r="I591" s="15" t="n">
        <f aca="false">IF(A591&lt;=0,1/(1-C591),(1+A591)*(1-(C591*(1+A591))^H591)/(1-C591*(1+A591))+'3. The decision'!$B$13*C591^H591/(1-C591))</f>
        <v>3.13688090321904</v>
      </c>
      <c r="J591" s="17" t="n">
        <f aca="false">F591+E591*D591/(1-C591)</f>
        <v>14.6634466133069</v>
      </c>
      <c r="K591" s="15" t="n">
        <f aca="false">F591-G591+E591*D591*I591</f>
        <v>14.4169259546933</v>
      </c>
      <c r="L591" s="17" t="n">
        <f aca="false">'3. The decision'!$B$8*'3. The decision'!$B$5/J591</f>
        <v>32.0279407962522</v>
      </c>
      <c r="M591" s="31" t="n">
        <f aca="false">L591*'3. The decision'!$B$6*'3. The decision'!$B$7*K591</f>
        <v>885636.813552575</v>
      </c>
      <c r="N591" s="31" t="n">
        <f aca="false">M591*(1+'3. The decision'!$B$19+'3. The decision'!$B$20+'3. The decision'!$B$22)</f>
        <v>979514.315789148</v>
      </c>
      <c r="O591" s="31" t="n">
        <f aca="false">'3. The decision'!$B$17+'3. The decision'!$B$18*L591*12+M591*('3. The decision'!$B$20*(1-'3. The decision'!$B$21)+'3. The decision'!$B$23)+N591*('3. The decision'!$B$24+'3. The decision'!$B$25)</f>
        <v>571735.396430338</v>
      </c>
      <c r="P591" s="31" t="n">
        <f aca="false">N591-O591</f>
        <v>407778.919358809</v>
      </c>
    </row>
    <row r="592" customFormat="false" ht="15" hidden="false" customHeight="false" outlineLevel="0" collapsed="false">
      <c r="A592" s="27" t="n">
        <f aca="false">9*0.0025</f>
        <v>0.0225</v>
      </c>
      <c r="B592" s="27" t="n">
        <f aca="false">IF(A592&gt;0,MIN('3. The decision'!$B$15,'3. The decision'!$B$29*(A592/'3. The decision'!$B$28)^$B$580),0)</f>
        <v>0.000285264974565589</v>
      </c>
      <c r="C592" s="15" t="n">
        <f aca="false">(1-'3. The decision'!$B$27-B592)*(1-'3. The decision'!$B$27)^('3. The decision'!$B$12-1)</f>
        <v>0.661535567329696</v>
      </c>
      <c r="D592" s="15" t="n">
        <f aca="false">1+(1-'3. The decision'!$B$27-B592)*(1-(1-'3. The decision'!$B$27)^('3. The decision'!$B$12-1))/'3. The decision'!$B$27</f>
        <v>5.08540101798103</v>
      </c>
      <c r="E592" s="15" t="n">
        <f aca="false">(1-'3. The decision'!$B$14)*(1-'3. The decision'!$B$27)^('3. The decision'!$B$11-1)</f>
        <v>0.690273454655712</v>
      </c>
      <c r="F592" s="15" t="n">
        <f aca="false">1+(1-'3. The decision'!$B$14)*(1-(1-'3. The decision'!$B$27)^('3. The decision'!$B$11-1))/'3. The decision'!$B$27</f>
        <v>4.28912098262087</v>
      </c>
      <c r="G592" s="15" t="n">
        <f aca="false">(1-(1-'3. The decision'!$B$9*MIN(1,('3. The decision'!$B$10/(52/12)))))+(1-(1-'3. The decision'!$B$9*MAX(0,MIN(1,('3. The decision'!$B$10/(52/12))-1))))*(1-'3. The decision'!$B$14)+(1-(1-'3. The decision'!$B$9*MAX(0,MIN(1,('3. The decision'!$B$10/(52/12))-2))))*(1-'3. The decision'!$B$14)*(1-'3. The decision'!$B$27)</f>
        <v>0.884576923076923</v>
      </c>
      <c r="H592" s="15" t="n">
        <f aca="false">IF(A592&lt;=0,0,MAX(0,ROUNDUP(LN('3. The decision'!$B$13)/LN(1+A592)-0.000000000001,0)-1))</f>
        <v>21</v>
      </c>
      <c r="I592" s="15" t="n">
        <f aca="false">IF(A592&lt;=0,1/(1-C592),(1+A592)*(1-(C592*(1+A592))^H592)/(1-C592*(1+A592))+'3. The decision'!$B$13*C592^H592/(1-C592))</f>
        <v>3.1599179916711</v>
      </c>
      <c r="J592" s="17" t="n">
        <f aca="false">F592+E592*D592/(1-C592)</f>
        <v>14.6604244052491</v>
      </c>
      <c r="K592" s="15" t="n">
        <f aca="false">F592-G592+E592*D592*I592</f>
        <v>14.4968589438988</v>
      </c>
      <c r="L592" s="17" t="n">
        <f aca="false">'3. The decision'!$B$8*'3. The decision'!$B$5/J592</f>
        <v>32.034543272284</v>
      </c>
      <c r="M592" s="31" t="n">
        <f aca="false">L592*'3. The decision'!$B$6*'3. The decision'!$B$7*K592</f>
        <v>890730.709045777</v>
      </c>
      <c r="N592" s="31" t="n">
        <f aca="false">M592*(1+'3. The decision'!$B$19+'3. The decision'!$B$20+'3. The decision'!$B$22)</f>
        <v>985148.16420463</v>
      </c>
      <c r="O592" s="31" t="n">
        <f aca="false">'3. The decision'!$B$17+'3. The decision'!$B$18*L592*12+M592*('3. The decision'!$B$20*(1-'3. The decision'!$B$21)+'3. The decision'!$B$23)+N592*('3. The decision'!$B$24+'3. The decision'!$B$25)</f>
        <v>572293.638765338</v>
      </c>
      <c r="P592" s="31" t="n">
        <f aca="false">N592-O592</f>
        <v>412854.525439292</v>
      </c>
    </row>
    <row r="593" customFormat="false" ht="15" hidden="false" customHeight="false" outlineLevel="0" collapsed="false">
      <c r="A593" s="27" t="n">
        <f aca="false">10*0.0025</f>
        <v>0.025</v>
      </c>
      <c r="B593" s="27" t="n">
        <f aca="false">IF(A593&gt;0,MIN('3. The decision'!$B$15,'3. The decision'!$B$29*(A593/'3. The decision'!$B$28)^$B$580),0)</f>
        <v>0.000416845787819512</v>
      </c>
      <c r="C593" s="15" t="n">
        <f aca="false">(1-'3. The decision'!$B$27-B593)*(1-'3. The decision'!$B$27)^('3. The decision'!$B$12-1)</f>
        <v>0.661442292561651</v>
      </c>
      <c r="D593" s="15" t="n">
        <f aca="false">1+(1-'3. The decision'!$B$27-B593)*(1-(1-'3. The decision'!$B$27)^('3. The decision'!$B$12-1))/'3. The decision'!$B$27</f>
        <v>5.08482498722601</v>
      </c>
      <c r="E593" s="15" t="n">
        <f aca="false">(1-'3. The decision'!$B$14)*(1-'3. The decision'!$B$27)^('3. The decision'!$B$11-1)</f>
        <v>0.690273454655712</v>
      </c>
      <c r="F593" s="15" t="n">
        <f aca="false">1+(1-'3. The decision'!$B$14)*(1-(1-'3. The decision'!$B$27)^('3. The decision'!$B$11-1))/'3. The decision'!$B$27</f>
        <v>4.28912098262087</v>
      </c>
      <c r="G593" s="15" t="n">
        <f aca="false">(1-(1-'3. The decision'!$B$9*MIN(1,('3. The decision'!$B$10/(52/12)))))+(1-(1-'3. The decision'!$B$9*MAX(0,MIN(1,('3. The decision'!$B$10/(52/12))-1))))*(1-'3. The decision'!$B$14)+(1-(1-'3. The decision'!$B$9*MAX(0,MIN(1,('3. The decision'!$B$10/(52/12))-2))))*(1-'3. The decision'!$B$14)*(1-'3. The decision'!$B$27)</f>
        <v>0.884576923076923</v>
      </c>
      <c r="H593" s="15" t="n">
        <f aca="false">IF(A593&lt;=0,0,MAX(0,ROUNDUP(LN('3. The decision'!$B$13)/LN(1+A593)-0.000000000001,0)-1))</f>
        <v>19</v>
      </c>
      <c r="I593" s="15" t="n">
        <f aca="false">IF(A593&lt;=0,1/(1-C593),(1+A593)*(1-(C593*(1+A593))^H593)/(1-C593*(1+A593))+'3. The decision'!$B$13*C593^H593/(1-C593))</f>
        <v>3.1828978916266</v>
      </c>
      <c r="J593" s="17" t="n">
        <f aca="false">F593+E593*D593/(1-C593)</f>
        <v>14.6563925972874</v>
      </c>
      <c r="K593" s="15" t="n">
        <f aca="false">F593-G593+E593*D593*I593</f>
        <v>14.5762601050843</v>
      </c>
      <c r="L593" s="17" t="n">
        <f aca="false">'3. The decision'!$B$8*'3. The decision'!$B$5/J593</f>
        <v>32.043355613094</v>
      </c>
      <c r="M593" s="31" t="n">
        <f aca="false">L593*'3. The decision'!$B$6*'3. The decision'!$B$7*K593</f>
        <v>895855.72772693</v>
      </c>
      <c r="N593" s="31" t="n">
        <f aca="false">M593*(1+'3. The decision'!$B$19+'3. The decision'!$B$20+'3. The decision'!$B$22)</f>
        <v>990816.434865985</v>
      </c>
      <c r="O593" s="31" t="n">
        <f aca="false">'3. The decision'!$B$17+'3. The decision'!$B$18*L593*12+M593*('3. The decision'!$B$20*(1-'3. The decision'!$B$21)+'3. The decision'!$B$23)+N593*('3. The decision'!$B$24+'3. The decision'!$B$25)</f>
        <v>572858.578370499</v>
      </c>
      <c r="P593" s="31" t="n">
        <f aca="false">N593-O593</f>
        <v>417957.856495486</v>
      </c>
    </row>
    <row r="594" customFormat="false" ht="15" hidden="false" customHeight="false" outlineLevel="0" collapsed="false">
      <c r="A594" s="27" t="n">
        <f aca="false">11*0.0025</f>
        <v>0.0275</v>
      </c>
      <c r="B594" s="27" t="n">
        <f aca="false">IF(A594&gt;0,MIN('3. The decision'!$B$15,'3. The decision'!$B$29*(A594/'3. The decision'!$B$28)^$B$580),0)</f>
        <v>0.00058747458606095</v>
      </c>
      <c r="C594" s="15" t="n">
        <f aca="false">(1-'3. The decision'!$B$27-B594)*(1-'3. The decision'!$B$27)^('3. The decision'!$B$12-1)</f>
        <v>0.661321337528891</v>
      </c>
      <c r="D594" s="15" t="n">
        <f aca="false">1+(1-'3. The decision'!$B$27-B594)*(1-(1-'3. The decision'!$B$27)^('3. The decision'!$B$12-1))/'3. The decision'!$B$27</f>
        <v>5.084078013309</v>
      </c>
      <c r="E594" s="15" t="n">
        <f aca="false">(1-'3. The decision'!$B$14)*(1-'3. The decision'!$B$27)^('3. The decision'!$B$11-1)</f>
        <v>0.690273454655712</v>
      </c>
      <c r="F594" s="15" t="n">
        <f aca="false">1+(1-'3. The decision'!$B$14)*(1-(1-'3. The decision'!$B$27)^('3. The decision'!$B$11-1))/'3. The decision'!$B$27</f>
        <v>4.28912098262087</v>
      </c>
      <c r="G594" s="15" t="n">
        <f aca="false">(1-(1-'3. The decision'!$B$9*MIN(1,('3. The decision'!$B$10/(52/12)))))+(1-(1-'3. The decision'!$B$9*MAX(0,MIN(1,('3. The decision'!$B$10/(52/12))-1))))*(1-'3. The decision'!$B$14)+(1-(1-'3. The decision'!$B$9*MAX(0,MIN(1,('3. The decision'!$B$10/(52/12))-2))))*(1-'3. The decision'!$B$14)*(1-'3. The decision'!$B$27)</f>
        <v>0.884576923076923</v>
      </c>
      <c r="H594" s="15" t="n">
        <f aca="false">IF(A594&lt;=0,0,MAX(0,ROUNDUP(LN('3. The decision'!$B$13)/LN(1+A594)-0.000000000001,0)-1))</f>
        <v>17</v>
      </c>
      <c r="I594" s="15" t="n">
        <f aca="false">IF(A594&lt;=0,1/(1-C594),(1+A594)*(1-(C594*(1+A594))^H594)/(1-C594*(1+A594))+'3. The decision'!$B$13*C594^H594/(1-C594))</f>
        <v>3.20573832193733</v>
      </c>
      <c r="J594" s="17" t="n">
        <f aca="false">F594+E594*D594/(1-C594)</f>
        <v>14.6511676152023</v>
      </c>
      <c r="K594" s="15" t="n">
        <f aca="false">F594-G594+E594*D594*I594</f>
        <v>14.6547752507985</v>
      </c>
      <c r="L594" s="17" t="n">
        <f aca="false">'3. The decision'!$B$8*'3. The decision'!$B$5/J594</f>
        <v>32.0547830954232</v>
      </c>
      <c r="M594" s="31" t="n">
        <f aca="false">L594*'3. The decision'!$B$6*'3. The decision'!$B$7*K594</f>
        <v>901002.468055015</v>
      </c>
      <c r="N594" s="31" t="n">
        <f aca="false">M594*(1+'3. The decision'!$B$19+'3. The decision'!$B$20+'3. The decision'!$B$22)</f>
        <v>996508.729668846</v>
      </c>
      <c r="O594" s="31" t="n">
        <f aca="false">'3. The decision'!$B$17+'3. The decision'!$B$18*L594*12+M594*('3. The decision'!$B$20*(1-'3. The decision'!$B$21)+'3. The decision'!$B$23)+N594*('3. The decision'!$B$24+'3. The decision'!$B$25)</f>
        <v>573429.817312513</v>
      </c>
      <c r="P594" s="31" t="n">
        <f aca="false">N594-O594</f>
        <v>423078.912356333</v>
      </c>
    </row>
    <row r="595" customFormat="false" ht="15" hidden="false" customHeight="false" outlineLevel="0" collapsed="false">
      <c r="A595" s="27" t="n">
        <f aca="false">12*0.0025</f>
        <v>0.03</v>
      </c>
      <c r="B595" s="27" t="n">
        <f aca="false">IF(A595&gt;0,MIN('3. The decision'!$B$15,'3. The decision'!$B$29*(A595/'3. The decision'!$B$28)^$B$580),0)</f>
        <v>0.000803577749858336</v>
      </c>
      <c r="C595" s="15" t="n">
        <f aca="false">(1-'3. The decision'!$B$27-B595)*(1-'3. The decision'!$B$27)^('3. The decision'!$B$12-1)</f>
        <v>0.661168146710423</v>
      </c>
      <c r="D595" s="15" t="n">
        <f aca="false">1+(1-'3. The decision'!$B$27-B595)*(1-(1-'3. The decision'!$B$27)^('3. The decision'!$B$12-1))/'3. The decision'!$B$27</f>
        <v>5.08313196300329</v>
      </c>
      <c r="E595" s="15" t="n">
        <f aca="false">(1-'3. The decision'!$B$14)*(1-'3. The decision'!$B$27)^('3. The decision'!$B$11-1)</f>
        <v>0.690273454655712</v>
      </c>
      <c r="F595" s="15" t="n">
        <f aca="false">1+(1-'3. The decision'!$B$14)*(1-(1-'3. The decision'!$B$27)^('3. The decision'!$B$11-1))/'3. The decision'!$B$27</f>
        <v>4.28912098262087</v>
      </c>
      <c r="G595" s="15" t="n">
        <f aca="false">(1-(1-'3. The decision'!$B$9*MIN(1,('3. The decision'!$B$10/(52/12)))))+(1-(1-'3. The decision'!$B$9*MAX(0,MIN(1,('3. The decision'!$B$10/(52/12))-1))))*(1-'3. The decision'!$B$14)+(1-(1-'3. The decision'!$B$9*MAX(0,MIN(1,('3. The decision'!$B$10/(52/12))-2))))*(1-'3. The decision'!$B$14)*(1-'3. The decision'!$B$27)</f>
        <v>0.884576923076923</v>
      </c>
      <c r="H595" s="15" t="n">
        <f aca="false">IF(A595&lt;=0,0,MAX(0,ROUNDUP(LN('3. The decision'!$B$13)/LN(1+A595)-0.000000000001,0)-1))</f>
        <v>16</v>
      </c>
      <c r="I595" s="15" t="n">
        <f aca="false">IF(A595&lt;=0,1/(1-C595),(1+A595)*(1-(C595*(1+A595))^H595)/(1-C595*(1+A595))+'3. The decision'!$B$13*C595^H595/(1-C595))</f>
        <v>3.22833868166753</v>
      </c>
      <c r="J595" s="17" t="n">
        <f aca="false">F595+E595*D595/(1-C595)</f>
        <v>14.6445554747094</v>
      </c>
      <c r="K595" s="15" t="n">
        <f aca="false">F595-G595+E595*D595*I595</f>
        <v>14.7319808327342</v>
      </c>
      <c r="L595" s="17" t="n">
        <f aca="false">'3. The decision'!$B$8*'3. The decision'!$B$5/J595</f>
        <v>32.0692561007435</v>
      </c>
      <c r="M595" s="31" t="n">
        <f aca="false">L595*'3. The decision'!$B$6*'3. The decision'!$B$7*K595</f>
        <v>906158.162291981</v>
      </c>
      <c r="N595" s="31" t="n">
        <f aca="false">M595*(1+'3. The decision'!$B$19+'3. The decision'!$B$20+'3. The decision'!$B$22)</f>
        <v>1002210.92749493</v>
      </c>
      <c r="O595" s="31" t="n">
        <f aca="false">'3. The decision'!$B$17+'3. The decision'!$B$18*L595*12+M595*('3. The decision'!$B$20*(1-'3. The decision'!$B$21)+'3. The decision'!$B$23)+N595*('3. The decision'!$B$24+'3. The decision'!$B$25)</f>
        <v>574006.633393844</v>
      </c>
      <c r="P595" s="31" t="n">
        <f aca="false">N595-O595</f>
        <v>428204.294101087</v>
      </c>
    </row>
    <row r="596" customFormat="false" ht="15" hidden="false" customHeight="false" outlineLevel="0" collapsed="false">
      <c r="A596" s="27" t="n">
        <f aca="false">13*0.0025</f>
        <v>0.0325</v>
      </c>
      <c r="B596" s="27" t="n">
        <f aca="false">IF(A596&gt;0,MIN('3. The decision'!$B$15,'3. The decision'!$B$29*(A596/'3. The decision'!$B$28)^$B$580),0)</f>
        <v>0.00107194248924734</v>
      </c>
      <c r="C596" s="15" t="n">
        <f aca="false">(1-'3. The decision'!$B$27-B596)*(1-'3. The decision'!$B$27)^('3. The decision'!$B$12-1)</f>
        <v>0.660977908801119</v>
      </c>
      <c r="D596" s="15" t="n">
        <f aca="false">1+(1-'3. The decision'!$B$27-B596)*(1-(1-'3. The decision'!$B$27)^('3. The decision'!$B$12-1))/'3. The decision'!$B$27</f>
        <v>5.08195712345314</v>
      </c>
      <c r="E596" s="15" t="n">
        <f aca="false">(1-'3. The decision'!$B$14)*(1-'3. The decision'!$B$27)^('3. The decision'!$B$11-1)</f>
        <v>0.690273454655712</v>
      </c>
      <c r="F596" s="15" t="n">
        <f aca="false">1+(1-'3. The decision'!$B$14)*(1-(1-'3. The decision'!$B$27)^('3. The decision'!$B$11-1))/'3. The decision'!$B$27</f>
        <v>4.28912098262087</v>
      </c>
      <c r="G596" s="15" t="n">
        <f aca="false">(1-(1-'3. The decision'!$B$9*MIN(1,('3. The decision'!$B$10/(52/12)))))+(1-(1-'3. The decision'!$B$9*MAX(0,MIN(1,('3. The decision'!$B$10/(52/12))-1))))*(1-'3. The decision'!$B$14)+(1-(1-'3. The decision'!$B$9*MAX(0,MIN(1,('3. The decision'!$B$10/(52/12))-2))))*(1-'3. The decision'!$B$14)*(1-'3. The decision'!$B$27)</f>
        <v>0.884576923076923</v>
      </c>
      <c r="H596" s="15" t="n">
        <f aca="false">IF(A596&lt;=0,0,MAX(0,ROUNDUP(LN('3. The decision'!$B$13)/LN(1+A596)-0.000000000001,0)-1))</f>
        <v>15</v>
      </c>
      <c r="I596" s="15" t="n">
        <f aca="false">IF(A596&lt;=0,1/(1-C596),(1+A596)*(1-(C596*(1+A596))^H596)/(1-C596*(1+A596))+'3. The decision'!$B$13*C596^H596/(1-C596))</f>
        <v>3.25060186418104</v>
      </c>
      <c r="J596" s="17" t="n">
        <f aca="false">F596+E596*D596/(1-C596)</f>
        <v>14.636352596977</v>
      </c>
      <c r="K596" s="15" t="n">
        <f aca="false">F596-G596+E596*D596*I596</f>
        <v>14.8074606880985</v>
      </c>
      <c r="L596" s="17" t="n">
        <f aca="false">'3. The decision'!$B$8*'3. The decision'!$B$5/J596</f>
        <v>32.0872291705379</v>
      </c>
      <c r="M596" s="31" t="n">
        <f aca="false">L596*'3. The decision'!$B$6*'3. The decision'!$B$7*K596</f>
        <v>911311.351814124</v>
      </c>
      <c r="N596" s="31" t="n">
        <f aca="false">M596*(1+'3. The decision'!$B$19+'3. The decision'!$B$20+'3. The decision'!$B$22)</f>
        <v>1007910.35510642</v>
      </c>
      <c r="O596" s="31" t="n">
        <f aca="false">'3. The decision'!$B$17+'3. The decision'!$B$18*L596*12+M596*('3. The decision'!$B$20*(1-'3. The decision'!$B$21)+'3. The decision'!$B$23)+N596*('3. The decision'!$B$24+'3. The decision'!$B$25)</f>
        <v>574588.481911374</v>
      </c>
      <c r="P596" s="31" t="n">
        <f aca="false">N596-O596</f>
        <v>433321.873195046</v>
      </c>
    </row>
    <row r="597" customFormat="false" ht="15" hidden="false" customHeight="false" outlineLevel="0" collapsed="false">
      <c r="A597" s="27" t="n">
        <f aca="false">14*0.0025</f>
        <v>0.035</v>
      </c>
      <c r="B597" s="27" t="n">
        <f aca="false">IF(A597&gt;0,MIN('3. The decision'!$B$15,'3. The decision'!$B$29*(A597/'3. The decision'!$B$28)^$B$580),0)</f>
        <v>0.0013997044579512</v>
      </c>
      <c r="C597" s="15" t="n">
        <f aca="false">(1-'3. The decision'!$B$27-B597)*(1-'3. The decision'!$B$27)^('3. The decision'!$B$12-1)</f>
        <v>0.66074556549172</v>
      </c>
      <c r="D597" s="15" t="n">
        <f aca="false">1+(1-'3. The decision'!$B$27-B597)*(1-(1-'3. The decision'!$B$27)^('3. The decision'!$B$12-1))/'3. The decision'!$B$27</f>
        <v>5.08052225639592</v>
      </c>
      <c r="E597" s="15" t="n">
        <f aca="false">(1-'3. The decision'!$B$14)*(1-'3. The decision'!$B$27)^('3. The decision'!$B$11-1)</f>
        <v>0.690273454655712</v>
      </c>
      <c r="F597" s="15" t="n">
        <f aca="false">1+(1-'3. The decision'!$B$14)*(1-(1-'3. The decision'!$B$27)^('3. The decision'!$B$11-1))/'3. The decision'!$B$27</f>
        <v>4.28912098262087</v>
      </c>
      <c r="G597" s="15" t="n">
        <f aca="false">(1-(1-'3. The decision'!$B$9*MIN(1,('3. The decision'!$B$10/(52/12)))))+(1-(1-'3. The decision'!$B$9*MAX(0,MIN(1,('3. The decision'!$B$10/(52/12))-1))))*(1-'3. The decision'!$B$14)+(1-(1-'3. The decision'!$B$9*MAX(0,MIN(1,('3. The decision'!$B$10/(52/12))-2))))*(1-'3. The decision'!$B$14)*(1-'3. The decision'!$B$27)</f>
        <v>0.884576923076923</v>
      </c>
      <c r="H597" s="15" t="n">
        <f aca="false">IF(A597&lt;=0,0,MAX(0,ROUNDUP(LN('3. The decision'!$B$13)/LN(1+A597)-0.000000000001,0)-1))</f>
        <v>14</v>
      </c>
      <c r="I597" s="15" t="n">
        <f aca="false">IF(A597&lt;=0,1/(1-C597),(1+A597)*(1-(C597*(1+A597))^H597)/(1-C597*(1+A597))+'3. The decision'!$B$13*C597^H597/(1-C597))</f>
        <v>3.27240132936768</v>
      </c>
      <c r="J597" s="17" t="n">
        <f aca="false">F597+E597*D597/(1-C597)</f>
        <v>14.6263466535562</v>
      </c>
      <c r="K597" s="15" t="n">
        <f aca="false">F597-G597+E597*D597*I597</f>
        <v>14.8806907541929</v>
      </c>
      <c r="L597" s="17" t="n">
        <f aca="false">'3. The decision'!$B$8*'3. The decision'!$B$5/J597</f>
        <v>32.1091801749286</v>
      </c>
      <c r="M597" s="31" t="n">
        <f aca="false">L597*'3. The decision'!$B$6*'3. The decision'!$B$7*K597</f>
        <v>916444.742890149</v>
      </c>
      <c r="N597" s="31" t="n">
        <f aca="false">M597*(1+'3. The decision'!$B$19+'3. The decision'!$B$20+'3. The decision'!$B$22)</f>
        <v>1013587.8856365</v>
      </c>
      <c r="O597" s="31" t="n">
        <f aca="false">'3. The decision'!$B$17+'3. The decision'!$B$18*L597*12+M597*('3. The decision'!$B$20*(1-'3. The decision'!$B$21)+'3. The decision'!$B$23)+N597*('3. The decision'!$B$24+'3. The decision'!$B$25)</f>
        <v>575174.22548584</v>
      </c>
      <c r="P597" s="31" t="n">
        <f aca="false">N597-O597</f>
        <v>438413.660150665</v>
      </c>
    </row>
    <row r="598" customFormat="false" ht="15" hidden="false" customHeight="false" outlineLevel="0" collapsed="false">
      <c r="A598" s="27" t="n">
        <f aca="false">15*0.0025</f>
        <v>0.0375</v>
      </c>
      <c r="B598" s="27" t="n">
        <f aca="false">IF(A598&gt;0,MIN('3. The decision'!$B$15,'3. The decision'!$B$29*(A598/'3. The decision'!$B$28)^$B$580),0)</f>
        <v>0.00179433674134087</v>
      </c>
      <c r="C598" s="15" t="n">
        <f aca="false">(1-'3. The decision'!$B$27-B598)*(1-'3. The decision'!$B$27)^('3. The decision'!$B$12-1)</f>
        <v>0.660465819275034</v>
      </c>
      <c r="D598" s="15" t="n">
        <f aca="false">1+(1-'3. The decision'!$B$27-B598)*(1-(1-'3. The decision'!$B$27)^('3. The decision'!$B$12-1))/'3. The decision'!$B$27</f>
        <v>5.0787946463703</v>
      </c>
      <c r="E598" s="15" t="n">
        <f aca="false">(1-'3. The decision'!$B$14)*(1-'3. The decision'!$B$27)^('3. The decision'!$B$11-1)</f>
        <v>0.690273454655712</v>
      </c>
      <c r="F598" s="15" t="n">
        <f aca="false">1+(1-'3. The decision'!$B$14)*(1-(1-'3. The decision'!$B$27)^('3. The decision'!$B$11-1))/'3. The decision'!$B$27</f>
        <v>4.28912098262087</v>
      </c>
      <c r="G598" s="15" t="n">
        <f aca="false">(1-(1-'3. The decision'!$B$9*MIN(1,('3. The decision'!$B$10/(52/12)))))+(1-(1-'3. The decision'!$B$9*MAX(0,MIN(1,('3. The decision'!$B$10/(52/12))-1))))*(1-'3. The decision'!$B$14)+(1-(1-'3. The decision'!$B$9*MAX(0,MIN(1,('3. The decision'!$B$10/(52/12))-2))))*(1-'3. The decision'!$B$14)*(1-'3. The decision'!$B$27)</f>
        <v>0.884576923076923</v>
      </c>
      <c r="H598" s="15" t="n">
        <f aca="false">IF(A598&lt;=0,0,MAX(0,ROUNDUP(LN('3. The decision'!$B$13)/LN(1+A598)-0.000000000001,0)-1))</f>
        <v>13</v>
      </c>
      <c r="I598" s="15" t="n">
        <f aca="false">IF(A598&lt;=0,1/(1-C598),(1+A598)*(1-(C598*(1+A598))^H598)/(1-C598*(1+A598))+'3. The decision'!$B$13*C598^H598/(1-C598))</f>
        <v>3.29359850215766</v>
      </c>
      <c r="J598" s="17" t="n">
        <f aca="false">F598+E598*D598/(1-C598)</f>
        <v>14.6143174578374</v>
      </c>
      <c r="K598" s="15" t="n">
        <f aca="false">F598-G598+E598*D598*I598</f>
        <v>14.9511004787878</v>
      </c>
      <c r="L598" s="17" t="n">
        <f aca="false">'3. The decision'!$B$8*'3. The decision'!$B$5/J598</f>
        <v>32.1356095729356</v>
      </c>
      <c r="M598" s="31" t="n">
        <f aca="false">L598*'3. The decision'!$B$6*'3. The decision'!$B$7*K598</f>
        <v>921538.912485491</v>
      </c>
      <c r="N598" s="31" t="n">
        <f aca="false">M598*(1+'3. The decision'!$B$19+'3. The decision'!$B$20+'3. The decision'!$B$22)</f>
        <v>1019222.03720895</v>
      </c>
      <c r="O598" s="31" t="n">
        <f aca="false">'3. The decision'!$B$17+'3. The decision'!$B$18*L598*12+M598*('3. The decision'!$B$20*(1-'3. The decision'!$B$21)+'3. The decision'!$B$23)+N598*('3. The decision'!$B$24+'3. The decision'!$B$25)</f>
        <v>575762.531785848</v>
      </c>
      <c r="P598" s="31" t="n">
        <f aca="false">N598-O598</f>
        <v>443459.505423105</v>
      </c>
    </row>
    <row r="599" customFormat="false" ht="15" hidden="false" customHeight="false" outlineLevel="0" collapsed="false">
      <c r="A599" s="27" t="n">
        <f aca="false">16*0.0025</f>
        <v>0.04</v>
      </c>
      <c r="B599" s="27" t="n">
        <f aca="false">IF(A599&gt;0,MIN('3. The decision'!$B$15,'3. The decision'!$B$29*(A599/'3. The decision'!$B$28)^$B$580),0)</f>
        <v>0.00226363997560772</v>
      </c>
      <c r="C599" s="15" t="n">
        <f aca="false">(1-'3. The decision'!$B$27-B599)*(1-'3. The decision'!$B$27)^('3. The decision'!$B$12-1)</f>
        <v>0.660133140450239</v>
      </c>
      <c r="D599" s="15" t="n">
        <f aca="false">1+(1-'3. The decision'!$B$27-B599)*(1-(1-'3. The decision'!$B$27)^('3. The decision'!$B$12-1))/'3. The decision'!$B$27</f>
        <v>5.07674014397224</v>
      </c>
      <c r="E599" s="15" t="n">
        <f aca="false">(1-'3. The decision'!$B$14)*(1-'3. The decision'!$B$27)^('3. The decision'!$B$11-1)</f>
        <v>0.690273454655712</v>
      </c>
      <c r="F599" s="15" t="n">
        <f aca="false">1+(1-'3. The decision'!$B$14)*(1-(1-'3. The decision'!$B$27)^('3. The decision'!$B$11-1))/'3. The decision'!$B$27</f>
        <v>4.28912098262087</v>
      </c>
      <c r="G599" s="15" t="n">
        <f aca="false">(1-(1-'3. The decision'!$B$9*MIN(1,('3. The decision'!$B$10/(52/12)))))+(1-(1-'3. The decision'!$B$9*MAX(0,MIN(1,('3. The decision'!$B$10/(52/12))-1))))*(1-'3. The decision'!$B$14)+(1-(1-'3. The decision'!$B$9*MAX(0,MIN(1,('3. The decision'!$B$10/(52/12))-2))))*(1-'3. The decision'!$B$14)*(1-'3. The decision'!$B$27)</f>
        <v>0.884576923076923</v>
      </c>
      <c r="H599" s="15" t="n">
        <f aca="false">IF(A599&lt;=0,0,MAX(0,ROUNDUP(LN('3. The decision'!$B$13)/LN(1+A599)-0.000000000001,0)-1))</f>
        <v>12</v>
      </c>
      <c r="I599" s="15" t="n">
        <f aca="false">IF(A599&lt;=0,1/(1-C599),(1+A599)*(1-(C599*(1+A599))^H599)/(1-C599*(1+A599))+'3. The decision'!$B$13*C599^H599/(1-C599))</f>
        <v>3.31405699099134</v>
      </c>
      <c r="J599" s="17" t="n">
        <f aca="false">F599+E599*D599/(1-C599)</f>
        <v>14.6000379170093</v>
      </c>
      <c r="K599" s="15" t="n">
        <f aca="false">F599-G599+E599*D599*I599</f>
        <v>15.018123080679</v>
      </c>
      <c r="L599" s="17" t="n">
        <f aca="false">'3. The decision'!$B$8*'3. The decision'!$B$5/J599</f>
        <v>32.1670397480859</v>
      </c>
      <c r="M599" s="31" t="n">
        <f aca="false">L599*'3. The decision'!$B$6*'3. The decision'!$B$7*K599</f>
        <v>926575.325183732</v>
      </c>
      <c r="N599" s="31" t="n">
        <f aca="false">M599*(1+'3. The decision'!$B$19+'3. The decision'!$B$20+'3. The decision'!$B$22)</f>
        <v>1024792.30965321</v>
      </c>
      <c r="O599" s="31" t="n">
        <f aca="false">'3. The decision'!$B$17+'3. The decision'!$B$18*L599*12+M599*('3. The decision'!$B$20*(1-'3. The decision'!$B$21)+'3. The decision'!$B$23)+N599*('3. The decision'!$B$24+'3. The decision'!$B$25)</f>
        <v>576352.197223639</v>
      </c>
      <c r="P599" s="31" t="n">
        <f aca="false">N599-O599</f>
        <v>448440.112429569</v>
      </c>
    </row>
    <row r="600" customFormat="false" ht="15" hidden="false" customHeight="false" outlineLevel="0" collapsed="false">
      <c r="A600" s="27" t="n">
        <f aca="false">17*0.0025</f>
        <v>0.0425</v>
      </c>
      <c r="B600" s="27" t="n">
        <f aca="false">IF(A600&gt;0,MIN('3. The decision'!$B$15,'3. The decision'!$B$29*(A600/'3. The decision'!$B$28)^$B$580),0)</f>
        <v>0.0028157334122249</v>
      </c>
      <c r="C600" s="15" t="n">
        <f aca="false">(1-'3. The decision'!$B$27-B600)*(1-'3. The decision'!$B$27)^('3. The decision'!$B$12-1)</f>
        <v>0.659741773457087</v>
      </c>
      <c r="D600" s="15" t="n">
        <f aca="false">1+(1-'3. The decision'!$B$27-B600)*(1-(1-'3. The decision'!$B$27)^('3. The decision'!$B$12-1))/'3. The decision'!$B$27</f>
        <v>5.07432320497275</v>
      </c>
      <c r="E600" s="15" t="n">
        <f aca="false">(1-'3. The decision'!$B$14)*(1-'3. The decision'!$B$27)^('3. The decision'!$B$11-1)</f>
        <v>0.690273454655712</v>
      </c>
      <c r="F600" s="15" t="n">
        <f aca="false">1+(1-'3. The decision'!$B$14)*(1-(1-'3. The decision'!$B$27)^('3. The decision'!$B$11-1))/'3. The decision'!$B$27</f>
        <v>4.28912098262087</v>
      </c>
      <c r="G600" s="15" t="n">
        <f aca="false">(1-(1-'3. The decision'!$B$9*MIN(1,('3. The decision'!$B$10/(52/12)))))+(1-(1-'3. The decision'!$B$9*MAX(0,MIN(1,('3. The decision'!$B$10/(52/12))-1))))*(1-'3. The decision'!$B$14)+(1-(1-'3. The decision'!$B$9*MAX(0,MIN(1,('3. The decision'!$B$10/(52/12))-2))))*(1-'3. The decision'!$B$14)*(1-'3. The decision'!$B$27)</f>
        <v>0.884576923076923</v>
      </c>
      <c r="H600" s="15" t="n">
        <f aca="false">IF(A600&lt;=0,0,MAX(0,ROUNDUP(LN('3. The decision'!$B$13)/LN(1+A600)-0.000000000001,0)-1))</f>
        <v>11</v>
      </c>
      <c r="I600" s="15" t="n">
        <f aca="false">IF(A600&lt;=0,1/(1-C600),(1+A600)*(1-(C600*(1+A600))^H600)/(1-C600*(1+A600))+'3. The decision'!$B$13*C600^H600/(1-C600))</f>
        <v>3.33367474633585</v>
      </c>
      <c r="J600" s="17" t="n">
        <f aca="false">F600+E600*D600/(1-C600)</f>
        <v>14.583275055908</v>
      </c>
      <c r="K600" s="15" t="n">
        <f aca="false">F600-G600+E600*D600*I600</f>
        <v>15.0813086126206</v>
      </c>
      <c r="L600" s="17" t="n">
        <f aca="false">'3. The decision'!$B$8*'3. The decision'!$B$5/J600</f>
        <v>32.2040144068831</v>
      </c>
      <c r="M600" s="31" t="n">
        <f aca="false">L600*'3. The decision'!$B$6*'3. The decision'!$B$7*K600</f>
        <v>931543.232503301</v>
      </c>
      <c r="N600" s="31" t="n">
        <f aca="false">M600*(1+'3. The decision'!$B$19+'3. The decision'!$B$20+'3. The decision'!$B$22)</f>
        <v>1030286.81514865</v>
      </c>
      <c r="O600" s="31" t="n">
        <f aca="false">'3. The decision'!$B$17+'3. The decision'!$B$18*L600*12+M600*('3. The decision'!$B$20*(1-'3. The decision'!$B$21)+'3. The decision'!$B$23)+N600*('3. The decision'!$B$24+'3. The decision'!$B$25)</f>
        <v>576942.888596626</v>
      </c>
      <c r="P600" s="31" t="n">
        <f aca="false">N600-O600</f>
        <v>453343.926552025</v>
      </c>
    </row>
    <row r="601" customFormat="false" ht="15" hidden="false" customHeight="false" outlineLevel="0" collapsed="false">
      <c r="A601" s="27" t="n">
        <f aca="false">18*0.0025</f>
        <v>0.045</v>
      </c>
      <c r="B601" s="27" t="n">
        <f aca="false">IF(A601&gt;0,MIN('3. The decision'!$B$15,'3. The decision'!$B$29*(A601/'3. The decision'!$B$28)^$B$580),0)</f>
        <v>0.00345904678235384</v>
      </c>
      <c r="C601" s="15" t="n">
        <f aca="false">(1-'3. The decision'!$B$27-B601)*(1-'3. The decision'!$B$27)^('3. The decision'!$B$12-1)</f>
        <v>0.659285742643056</v>
      </c>
      <c r="D601" s="15" t="n">
        <f aca="false">1+(1-'3. The decision'!$B$27-B601)*(1-(1-'3. The decision'!$B$27)^('3. The decision'!$B$12-1))/'3. The decision'!$B$27</f>
        <v>5.07150692593368</v>
      </c>
      <c r="E601" s="15" t="n">
        <f aca="false">(1-'3. The decision'!$B$14)*(1-'3. The decision'!$B$27)^('3. The decision'!$B$11-1)</f>
        <v>0.690273454655712</v>
      </c>
      <c r="F601" s="15" t="n">
        <f aca="false">1+(1-'3. The decision'!$B$14)*(1-(1-'3. The decision'!$B$27)^('3. The decision'!$B$11-1))/'3. The decision'!$B$27</f>
        <v>4.28912098262087</v>
      </c>
      <c r="G601" s="15" t="n">
        <f aca="false">(1-(1-'3. The decision'!$B$9*MIN(1,('3. The decision'!$B$10/(52/12)))))+(1-(1-'3. The decision'!$B$9*MAX(0,MIN(1,('3. The decision'!$B$10/(52/12))-1))))*(1-'3. The decision'!$B$14)+(1-(1-'3. The decision'!$B$9*MAX(0,MIN(1,('3. The decision'!$B$10/(52/12))-2))))*(1-'3. The decision'!$B$14)*(1-'3. The decision'!$B$27)</f>
        <v>0.884576923076923</v>
      </c>
      <c r="H601" s="15" t="n">
        <f aca="false">IF(A601&lt;=0,0,MAX(0,ROUNDUP(LN('3. The decision'!$B$13)/LN(1+A601)-0.000000000001,0)-1))</f>
        <v>10</v>
      </c>
      <c r="I601" s="15" t="n">
        <f aca="false">IF(A601&lt;=0,1/(1-C601),(1+A601)*(1-(C601*(1+A601))^H601)/(1-C601*(1+A601))+'3. The decision'!$B$13*C601^H601/(1-C601))</f>
        <v>3.35244913318281</v>
      </c>
      <c r="J601" s="17" t="n">
        <f aca="false">F601+E601*D601/(1-C601)</f>
        <v>14.5637911218488</v>
      </c>
      <c r="K601" s="15" t="n">
        <f aca="false">F601-G601+E601*D601*I601</f>
        <v>15.1405519355888</v>
      </c>
      <c r="L601" s="17" t="n">
        <f aca="false">'3. The decision'!$B$8*'3. The decision'!$B$5/J601</f>
        <v>32.2470980303638</v>
      </c>
      <c r="M601" s="31" t="n">
        <f aca="false">L601*'3. The decision'!$B$6*'3. The decision'!$B$7*K601</f>
        <v>936453.72360537</v>
      </c>
      <c r="N601" s="31" t="n">
        <f aca="false">M601*(1+'3. The decision'!$B$19+'3. The decision'!$B$20+'3. The decision'!$B$22)</f>
        <v>1035717.81830754</v>
      </c>
      <c r="O601" s="31" t="n">
        <f aca="false">'3. The decision'!$B$17+'3. The decision'!$B$18*L601*12+M601*('3. The decision'!$B$20*(1-'3. The decision'!$B$21)+'3. The decision'!$B$23)+N601*('3. The decision'!$B$24+'3. The decision'!$B$25)</f>
        <v>577536.654492134</v>
      </c>
      <c r="P601" s="31" t="n">
        <f aca="false">N601-O601</f>
        <v>458181.163815405</v>
      </c>
    </row>
    <row r="602" customFormat="false" ht="15" hidden="false" customHeight="false" outlineLevel="0" collapsed="false">
      <c r="A602" s="27" t="n">
        <f aca="false">19*0.0025</f>
        <v>0.0475</v>
      </c>
      <c r="B602" s="27" t="n">
        <f aca="false">IF(A602&gt;0,MIN('3. The decision'!$B$15,'3. The decision'!$B$29*(A602/'3. The decision'!$B$28)^$B$580),0)</f>
        <v>0.00420231284564657</v>
      </c>
      <c r="C602" s="15" t="n">
        <f aca="false">(1-'3. The decision'!$B$27-B602)*(1-'3. The decision'!$B$27)^('3. The decision'!$B$12-1)</f>
        <v>0.658758857545337</v>
      </c>
      <c r="D602" s="15" t="n">
        <f aca="false">1+(1-'3. The decision'!$B$27-B602)*(1-(1-'3. The decision'!$B$27)^('3. The decision'!$B$12-1))/'3. The decision'!$B$27</f>
        <v>5.06825307682732</v>
      </c>
      <c r="E602" s="15" t="n">
        <f aca="false">(1-'3. The decision'!$B$14)*(1-'3. The decision'!$B$27)^('3. The decision'!$B$11-1)</f>
        <v>0.690273454655712</v>
      </c>
      <c r="F602" s="15" t="n">
        <f aca="false">1+(1-'3. The decision'!$B$14)*(1-(1-'3. The decision'!$B$27)^('3. The decision'!$B$11-1))/'3. The decision'!$B$27</f>
        <v>4.28912098262087</v>
      </c>
      <c r="G602" s="15" t="n">
        <f aca="false">(1-(1-'3. The decision'!$B$9*MIN(1,('3. The decision'!$B$10/(52/12)))))+(1-(1-'3. The decision'!$B$9*MAX(0,MIN(1,('3. The decision'!$B$10/(52/12))-1))))*(1-'3. The decision'!$B$14)+(1-(1-'3. The decision'!$B$9*MAX(0,MIN(1,('3. The decision'!$B$10/(52/12))-2))))*(1-'3. The decision'!$B$14)*(1-'3. The decision'!$B$27)</f>
        <v>0.884576923076923</v>
      </c>
      <c r="H602" s="15" t="n">
        <f aca="false">IF(A602&lt;=0,0,MAX(0,ROUNDUP(LN('3. The decision'!$B$13)/LN(1+A602)-0.000000000001,0)-1))</f>
        <v>10</v>
      </c>
      <c r="I602" s="15" t="n">
        <f aca="false">IF(A602&lt;=0,1/(1-C602),(1+A602)*(1-(C602*(1+A602))^H602)/(1-C602*(1+A602))+'3. The decision'!$B$13*C602^H602/(1-C602))</f>
        <v>3.36991199180389</v>
      </c>
      <c r="J602" s="17" t="n">
        <f aca="false">F602+E602*D602/(1-C602)</f>
        <v>14.5413447773406</v>
      </c>
      <c r="K602" s="15" t="n">
        <f aca="false">F602-G602+E602*D602*I602</f>
        <v>15.1941156531659</v>
      </c>
      <c r="L602" s="17" t="n">
        <f aca="false">'3. The decision'!$B$8*'3. The decision'!$B$5/J602</f>
        <v>32.2968753709649</v>
      </c>
      <c r="M602" s="31" t="n">
        <f aca="false">L602*'3. The decision'!$B$6*'3. The decision'!$B$7*K602</f>
        <v>941217.321817375</v>
      </c>
      <c r="N602" s="31" t="n">
        <f aca="false">M602*(1+'3. The decision'!$B$19+'3. The decision'!$B$20+'3. The decision'!$B$22)</f>
        <v>1040986.35793002</v>
      </c>
      <c r="O602" s="31" t="n">
        <f aca="false">'3. The decision'!$B$17+'3. The decision'!$B$18*L602*12+M602*('3. The decision'!$B$20*(1-'3. The decision'!$B$21)+'3. The decision'!$B$23)+N602*('3. The decision'!$B$24+'3. The decision'!$B$25)</f>
        <v>578124.750606274</v>
      </c>
      <c r="P602" s="31" t="n">
        <f aca="false">N602-O602</f>
        <v>462861.607323742</v>
      </c>
    </row>
    <row r="603" customFormat="false" ht="15" hidden="false" customHeight="false" outlineLevel="0" collapsed="false">
      <c r="A603" s="27" t="n">
        <f aca="false">20*0.0025</f>
        <v>0.05</v>
      </c>
      <c r="B603" s="27" t="n">
        <f aca="false">IF(A603&gt;0,MIN('3. The decision'!$B$15,'3. The decision'!$B$29*(A603/'3. The decision'!$B$28)^$B$580),0)</f>
        <v>0.0050545605302249</v>
      </c>
      <c r="C603" s="15" t="n">
        <f aca="false">(1-'3. The decision'!$B$27-B603)*(1-'3. The decision'!$B$27)^('3. The decision'!$B$12-1)</f>
        <v>0.658154717753751</v>
      </c>
      <c r="D603" s="15" t="n">
        <f aca="false">1+(1-'3. The decision'!$B$27-B603)*(1-(1-'3. The decision'!$B$27)^('3. The decision'!$B$12-1))/'3. The decision'!$B$27</f>
        <v>5.06452213106803</v>
      </c>
      <c r="E603" s="15" t="n">
        <f aca="false">(1-'3. The decision'!$B$14)*(1-'3. The decision'!$B$27)^('3. The decision'!$B$11-1)</f>
        <v>0.690273454655712</v>
      </c>
      <c r="F603" s="15" t="n">
        <f aca="false">1+(1-'3. The decision'!$B$14)*(1-(1-'3. The decision'!$B$27)^('3. The decision'!$B$11-1))/'3. The decision'!$B$27</f>
        <v>4.28912098262087</v>
      </c>
      <c r="G603" s="15" t="n">
        <f aca="false">(1-(1-'3. The decision'!$B$9*MIN(1,('3. The decision'!$B$10/(52/12)))))+(1-(1-'3. The decision'!$B$9*MAX(0,MIN(1,('3. The decision'!$B$10/(52/12))-1))))*(1-'3. The decision'!$B$14)+(1-(1-'3. The decision'!$B$9*MAX(0,MIN(1,('3. The decision'!$B$10/(52/12))-2))))*(1-'3. The decision'!$B$14)*(1-'3. The decision'!$B$27)</f>
        <v>0.884576923076923</v>
      </c>
      <c r="H603" s="15" t="n">
        <f aca="false">IF(A603&lt;=0,0,MAX(0,ROUNDUP(LN('3. The decision'!$B$13)/LN(1+A603)-0.000000000001,0)-1))</f>
        <v>9</v>
      </c>
      <c r="I603" s="15" t="n">
        <f aca="false">IF(A603&lt;=0,1/(1-C603),(1+A603)*(1-(C603*(1+A603))^H603)/(1-C603*(1+A603))+'3. The decision'!$B$13*C603^H603/(1-C603))</f>
        <v>3.38638132626631</v>
      </c>
      <c r="J603" s="17" t="n">
        <f aca="false">F603+E603*D603/(1-C603)</f>
        <v>14.5156923853947</v>
      </c>
      <c r="K603" s="15" t="n">
        <f aca="false">F603-G603+E603*D603*I603</f>
        <v>15.2430121052052</v>
      </c>
      <c r="L603" s="17" t="n">
        <f aca="false">'3. The decision'!$B$8*'3. The decision'!$B$5/J603</f>
        <v>32.3539509884171</v>
      </c>
      <c r="M603" s="31" t="n">
        <f aca="false">L603*'3. The decision'!$B$6*'3. The decision'!$B$7*K603</f>
        <v>945914.958855295</v>
      </c>
      <c r="N603" s="31" t="n">
        <f aca="false">M603*(1+'3. The decision'!$B$19+'3. The decision'!$B$20+'3. The decision'!$B$22)</f>
        <v>1046181.94449396</v>
      </c>
      <c r="O603" s="31" t="n">
        <f aca="false">'3. The decision'!$B$17+'3. The decision'!$B$18*L603*12+M603*('3. The decision'!$B$20*(1-'3. The decision'!$B$21)+'3. The decision'!$B$23)+N603*('3. The decision'!$B$24+'3. The decision'!$B$25)</f>
        <v>578716.803183523</v>
      </c>
      <c r="P603" s="31" t="n">
        <f aca="false">N603-O603</f>
        <v>467465.141310433</v>
      </c>
    </row>
    <row r="604" customFormat="false" ht="15" hidden="false" customHeight="false" outlineLevel="0" collapsed="false">
      <c r="A604" s="27" t="n">
        <f aca="false">21*0.0025</f>
        <v>0.0525</v>
      </c>
      <c r="B604" s="27" t="n">
        <f aca="false">IF(A604&gt;0,MIN('3. The decision'!$B$15,'3. The decision'!$B$29*(A604/'3. The decision'!$B$28)^$B$580),0)</f>
        <v>0.00602510858765809</v>
      </c>
      <c r="C604" s="15" t="n">
        <f aca="false">(1-'3. The decision'!$B$27-B604)*(1-'3. The decision'!$B$27)^('3. The decision'!$B$12-1)</f>
        <v>0.657466717408603</v>
      </c>
      <c r="D604" s="15" t="n">
        <f aca="false">1+(1-'3. The decision'!$B$27-B604)*(1-(1-'3. The decision'!$B$27)^('3. The decision'!$B$12-1))/'3. The decision'!$B$27</f>
        <v>5.06027329328931</v>
      </c>
      <c r="E604" s="15" t="n">
        <f aca="false">(1-'3. The decision'!$B$14)*(1-'3. The decision'!$B$27)^('3. The decision'!$B$11-1)</f>
        <v>0.690273454655712</v>
      </c>
      <c r="F604" s="15" t="n">
        <f aca="false">1+(1-'3. The decision'!$B$14)*(1-(1-'3. The decision'!$B$27)^('3. The decision'!$B$11-1))/'3. The decision'!$B$27</f>
        <v>4.28912098262087</v>
      </c>
      <c r="G604" s="15" t="n">
        <f aca="false">(1-(1-'3. The decision'!$B$9*MIN(1,('3. The decision'!$B$10/(52/12)))))+(1-(1-'3. The decision'!$B$9*MAX(0,MIN(1,('3. The decision'!$B$10/(52/12))-1))))*(1-'3. The decision'!$B$14)+(1-(1-'3. The decision'!$B$9*MAX(0,MIN(1,('3. The decision'!$B$10/(52/12))-2))))*(1-'3. The decision'!$B$14)*(1-'3. The decision'!$B$27)</f>
        <v>0.884576923076923</v>
      </c>
      <c r="H604" s="15" t="n">
        <f aca="false">IF(A604&lt;=0,0,MAX(0,ROUNDUP(LN('3. The decision'!$B$13)/LN(1+A604)-0.000000000001,0)-1))</f>
        <v>9</v>
      </c>
      <c r="I604" s="15" t="n">
        <f aca="false">IF(A604&lt;=0,1/(1-C604),(1+A604)*(1-(C604*(1+A604))^H604)/(1-C604*(1+A604))+'3. The decision'!$B$13*C604^H604/(1-C604))</f>
        <v>3.40127726190806</v>
      </c>
      <c r="J604" s="17" t="n">
        <f aca="false">F604+E604*D604/(1-C604)</f>
        <v>14.4865893898809</v>
      </c>
      <c r="K604" s="15" t="n">
        <f aca="false">F604-G604+E604*D604*I604</f>
        <v>15.2851114140908</v>
      </c>
      <c r="L604" s="17" t="n">
        <f aca="false">'3. The decision'!$B$8*'3. The decision'!$B$5/J604</f>
        <v>32.4189488195234</v>
      </c>
      <c r="M604" s="31" t="n">
        <f aca="false">L604*'3. The decision'!$B$6*'3. The decision'!$B$7*K604</f>
        <v>950433.013481851</v>
      </c>
      <c r="N604" s="31" t="n">
        <f aca="false">M604*(1+'3. The decision'!$B$19+'3. The decision'!$B$20+'3. The decision'!$B$22)</f>
        <v>1051178.91291093</v>
      </c>
      <c r="O604" s="31" t="n">
        <f aca="false">'3. The decision'!$B$17+'3. The decision'!$B$18*L604*12+M604*('3. The decision'!$B$20*(1-'3. The decision'!$B$21)+'3. The decision'!$B$23)+N604*('3. The decision'!$B$24+'3. The decision'!$B$25)</f>
        <v>579301.528670674</v>
      </c>
      <c r="P604" s="31" t="n">
        <f aca="false">N604-O604</f>
        <v>471877.384240253</v>
      </c>
    </row>
    <row r="605" customFormat="false" ht="15" hidden="false" customHeight="false" outlineLevel="0" collapsed="false">
      <c r="A605" s="27" t="n">
        <f aca="false">22*0.0025</f>
        <v>0.055</v>
      </c>
      <c r="B605" s="27" t="n">
        <f aca="false">IF(A605&gt;0,MIN('3. The decision'!$B$15,'3. The decision'!$B$29*(A605/'3. The decision'!$B$28)^$B$580),0)</f>
        <v>0.00712355969997136</v>
      </c>
      <c r="C605" s="15" t="n">
        <f aca="false">(1-'3. The decision'!$B$27-B605)*(1-'3. The decision'!$B$27)^('3. The decision'!$B$12-1)</f>
        <v>0.65668804937809</v>
      </c>
      <c r="D605" s="15" t="n">
        <f aca="false">1+(1-'3. The decision'!$B$27-B605)*(1-(1-'3. The decision'!$B$27)^('3. The decision'!$B$12-1))/'3. The decision'!$B$27</f>
        <v>5.05546452514194</v>
      </c>
      <c r="E605" s="15" t="n">
        <f aca="false">(1-'3. The decision'!$B$14)*(1-'3. The decision'!$B$27)^('3. The decision'!$B$11-1)</f>
        <v>0.690273454655712</v>
      </c>
      <c r="F605" s="15" t="n">
        <f aca="false">1+(1-'3. The decision'!$B$14)*(1-(1-'3. The decision'!$B$27)^('3. The decision'!$B$11-1))/'3. The decision'!$B$27</f>
        <v>4.28912098262087</v>
      </c>
      <c r="G605" s="15" t="n">
        <f aca="false">(1-(1-'3. The decision'!$B$9*MIN(1,('3. The decision'!$B$10/(52/12)))))+(1-(1-'3. The decision'!$B$9*MAX(0,MIN(1,('3. The decision'!$B$10/(52/12))-1))))*(1-'3. The decision'!$B$14)+(1-(1-'3. The decision'!$B$9*MAX(0,MIN(1,('3. The decision'!$B$10/(52/12))-2))))*(1-'3. The decision'!$B$14)*(1-'3. The decision'!$B$27)</f>
        <v>0.884576923076923</v>
      </c>
      <c r="H605" s="15" t="n">
        <f aca="false">IF(A605&lt;=0,0,MAX(0,ROUNDUP(LN('3. The decision'!$B$13)/LN(1+A605)-0.000000000001,0)-1))</f>
        <v>9</v>
      </c>
      <c r="I605" s="15" t="n">
        <f aca="false">IF(A605&lt;=0,1/(1-C605),(1+A605)*(1-(C605*(1+A605))^H605)/(1-C605*(1+A605))+'3. The decision'!$B$13*C605^H605/(1-C605))</f>
        <v>3.41519426746384</v>
      </c>
      <c r="J605" s="17" t="n">
        <f aca="false">F605+E605*D605/(1-C605)</f>
        <v>14.4537917910143</v>
      </c>
      <c r="K605" s="15" t="n">
        <f aca="false">F605-G605+E605*D605*I605</f>
        <v>15.3223868530556</v>
      </c>
      <c r="L605" s="17" t="n">
        <f aca="false">'3. The decision'!$B$8*'3. The decision'!$B$5/J605</f>
        <v>32.4925117775648</v>
      </c>
      <c r="M605" s="31" t="n">
        <f aca="false">L605*'3. The decision'!$B$6*'3. The decision'!$B$7*K605</f>
        <v>954912.731767791</v>
      </c>
      <c r="N605" s="31" t="n">
        <f aca="false">M605*(1+'3. The decision'!$B$19+'3. The decision'!$B$20+'3. The decision'!$B$22)</f>
        <v>1056133.48133518</v>
      </c>
      <c r="O605" s="31" t="n">
        <f aca="false">'3. The decision'!$B$17+'3. The decision'!$B$18*L605*12+M605*('3. The decision'!$B$20*(1-'3. The decision'!$B$21)+'3. The decision'!$B$23)+N605*('3. The decision'!$B$24+'3. The decision'!$B$25)</f>
        <v>579895.102864466</v>
      </c>
      <c r="P605" s="31" t="n">
        <f aca="false">N605-O605</f>
        <v>476238.378470711</v>
      </c>
    </row>
    <row r="606" customFormat="false" ht="15" hidden="false" customHeight="false" outlineLevel="0" collapsed="false">
      <c r="A606" s="27" t="n">
        <f aca="false">23*0.0025</f>
        <v>0.0575</v>
      </c>
      <c r="B606" s="27" t="n">
        <f aca="false">IF(A606&gt;0,MIN('3. The decision'!$B$15,'3. The decision'!$B$29*(A606/'3. The decision'!$B$28)^$B$580),0)</f>
        <v>0.00835979498610509</v>
      </c>
      <c r="C606" s="15" t="n">
        <f aca="false">(1-'3. The decision'!$B$27-B606)*(1-'3. The decision'!$B$27)^('3. The decision'!$B$12-1)</f>
        <v>0.655811709152554</v>
      </c>
      <c r="D606" s="15" t="n">
        <f aca="false">1+(1-'3. The decision'!$B$27-B606)*(1-(1-'3. The decision'!$B$27)^('3. The decision'!$B$12-1))/'3. The decision'!$B$27</f>
        <v>5.05005256934347</v>
      </c>
      <c r="E606" s="15" t="n">
        <f aca="false">(1-'3. The decision'!$B$14)*(1-'3. The decision'!$B$27)^('3. The decision'!$B$11-1)</f>
        <v>0.690273454655712</v>
      </c>
      <c r="F606" s="15" t="n">
        <f aca="false">1+(1-'3. The decision'!$B$14)*(1-(1-'3. The decision'!$B$27)^('3. The decision'!$B$11-1))/'3. The decision'!$B$27</f>
        <v>4.28912098262087</v>
      </c>
      <c r="G606" s="15" t="n">
        <f aca="false">(1-(1-'3. The decision'!$B$9*MIN(1,('3. The decision'!$B$10/(52/12)))))+(1-(1-'3. The decision'!$B$9*MAX(0,MIN(1,('3. The decision'!$B$10/(52/12))-1))))*(1-'3. The decision'!$B$14)+(1-(1-'3. The decision'!$B$9*MAX(0,MIN(1,('3. The decision'!$B$10/(52/12))-2))))*(1-'3. The decision'!$B$14)*(1-'3. The decision'!$B$27)</f>
        <v>0.884576923076923</v>
      </c>
      <c r="H606" s="15" t="n">
        <f aca="false">IF(A606&lt;=0,0,MAX(0,ROUNDUP(LN('3. The decision'!$B$13)/LN(1+A606)-0.000000000001,0)-1))</f>
        <v>8</v>
      </c>
      <c r="I606" s="15" t="n">
        <f aca="false">IF(A606&lt;=0,1/(1-C606),(1+A606)*(1-(C606*(1+A606))^H606)/(1-C606*(1+A606))+'3. The decision'!$B$13*C606^H606/(1-C606))</f>
        <v>3.42687387305465</v>
      </c>
      <c r="J606" s="17" t="n">
        <f aca="false">F606+E606*D606/(1-C606)</f>
        <v>14.4170577135619</v>
      </c>
      <c r="K606" s="15" t="n">
        <f aca="false">F606-G606+E606*D606*I606</f>
        <v>15.3503427497434</v>
      </c>
      <c r="L606" s="17" t="n">
        <f aca="false">'3. The decision'!$B$8*'3. The decision'!$B$5/J606</f>
        <v>32.5753013777711</v>
      </c>
      <c r="M606" s="31" t="n">
        <f aca="false">L606*'3. The decision'!$B$6*'3. The decision'!$B$7*K606</f>
        <v>959092.500665671</v>
      </c>
      <c r="N606" s="31" t="n">
        <f aca="false">M606*(1+'3. The decision'!$B$19+'3. The decision'!$B$20+'3. The decision'!$B$22)</f>
        <v>1060756.30573623</v>
      </c>
      <c r="O606" s="31" t="n">
        <f aca="false">'3. The decision'!$B$17+'3. The decision'!$B$18*L606*12+M606*('3. The decision'!$B$20*(1-'3. The decision'!$B$21)+'3. The decision'!$B$23)+N606*('3. The decision'!$B$24+'3. The decision'!$B$25)</f>
        <v>580470.371222158</v>
      </c>
      <c r="P606" s="31" t="n">
        <f aca="false">N606-O606</f>
        <v>480285.934514075</v>
      </c>
    </row>
    <row r="607" customFormat="false" ht="15" hidden="false" customHeight="false" outlineLevel="0" collapsed="false">
      <c r="A607" s="27" t="n">
        <f aca="false">24*0.0025</f>
        <v>0.06</v>
      </c>
      <c r="B607" s="27" t="n">
        <f aca="false">IF(A607&gt;0,MIN('3. The decision'!$B$15,'3. The decision'!$B$29*(A607/'3. The decision'!$B$28)^$B$580),0)</f>
        <v>0.00974396886351543</v>
      </c>
      <c r="C607" s="15" t="n">
        <f aca="false">(1-'3. The decision'!$B$27-B607)*(1-'3. The decision'!$B$27)^('3. The decision'!$B$12-1)</f>
        <v>0.654830498486982</v>
      </c>
      <c r="D607" s="15" t="n">
        <f aca="false">1+(1-'3. The decision'!$B$27-B607)*(1-(1-'3. The decision'!$B$27)^('3. The decision'!$B$12-1))/'3. The decision'!$B$27</f>
        <v>5.04399297217296</v>
      </c>
      <c r="E607" s="15" t="n">
        <f aca="false">(1-'3. The decision'!$B$14)*(1-'3. The decision'!$B$27)^('3. The decision'!$B$11-1)</f>
        <v>0.690273454655712</v>
      </c>
      <c r="F607" s="15" t="n">
        <f aca="false">1+(1-'3. The decision'!$B$14)*(1-(1-'3. The decision'!$B$27)^('3. The decision'!$B$11-1))/'3. The decision'!$B$27</f>
        <v>4.28912098262087</v>
      </c>
      <c r="G607" s="15" t="n">
        <f aca="false">(1-(1-'3. The decision'!$B$9*MIN(1,('3. The decision'!$B$10/(52/12)))))+(1-(1-'3. The decision'!$B$9*MAX(0,MIN(1,('3. The decision'!$B$10/(52/12))-1))))*(1-'3. The decision'!$B$14)+(1-(1-'3. The decision'!$B$9*MAX(0,MIN(1,('3. The decision'!$B$10/(52/12))-2))))*(1-'3. The decision'!$B$14)*(1-'3. The decision'!$B$27)</f>
        <v>0.884576923076923</v>
      </c>
      <c r="H607" s="15" t="n">
        <f aca="false">IF(A607&lt;=0,0,MAX(0,ROUNDUP(LN('3. The decision'!$B$13)/LN(1+A607)-0.000000000001,0)-1))</f>
        <v>8</v>
      </c>
      <c r="I607" s="15" t="n">
        <f aca="false">IF(A607&lt;=0,1/(1-C607),(1+A607)*(1-(C607*(1+A607))^H607)/(1-C607*(1+A607))+'3. The decision'!$B$13*C607^H607/(1-C607))</f>
        <v>3.43735363969988</v>
      </c>
      <c r="J607" s="17" t="n">
        <f aca="false">F607+E607*D607/(1-C607)</f>
        <v>14.3761490627355</v>
      </c>
      <c r="K607" s="15" t="n">
        <f aca="false">F607-G607+E607*D607*I607</f>
        <v>15.3724966580226</v>
      </c>
      <c r="L607" s="17" t="n">
        <f aca="false">'3. The decision'!$B$8*'3. The decision'!$B$5/J607</f>
        <v>32.6679973858478</v>
      </c>
      <c r="M607" s="31" t="n">
        <f aca="false">L607*'3. The decision'!$B$6*'3. The decision'!$B$7*K607</f>
        <v>963209.805805713</v>
      </c>
      <c r="N607" s="31" t="n">
        <f aca="false">M607*(1+'3. The decision'!$B$19+'3. The decision'!$B$20+'3. The decision'!$B$22)</f>
        <v>1065310.04522112</v>
      </c>
      <c r="O607" s="31" t="n">
        <f aca="false">'3. The decision'!$B$17+'3. The decision'!$B$18*L607*12+M607*('3. The decision'!$B$20*(1-'3. The decision'!$B$21)+'3. The decision'!$B$23)+N607*('3. The decision'!$B$24+'3. The decision'!$B$25)</f>
        <v>581053.923340803</v>
      </c>
      <c r="P607" s="31" t="n">
        <f aca="false">N607-O607</f>
        <v>484256.121880316</v>
      </c>
    </row>
    <row r="608" customFormat="false" ht="15" hidden="false" customHeight="false" outlineLevel="0" collapsed="false">
      <c r="A608" s="27" t="n">
        <f aca="false">25*0.0025</f>
        <v>0.0625</v>
      </c>
      <c r="B608" s="27" t="n">
        <f aca="false">IF(A608&gt;0,MIN('3. The decision'!$B$15,'3. The decision'!$B$29*(A608/'3. The decision'!$B$28)^$B$580),0)</f>
        <v>0.0112865042272672</v>
      </c>
      <c r="C608" s="15" t="n">
        <f aca="false">(1-'3. The decision'!$B$27-B608)*(1-'3. The decision'!$B$27)^('3. The decision'!$B$12-1)</f>
        <v>0.653737028818442</v>
      </c>
      <c r="D608" s="15" t="n">
        <f aca="false">1+(1-'3. The decision'!$B$27-B608)*(1-(1-'3. The decision'!$B$27)^('3. The decision'!$B$12-1))/'3. The decision'!$B$27</f>
        <v>5.03724010457581</v>
      </c>
      <c r="E608" s="15" t="n">
        <f aca="false">(1-'3. The decision'!$B$14)*(1-'3. The decision'!$B$27)^('3. The decision'!$B$11-1)</f>
        <v>0.690273454655712</v>
      </c>
      <c r="F608" s="15" t="n">
        <f aca="false">1+(1-'3. The decision'!$B$14)*(1-(1-'3. The decision'!$B$27)^('3. The decision'!$B$11-1))/'3. The decision'!$B$27</f>
        <v>4.28912098262087</v>
      </c>
      <c r="G608" s="15" t="n">
        <f aca="false">(1-(1-'3. The decision'!$B$9*MIN(1,('3. The decision'!$B$10/(52/12)))))+(1-(1-'3. The decision'!$B$9*MAX(0,MIN(1,('3. The decision'!$B$10/(52/12))-1))))*(1-'3. The decision'!$B$14)+(1-(1-'3. The decision'!$B$9*MAX(0,MIN(1,('3. The decision'!$B$10/(52/12))-2))))*(1-'3. The decision'!$B$14)*(1-'3. The decision'!$B$27)</f>
        <v>0.884576923076923</v>
      </c>
      <c r="H608" s="15" t="n">
        <f aca="false">IF(A608&lt;=0,0,MAX(0,ROUNDUP(LN('3. The decision'!$B$13)/LN(1+A608)-0.000000000001,0)-1))</f>
        <v>7</v>
      </c>
      <c r="I608" s="15" t="n">
        <f aca="false">IF(A608&lt;=0,1/(1-C608),(1+A608)*(1-(C608*(1+A608))^H608)/(1-C608*(1+A608))+'3. The decision'!$B$13*C608^H608/(1-C608))</f>
        <v>3.44635664738879</v>
      </c>
      <c r="J608" s="17" t="n">
        <f aca="false">F608+E608*D608/(1-C608)</f>
        <v>14.3308332600006</v>
      </c>
      <c r="K608" s="15" t="n">
        <f aca="false">F608-G608+E608*D608*I608</f>
        <v>15.38777815084</v>
      </c>
      <c r="L608" s="17" t="n">
        <f aca="false">'3. The decision'!$B$8*'3. The decision'!$B$5/J608</f>
        <v>32.7712974869948</v>
      </c>
      <c r="M608" s="31" t="n">
        <f aca="false">L608*'3. The decision'!$B$6*'3. The decision'!$B$7*K608</f>
        <v>967216.125449342</v>
      </c>
      <c r="N608" s="31" t="n">
        <f aca="false">M608*(1+'3. The decision'!$B$19+'3. The decision'!$B$20+'3. The decision'!$B$22)</f>
        <v>1069741.03474697</v>
      </c>
      <c r="O608" s="31" t="n">
        <f aca="false">'3. The decision'!$B$17+'3. The decision'!$B$18*L608*12+M608*('3. The decision'!$B$20*(1-'3. The decision'!$B$21)+'3. The decision'!$B$23)+N608*('3. The decision'!$B$24+'3. The decision'!$B$25)</f>
        <v>581641.593847404</v>
      </c>
      <c r="P608" s="31" t="n">
        <f aca="false">N608-O608</f>
        <v>488099.440899568</v>
      </c>
    </row>
    <row r="609" customFormat="false" ht="15" hidden="false" customHeight="false" outlineLevel="0" collapsed="false">
      <c r="A609" s="27" t="n">
        <f aca="false">26*0.0025</f>
        <v>0.065</v>
      </c>
      <c r="B609" s="27" t="n">
        <f aca="false">IF(A609&gt;0,MIN('3. The decision'!$B$15,'3. The decision'!$B$29*(A609/'3. The decision'!$B$28)^$B$580),0)</f>
        <v>0.0129980879143887</v>
      </c>
      <c r="C609" s="15" t="n">
        <f aca="false">(1-'3. The decision'!$B$27-B609)*(1-'3. The decision'!$B$27)^('3. The decision'!$B$12-1)</f>
        <v>0.652523724481299</v>
      </c>
      <c r="D609" s="15" t="n">
        <f aca="false">1+(1-'3. The decision'!$B$27-B609)*(1-(1-'3. The decision'!$B$27)^('3. The decision'!$B$12-1))/'3. The decision'!$B$27</f>
        <v>5.02974718201974</v>
      </c>
      <c r="E609" s="15" t="n">
        <f aca="false">(1-'3. The decision'!$B$14)*(1-'3. The decision'!$B$27)^('3. The decision'!$B$11-1)</f>
        <v>0.690273454655712</v>
      </c>
      <c r="F609" s="15" t="n">
        <f aca="false">1+(1-'3. The decision'!$B$14)*(1-(1-'3. The decision'!$B$27)^('3. The decision'!$B$11-1))/'3. The decision'!$B$27</f>
        <v>4.28912098262087</v>
      </c>
      <c r="G609" s="15" t="n">
        <f aca="false">(1-(1-'3. The decision'!$B$9*MIN(1,('3. The decision'!$B$10/(52/12)))))+(1-(1-'3. The decision'!$B$9*MAX(0,MIN(1,('3. The decision'!$B$10/(52/12))-1))))*(1-'3. The decision'!$B$14)+(1-(1-'3. The decision'!$B$9*MAX(0,MIN(1,('3. The decision'!$B$10/(52/12))-2))))*(1-'3. The decision'!$B$14)*(1-'3. The decision'!$B$27)</f>
        <v>0.884576923076923</v>
      </c>
      <c r="H609" s="15" t="n">
        <f aca="false">IF(A609&lt;=0,0,MAX(0,ROUNDUP(LN('3. The decision'!$B$13)/LN(1+A609)-0.000000000001,0)-1))</f>
        <v>7</v>
      </c>
      <c r="I609" s="15" t="n">
        <f aca="false">IF(A609&lt;=0,1/(1-C609),(1+A609)*(1-(C609*(1+A609))^H609)/(1-C609*(1+A609))+'3. The decision'!$B$13*C609^H609/(1-C609))</f>
        <v>3.45266249034642</v>
      </c>
      <c r="J609" s="17" t="n">
        <f aca="false">F609+E609*D609/(1-C609)</f>
        <v>14.2808850482246</v>
      </c>
      <c r="K609" s="15" t="n">
        <f aca="false">F609-G609+E609*D609*I609</f>
        <v>15.3918462859954</v>
      </c>
      <c r="L609" s="17" t="n">
        <f aca="false">'3. The decision'!$B$8*'3. The decision'!$B$5/J609</f>
        <v>32.885916973219</v>
      </c>
      <c r="M609" s="31" t="n">
        <f aca="false">L609*'3. The decision'!$B$6*'3. The decision'!$B$7*K609</f>
        <v>970855.620703177</v>
      </c>
      <c r="N609" s="31" t="n">
        <f aca="false">M609*(1+'3. The decision'!$B$19+'3. The decision'!$B$20+'3. The decision'!$B$22)</f>
        <v>1073766.31649771</v>
      </c>
      <c r="O609" s="31" t="n">
        <f aca="false">'3. The decision'!$B$17+'3. The decision'!$B$18*L609*12+M609*('3. The decision'!$B$20*(1-'3. The decision'!$B$21)+'3. The decision'!$B$23)+N609*('3. The decision'!$B$24+'3. The decision'!$B$25)</f>
        <v>582206.931116907</v>
      </c>
      <c r="P609" s="31" t="n">
        <f aca="false">N609-O609</f>
        <v>491559.385380807</v>
      </c>
    </row>
    <row r="610" customFormat="false" ht="15" hidden="false" customHeight="false" outlineLevel="0" collapsed="false">
      <c r="A610" s="27" t="n">
        <f aca="false">27*0.0025</f>
        <v>0.0675</v>
      </c>
      <c r="B610" s="27" t="n">
        <f aca="false">IF(A610&gt;0,MIN('3. The decision'!$B$15,'3. The decision'!$B$29*(A610/'3. The decision'!$B$28)^$B$580),0)</f>
        <v>0.014889666425709</v>
      </c>
      <c r="C610" s="15" t="n">
        <f aca="false">(1-'3. The decision'!$B$27-B610)*(1-'3. The decision'!$B$27)^('3. The decision'!$B$12-1)</f>
        <v>0.651182825739916</v>
      </c>
      <c r="D610" s="15" t="n">
        <f aca="false">1+(1-'3. The decision'!$B$27-B610)*(1-(1-'3. The decision'!$B$27)^('3. The decision'!$B$12-1))/'3. The decision'!$B$27</f>
        <v>5.02146628322368</v>
      </c>
      <c r="E610" s="15" t="n">
        <f aca="false">(1-'3. The decision'!$B$14)*(1-'3. The decision'!$B$27)^('3. The decision'!$B$11-1)</f>
        <v>0.690273454655712</v>
      </c>
      <c r="F610" s="15" t="n">
        <f aca="false">1+(1-'3. The decision'!$B$14)*(1-(1-'3. The decision'!$B$27)^('3. The decision'!$B$11-1))/'3. The decision'!$B$27</f>
        <v>4.28912098262087</v>
      </c>
      <c r="G610" s="15" t="n">
        <f aca="false">(1-(1-'3. The decision'!$B$9*MIN(1,('3. The decision'!$B$10/(52/12)))))+(1-(1-'3. The decision'!$B$9*MAX(0,MIN(1,('3. The decision'!$B$10/(52/12))-1))))*(1-'3. The decision'!$B$14)+(1-(1-'3. The decision'!$B$9*MAX(0,MIN(1,('3. The decision'!$B$10/(52/12))-2))))*(1-'3. The decision'!$B$14)*(1-'3. The decision'!$B$27)</f>
        <v>0.884576923076923</v>
      </c>
      <c r="H610" s="15" t="n">
        <f aca="false">IF(A610&lt;=0,0,MAX(0,ROUNDUP(LN('3. The decision'!$B$13)/LN(1+A610)-0.000000000001,0)-1))</f>
        <v>7</v>
      </c>
      <c r="I610" s="15" t="n">
        <f aca="false">IF(A610&lt;=0,1/(1-C610),(1+A610)*(1-(C610*(1+A610))^H610)/(1-C610*(1+A610))+'3. The decision'!$B$13*C610^H610/(1-C610))</f>
        <v>3.45753151510772</v>
      </c>
      <c r="J610" s="17" t="n">
        <f aca="false">F610+E610*D610/(1-C610)</f>
        <v>14.2260883527353</v>
      </c>
      <c r="K610" s="15" t="n">
        <f aca="false">F610-G610+E610*D610*I610</f>
        <v>15.3889875150395</v>
      </c>
      <c r="L610" s="17" t="n">
        <f aca="false">'3. The decision'!$B$8*'3. The decision'!$B$5/J610</f>
        <v>33.0125884470343</v>
      </c>
      <c r="M610" s="31" t="n">
        <f aca="false">L610*'3. The decision'!$B$6*'3. The decision'!$B$7*K610</f>
        <v>974414.192318695</v>
      </c>
      <c r="N610" s="31" t="n">
        <f aca="false">M610*(1+'3. The decision'!$B$19+'3. The decision'!$B$20+'3. The decision'!$B$22)</f>
        <v>1077702.09670448</v>
      </c>
      <c r="O610" s="31" t="n">
        <f aca="false">'3. The decision'!$B$17+'3. The decision'!$B$18*L610*12+M610*('3. The decision'!$B$20*(1-'3. The decision'!$B$21)+'3. The decision'!$B$23)+N610*('3. The decision'!$B$24+'3. The decision'!$B$25)</f>
        <v>582781.81555953</v>
      </c>
      <c r="P610" s="31" t="n">
        <f aca="false">N610-O610</f>
        <v>494920.281144946</v>
      </c>
    </row>
    <row r="611" customFormat="false" ht="15" hidden="false" customHeight="false" outlineLevel="0" collapsed="false">
      <c r="A611" s="27" t="n">
        <f aca="false">28*0.0025</f>
        <v>0.07</v>
      </c>
      <c r="B611" s="27" t="n">
        <f aca="false">IF(A611&gt;0,MIN('3. The decision'!$B$15,'3. The decision'!$B$29*(A611/'3. The decision'!$B$28)^$B$580),0)</f>
        <v>0.0169724418810807</v>
      </c>
      <c r="C611" s="15" t="n">
        <f aca="false">(1-'3. The decision'!$B$27-B611)*(1-'3. The decision'!$B$27)^('3. The decision'!$B$12-1)</f>
        <v>0.649706391655909</v>
      </c>
      <c r="D611" s="15" t="n">
        <f aca="false">1+(1-'3. The decision'!$B$27-B611)*(1-(1-'3. The decision'!$B$27)^('3. The decision'!$B$12-1))/'3. The decision'!$B$27</f>
        <v>5.01234836786482</v>
      </c>
      <c r="E611" s="15" t="n">
        <f aca="false">(1-'3. The decision'!$B$14)*(1-'3. The decision'!$B$27)^('3. The decision'!$B$11-1)</f>
        <v>0.690273454655712</v>
      </c>
      <c r="F611" s="15" t="n">
        <f aca="false">1+(1-'3. The decision'!$B$14)*(1-(1-'3. The decision'!$B$27)^('3. The decision'!$B$11-1))/'3. The decision'!$B$27</f>
        <v>4.28912098262087</v>
      </c>
      <c r="G611" s="15" t="n">
        <f aca="false">(1-(1-'3. The decision'!$B$9*MIN(1,('3. The decision'!$B$10/(52/12)))))+(1-(1-'3. The decision'!$B$9*MAX(0,MIN(1,('3. The decision'!$B$10/(52/12))-1))))*(1-'3. The decision'!$B$14)+(1-(1-'3. The decision'!$B$9*MAX(0,MIN(1,('3. The decision'!$B$10/(52/12))-2))))*(1-'3. The decision'!$B$14)*(1-'3. The decision'!$B$27)</f>
        <v>0.884576923076923</v>
      </c>
      <c r="H611" s="15" t="n">
        <f aca="false">IF(A611&lt;=0,0,MAX(0,ROUNDUP(LN('3. The decision'!$B$13)/LN(1+A611)-0.000000000001,0)-1))</f>
        <v>7</v>
      </c>
      <c r="I611" s="15" t="n">
        <f aca="false">IF(A611&lt;=0,1/(1-C611),(1+A611)*(1-(C611*(1+A611))^H611)/(1-C611*(1+A611))+'3. The decision'!$B$13*C611^H611/(1-C611))</f>
        <v>3.46087486279245</v>
      </c>
      <c r="J611" s="17" t="n">
        <f aca="false">F611+E611*D611/(1-C611)</f>
        <v>14.1662381820456</v>
      </c>
      <c r="K611" s="15" t="n">
        <f aca="false">F611-G611+E611*D611*I611</f>
        <v>15.3787939318975</v>
      </c>
      <c r="L611" s="17" t="n">
        <f aca="false">'3. The decision'!$B$8*'3. The decision'!$B$5/J611</f>
        <v>33.152061539896</v>
      </c>
      <c r="M611" s="31" t="n">
        <f aca="false">L611*'3. The decision'!$B$6*'3. The decision'!$B$7*K611</f>
        <v>977882.768274443</v>
      </c>
      <c r="N611" s="31" t="n">
        <f aca="false">M611*(1+'3. The decision'!$B$19+'3. The decision'!$B$20+'3. The decision'!$B$22)</f>
        <v>1081538.34171153</v>
      </c>
      <c r="O611" s="31" t="n">
        <f aca="false">'3. The decision'!$B$17+'3. The decision'!$B$18*L611*12+M611*('3. The decision'!$B$20*(1-'3. The decision'!$B$21)+'3. The decision'!$B$23)+N611*('3. The decision'!$B$24+'3. The decision'!$B$25)</f>
        <v>583366.406346852</v>
      </c>
      <c r="P611" s="31" t="n">
        <f aca="false">N611-O611</f>
        <v>498171.935364681</v>
      </c>
    </row>
    <row r="612" customFormat="false" ht="15" hidden="false" customHeight="false" outlineLevel="0" collapsed="false">
      <c r="A612" s="27" t="n">
        <f aca="false">29*0.0025</f>
        <v>0.0725</v>
      </c>
      <c r="B612" s="27" t="n">
        <f aca="false">IF(A612&gt;0,MIN('3. The decision'!$B$15,'3. The decision'!$B$29*(A612/'3. The decision'!$B$28)^$B$580),0)</f>
        <v>0.0192578681869713</v>
      </c>
      <c r="C612" s="15" t="n">
        <f aca="false">(1-'3. The decision'!$B$27-B612)*(1-'3. The decision'!$B$27)^('3. The decision'!$B$12-1)</f>
        <v>0.648086302804851</v>
      </c>
      <c r="D612" s="15" t="n">
        <f aca="false">1+(1-'3. The decision'!$B$27-B612)*(1-(1-'3. The decision'!$B$27)^('3. The decision'!$B$12-1))/'3. The decision'!$B$27</f>
        <v>5.00234329335606</v>
      </c>
      <c r="E612" s="15" t="n">
        <f aca="false">(1-'3. The decision'!$B$14)*(1-'3. The decision'!$B$27)^('3. The decision'!$B$11-1)</f>
        <v>0.690273454655712</v>
      </c>
      <c r="F612" s="15" t="n">
        <f aca="false">1+(1-'3. The decision'!$B$14)*(1-(1-'3. The decision'!$B$27)^('3. The decision'!$B$11-1))/'3. The decision'!$B$27</f>
        <v>4.28912098262087</v>
      </c>
      <c r="G612" s="15" t="n">
        <f aca="false">(1-(1-'3. The decision'!$B$9*MIN(1,('3. The decision'!$B$10/(52/12)))))+(1-(1-'3. The decision'!$B$9*MAX(0,MIN(1,('3. The decision'!$B$10/(52/12))-1))))*(1-'3. The decision'!$B$14)+(1-(1-'3. The decision'!$B$9*MAX(0,MIN(1,('3. The decision'!$B$10/(52/12))-2))))*(1-'3. The decision'!$B$14)*(1-'3. The decision'!$B$27)</f>
        <v>0.884576923076923</v>
      </c>
      <c r="H612" s="15" t="n">
        <f aca="false">IF(A612&lt;=0,0,MAX(0,ROUNDUP(LN('3. The decision'!$B$13)/LN(1+A612)-0.000000000001,0)-1))</f>
        <v>6</v>
      </c>
      <c r="I612" s="15" t="n">
        <f aca="false">IF(A612&lt;=0,1/(1-C612),(1+A612)*(1-(C612*(1+A612))^H612)/(1-C612*(1+A612))+'3. The decision'!$B$13*C612^H612/(1-C612))</f>
        <v>3.46169919097941</v>
      </c>
      <c r="J612" s="17" t="n">
        <f aca="false">F612+E612*D612/(1-C612)</f>
        <v>14.1011425492719</v>
      </c>
      <c r="K612" s="15" t="n">
        <f aca="false">F612-G612+E612*D612*I612</f>
        <v>15.3577387013615</v>
      </c>
      <c r="L612" s="17" t="n">
        <f aca="false">'3. The decision'!$B$8*'3. The decision'!$B$5/J612</f>
        <v>33.3051026439165</v>
      </c>
      <c r="M612" s="31" t="n">
        <f aca="false">L612*'3. The decision'!$B$6*'3. The decision'!$B$7*K612</f>
        <v>981051.997496842</v>
      </c>
      <c r="N612" s="31" t="n">
        <f aca="false">M612*(1+'3. The decision'!$B$19+'3. The decision'!$B$20+'3. The decision'!$B$22)</f>
        <v>1085043.50923151</v>
      </c>
      <c r="O612" s="31" t="n">
        <f aca="false">'3. The decision'!$B$17+'3. The decision'!$B$18*L612*12+M612*('3. The decision'!$B$20*(1-'3. The decision'!$B$21)+'3. The decision'!$B$23)+N612*('3. The decision'!$B$24+'3. The decision'!$B$25)</f>
        <v>583939.332606497</v>
      </c>
      <c r="P612" s="31" t="n">
        <f aca="false">N612-O612</f>
        <v>501104.17662501</v>
      </c>
    </row>
    <row r="613" customFormat="false" ht="15" hidden="false" customHeight="false" outlineLevel="0" collapsed="false">
      <c r="A613" s="27" t="n">
        <f aca="false">30*0.0025</f>
        <v>0.075</v>
      </c>
      <c r="B613" s="27" t="n">
        <f aca="false">IF(A613&gt;0,MIN('3. The decision'!$B$15,'3. The decision'!$B$29*(A613/'3. The decision'!$B$28)^$B$580),0)</f>
        <v>0.0217576473979891</v>
      </c>
      <c r="C613" s="15" t="n">
        <f aca="false">(1-'3. The decision'!$B$27-B613)*(1-'3. The decision'!$B$27)^('3. The decision'!$B$12-1)</f>
        <v>0.646314263855515</v>
      </c>
      <c r="D613" s="15" t="n">
        <f aca="false">1+(1-'3. The decision'!$B$27-B613)*(1-(1-'3. The decision'!$B$27)^('3. The decision'!$B$12-1))/'3. The decision'!$B$27</f>
        <v>4.99139983077438</v>
      </c>
      <c r="E613" s="15" t="n">
        <f aca="false">(1-'3. The decision'!$B$14)*(1-'3. The decision'!$B$27)^('3. The decision'!$B$11-1)</f>
        <v>0.690273454655712</v>
      </c>
      <c r="F613" s="15" t="n">
        <f aca="false">1+(1-'3. The decision'!$B$14)*(1-(1-'3. The decision'!$B$27)^('3. The decision'!$B$11-1))/'3. The decision'!$B$27</f>
        <v>4.28912098262087</v>
      </c>
      <c r="G613" s="15" t="n">
        <f aca="false">(1-(1-'3. The decision'!$B$9*MIN(1,('3. The decision'!$B$10/(52/12)))))+(1-(1-'3. The decision'!$B$9*MAX(0,MIN(1,('3. The decision'!$B$10/(52/12))-1))))*(1-'3. The decision'!$B$14)+(1-(1-'3. The decision'!$B$9*MAX(0,MIN(1,('3. The decision'!$B$10/(52/12))-2))))*(1-'3. The decision'!$B$14)*(1-'3. The decision'!$B$27)</f>
        <v>0.884576923076923</v>
      </c>
      <c r="H613" s="15" t="n">
        <f aca="false">IF(A613&lt;=0,0,MAX(0,ROUNDUP(LN('3. The decision'!$B$13)/LN(1+A613)-0.000000000001,0)-1))</f>
        <v>6</v>
      </c>
      <c r="I613" s="15" t="n">
        <f aca="false">IF(A613&lt;=0,1/(1-C613),(1+A613)*(1-(C613*(1+A613))^H613)/(1-C613*(1+A613))+'3. The decision'!$B$13*C613^H613/(1-C613))</f>
        <v>3.45979171684446</v>
      </c>
      <c r="J613" s="17" t="n">
        <f aca="false">F613+E613*D613/(1-C613)</f>
        <v>14.0306243927246</v>
      </c>
      <c r="K613" s="15" t="n">
        <f aca="false">F613-G613+E613*D613*I613</f>
        <v>15.3250170188015</v>
      </c>
      <c r="L613" s="17" t="n">
        <f aca="false">'3. The decision'!$B$8*'3. The decision'!$B$5/J613</f>
        <v>33.4724946555853</v>
      </c>
      <c r="M613" s="31" t="n">
        <f aca="false">L613*'3. The decision'!$B$6*'3. The decision'!$B$7*K613</f>
        <v>983882.015483601</v>
      </c>
      <c r="N613" s="31" t="n">
        <f aca="false">M613*(1+'3. The decision'!$B$19+'3. The decision'!$B$20+'3. The decision'!$B$22)</f>
        <v>1088173.50912486</v>
      </c>
      <c r="O613" s="31" t="n">
        <f aca="false">'3. The decision'!$B$17+'3. The decision'!$B$18*L613*12+M613*('3. The decision'!$B$20*(1-'3. The decision'!$B$21)+'3. The decision'!$B$23)+N613*('3. The decision'!$B$24+'3. The decision'!$B$25)</f>
        <v>584497.489798661</v>
      </c>
      <c r="P613" s="31" t="n">
        <f aca="false">N613-O613</f>
        <v>503676.019326201</v>
      </c>
    </row>
    <row r="614" customFormat="false" ht="15" hidden="false" customHeight="false" outlineLevel="0" collapsed="false">
      <c r="A614" s="27" t="n">
        <f aca="false">31*0.0025</f>
        <v>0.0775</v>
      </c>
      <c r="B614" s="27" t="n">
        <f aca="false">IF(A614&gt;0,MIN('3. The decision'!$B$15,'3. The decision'!$B$29*(A614/'3. The decision'!$B$28)^$B$580),0)</f>
        <v>0.0244837262560995</v>
      </c>
      <c r="C614" s="15" t="n">
        <f aca="false">(1-'3. The decision'!$B$27-B614)*(1-'3. The decision'!$B$27)^('3. The decision'!$B$12-1)</f>
        <v>0.644381806023142</v>
      </c>
      <c r="D614" s="15" t="n">
        <f aca="false">1+(1-'3. The decision'!$B$27-B614)*(1-(1-'3. The decision'!$B$27)^('3. The decision'!$B$12-1))/'3. The decision'!$B$27</f>
        <v>4.97946568001141</v>
      </c>
      <c r="E614" s="15" t="n">
        <f aca="false">(1-'3. The decision'!$B$14)*(1-'3. The decision'!$B$27)^('3. The decision'!$B$11-1)</f>
        <v>0.690273454655712</v>
      </c>
      <c r="F614" s="15" t="n">
        <f aca="false">1+(1-'3. The decision'!$B$14)*(1-(1-'3. The decision'!$B$27)^('3. The decision'!$B$11-1))/'3. The decision'!$B$27</f>
        <v>4.28912098262087</v>
      </c>
      <c r="G614" s="15" t="n">
        <f aca="false">(1-(1-'3. The decision'!$B$9*MIN(1,('3. The decision'!$B$10/(52/12)))))+(1-(1-'3. The decision'!$B$9*MAX(0,MIN(1,('3. The decision'!$B$10/(52/12))-1))))*(1-'3. The decision'!$B$14)+(1-(1-'3. The decision'!$B$9*MAX(0,MIN(1,('3. The decision'!$B$10/(52/12))-2))))*(1-'3. The decision'!$B$14)*(1-'3. The decision'!$B$27)</f>
        <v>0.884576923076923</v>
      </c>
      <c r="H614" s="15" t="n">
        <f aca="false">IF(A614&lt;=0,0,MAX(0,ROUNDUP(LN('3. The decision'!$B$13)/LN(1+A614)-0.000000000001,0)-1))</f>
        <v>6</v>
      </c>
      <c r="I614" s="15" t="n">
        <f aca="false">IF(A614&lt;=0,1/(1-C614),(1+A614)*(1-(C614*(1+A614))^H614)/(1-C614*(1+A614))+'3. The decision'!$B$13*C614^H614/(1-C614))</f>
        <v>3.45614823959989</v>
      </c>
      <c r="J614" s="17" t="n">
        <f aca="false">F614+E614*D614/(1-C614)</f>
        <v>13.9545234718554</v>
      </c>
      <c r="K614" s="15" t="n">
        <f aca="false">F614-G614+E614*D614*I614</f>
        <v>15.2839925171389</v>
      </c>
      <c r="L614" s="17" t="n">
        <f aca="false">'3. The decision'!$B$8*'3. The decision'!$B$5/J614</f>
        <v>33.6550367303625</v>
      </c>
      <c r="M614" s="31" t="n">
        <f aca="false">L614*'3. The decision'!$B$6*'3. The decision'!$B$7*K614</f>
        <v>986599.43178474</v>
      </c>
      <c r="N614" s="31" t="n">
        <f aca="false">M614*(1+'3. The decision'!$B$19+'3. The decision'!$B$20+'3. The decision'!$B$22)</f>
        <v>1091178.97155392</v>
      </c>
      <c r="O614" s="31" t="n">
        <f aca="false">'3. The decision'!$B$17+'3. The decision'!$B$18*L614*12+M614*('3. The decision'!$B$20*(1-'3. The decision'!$B$21)+'3. The decision'!$B$23)+N614*('3. The decision'!$B$24+'3. The decision'!$B$25)</f>
        <v>585066.477815985</v>
      </c>
      <c r="P614" s="31" t="n">
        <f aca="false">N614-O614</f>
        <v>506112.493737937</v>
      </c>
    </row>
    <row r="615" customFormat="false" ht="15" hidden="false" customHeight="false" outlineLevel="0" collapsed="false">
      <c r="A615" s="27" t="n">
        <f aca="false">32*0.0025</f>
        <v>0.08</v>
      </c>
      <c r="B615" s="27" t="n">
        <f aca="false">IF(A615&gt;0,MIN('3. The decision'!$B$15,'3. The decision'!$B$29*(A615/'3. The decision'!$B$28)^$B$580),0)</f>
        <v>0.0274482928931505</v>
      </c>
      <c r="C615" s="15" t="n">
        <f aca="false">(1-'3. The decision'!$B$27-B615)*(1-'3. The decision'!$B$27)^('3. The decision'!$B$12-1)</f>
        <v>0.642280289406953</v>
      </c>
      <c r="D615" s="15" t="n">
        <f aca="false">1+(1-'3. The decision'!$B$27-B615)*(1-(1-'3. The decision'!$B$27)^('3. The decision'!$B$12-1))/'3. The decision'!$B$27</f>
        <v>4.96648748420897</v>
      </c>
      <c r="E615" s="15" t="n">
        <f aca="false">(1-'3. The decision'!$B$14)*(1-'3. The decision'!$B$27)^('3. The decision'!$B$11-1)</f>
        <v>0.690273454655712</v>
      </c>
      <c r="F615" s="15" t="n">
        <f aca="false">1+(1-'3. The decision'!$B$14)*(1-(1-'3. The decision'!$B$27)^('3. The decision'!$B$11-1))/'3. The decision'!$B$27</f>
        <v>4.28912098262087</v>
      </c>
      <c r="G615" s="15" t="n">
        <f aca="false">(1-(1-'3. The decision'!$B$9*MIN(1,('3. The decision'!$B$10/(52/12)))))+(1-(1-'3. The decision'!$B$9*MAX(0,MIN(1,('3. The decision'!$B$10/(52/12))-1))))*(1-'3. The decision'!$B$14)+(1-(1-'3. The decision'!$B$9*MAX(0,MIN(1,('3. The decision'!$B$10/(52/12))-2))))*(1-'3. The decision'!$B$14)*(1-'3. The decision'!$B$27)</f>
        <v>0.884576923076923</v>
      </c>
      <c r="H615" s="15" t="n">
        <f aca="false">IF(A615&lt;=0,0,MAX(0,ROUNDUP(LN('3. The decision'!$B$13)/LN(1+A615)-0.000000000001,0)-1))</f>
        <v>6</v>
      </c>
      <c r="I615" s="15" t="n">
        <f aca="false">IF(A615&lt;=0,1/(1-C615),(1+A615)*(1-(C615*(1+A615))^H615)/(1-C615*(1+A615))+'3. The decision'!$B$13*C615^H615/(1-C615))</f>
        <v>3.45069911883415</v>
      </c>
      <c r="J615" s="17" t="n">
        <f aca="false">F615+E615*D615/(1-C615)</f>
        <v>13.8726982128098</v>
      </c>
      <c r="K615" s="15" t="n">
        <f aca="false">F615-G615+E615*D615*I615</f>
        <v>15.2343497354731</v>
      </c>
      <c r="L615" s="17" t="n">
        <f aca="false">'3. The decision'!$B$8*'3. The decision'!$B$5/J615</f>
        <v>33.8535440471375</v>
      </c>
      <c r="M615" s="31" t="n">
        <f aca="false">L615*'3. The decision'!$B$6*'3. The decision'!$B$7*K615</f>
        <v>989195.285575832</v>
      </c>
      <c r="N615" s="31" t="n">
        <f aca="false">M615*(1+'3. The decision'!$B$19+'3. The decision'!$B$20+'3. The decision'!$B$22)</f>
        <v>1094049.98584687</v>
      </c>
      <c r="O615" s="31" t="n">
        <f aca="false">'3. The decision'!$B$17+'3. The decision'!$B$18*L615*12+M615*('3. The decision'!$B$20*(1-'3. The decision'!$B$21)+'3. The decision'!$B$23)+N615*('3. The decision'!$B$24+'3. The decision'!$B$25)</f>
        <v>585646.567091228</v>
      </c>
      <c r="P615" s="31" t="n">
        <f aca="false">N615-O615</f>
        <v>508403.418755642</v>
      </c>
    </row>
    <row r="616" customFormat="false" ht="15" hidden="false" customHeight="false" outlineLevel="0" collapsed="false">
      <c r="A616" s="27" t="n">
        <f aca="false">33*0.0025</f>
        <v>0.0825</v>
      </c>
      <c r="B616" s="27" t="n">
        <f aca="false">IF(A616&gt;0,MIN('3. The decision'!$B$15,'3. The decision'!$B$29*(A616/'3. The decision'!$B$28)^$B$580),0)</f>
        <v>0.0306637736839222</v>
      </c>
      <c r="C616" s="15" t="n">
        <f aca="false">(1-'3. The decision'!$B$27-B616)*(1-'3. The decision'!$B$27)^('3. The decision'!$B$12-1)</f>
        <v>0.640000905220951</v>
      </c>
      <c r="D616" s="15" t="n">
        <f aca="false">1+(1-'3. The decision'!$B$27-B616)*(1-(1-'3. The decision'!$B$27)^('3. The decision'!$B$12-1))/'3. The decision'!$B$27</f>
        <v>4.95241084353574</v>
      </c>
      <c r="E616" s="15" t="n">
        <f aca="false">(1-'3. The decision'!$B$14)*(1-'3. The decision'!$B$27)^('3. The decision'!$B$11-1)</f>
        <v>0.690273454655712</v>
      </c>
      <c r="F616" s="15" t="n">
        <f aca="false">1+(1-'3. The decision'!$B$14)*(1-(1-'3. The decision'!$B$27)^('3. The decision'!$B$11-1))/'3. The decision'!$B$27</f>
        <v>4.28912098262087</v>
      </c>
      <c r="G616" s="15" t="n">
        <f aca="false">(1-(1-'3. The decision'!$B$9*MIN(1,('3. The decision'!$B$10/(52/12)))))+(1-(1-'3. The decision'!$B$9*MAX(0,MIN(1,('3. The decision'!$B$10/(52/12))-1))))*(1-'3. The decision'!$B$14)+(1-(1-'3. The decision'!$B$9*MAX(0,MIN(1,('3. The decision'!$B$10/(52/12))-2))))*(1-'3. The decision'!$B$14)*(1-'3. The decision'!$B$27)</f>
        <v>0.884576923076923</v>
      </c>
      <c r="H616" s="15" t="n">
        <f aca="false">IF(A616&lt;=0,0,MAX(0,ROUNDUP(LN('3. The decision'!$B$13)/LN(1+A616)-0.000000000001,0)-1))</f>
        <v>6</v>
      </c>
      <c r="I616" s="15" t="n">
        <f aca="false">IF(A616&lt;=0,1/(1-C616),(1+A616)*(1-(C616*(1+A616))^H616)/(1-C616*(1+A616))+'3. The decision'!$B$13*C616^H616/(1-C616))</f>
        <v>3.44337934187376</v>
      </c>
      <c r="J616" s="17" t="n">
        <f aca="false">F616+E616*D616/(1-C616)</f>
        <v>13.7850274763301</v>
      </c>
      <c r="K616" s="15" t="n">
        <f aca="false">F616-G616+E616*D616*I616</f>
        <v>15.175797431631</v>
      </c>
      <c r="L616" s="17" t="n">
        <f aca="false">'3. The decision'!$B$8*'3. The decision'!$B$5/J616</f>
        <v>34.0688475816537</v>
      </c>
      <c r="M616" s="31" t="n">
        <f aca="false">L616*'3. The decision'!$B$6*'3. The decision'!$B$7*K616</f>
        <v>991660.329344033</v>
      </c>
      <c r="N616" s="31" t="n">
        <f aca="false">M616*(1+'3. The decision'!$B$19+'3. The decision'!$B$20+'3. The decision'!$B$22)</f>
        <v>1096776.3242545</v>
      </c>
      <c r="O616" s="31" t="n">
        <f aca="false">'3. The decision'!$B$17+'3. The decision'!$B$18*L616*12+M616*('3. The decision'!$B$20*(1-'3. The decision'!$B$21)+'3. The decision'!$B$23)+N616*('3. The decision'!$B$24+'3. The decision'!$B$25)</f>
        <v>586238.021131324</v>
      </c>
      <c r="P616" s="31" t="n">
        <f aca="false">N616-O616</f>
        <v>510538.303123176</v>
      </c>
    </row>
    <row r="617" customFormat="false" ht="15" hidden="false" customHeight="false" outlineLevel="0" collapsed="false">
      <c r="A617" s="27" t="n">
        <f aca="false">34*0.0025</f>
        <v>0.085</v>
      </c>
      <c r="B617" s="27" t="n">
        <f aca="false">IF(A617&gt;0,MIN('3. The decision'!$B$15,'3. The decision'!$B$29*(A617/'3. The decision'!$B$28)^$B$580),0)</f>
        <v>0.034142830238289</v>
      </c>
      <c r="C617" s="15" t="n">
        <f aca="false">(1-'3. The decision'!$B$27-B617)*(1-'3. The decision'!$B$27)^('3. The decision'!$B$12-1)</f>
        <v>0.637534677926113</v>
      </c>
      <c r="D617" s="15" t="n">
        <f aca="false">1+(1-'3. The decision'!$B$27-B617)*(1-(1-'3. The decision'!$B$27)^('3. The decision'!$B$12-1))/'3. The decision'!$B$27</f>
        <v>4.93718032835486</v>
      </c>
      <c r="E617" s="15" t="n">
        <f aca="false">(1-'3. The decision'!$B$14)*(1-'3. The decision'!$B$27)^('3. The decision'!$B$11-1)</f>
        <v>0.690273454655712</v>
      </c>
      <c r="F617" s="15" t="n">
        <f aca="false">1+(1-'3. The decision'!$B$14)*(1-(1-'3. The decision'!$B$27)^('3. The decision'!$B$11-1))/'3. The decision'!$B$27</f>
        <v>4.28912098262087</v>
      </c>
      <c r="G617" s="15" t="n">
        <f aca="false">(1-(1-'3. The decision'!$B$9*MIN(1,('3. The decision'!$B$10/(52/12)))))+(1-(1-'3. The decision'!$B$9*MAX(0,MIN(1,('3. The decision'!$B$10/(52/12))-1))))*(1-'3. The decision'!$B$14)+(1-(1-'3. The decision'!$B$9*MAX(0,MIN(1,('3. The decision'!$B$10/(52/12))-2))))*(1-'3. The decision'!$B$14)*(1-'3. The decision'!$B$27)</f>
        <v>0.884576923076923</v>
      </c>
      <c r="H617" s="15" t="n">
        <f aca="false">IF(A617&lt;=0,0,MAX(0,ROUNDUP(LN('3. The decision'!$B$13)/LN(1+A617)-0.000000000001,0)-1))</f>
        <v>5</v>
      </c>
      <c r="I617" s="15" t="n">
        <f aca="false">IF(A617&lt;=0,1/(1-C617),(1+A617)*(1-(C617*(1+A617))^H617)/(1-C617*(1+A617))+'3. The decision'!$B$13*C617^H617/(1-C617))</f>
        <v>3.43292135613975</v>
      </c>
      <c r="J617" s="17" t="n">
        <f aca="false">F617+E617*D617/(1-C617)</f>
        <v>13.6914122197865</v>
      </c>
      <c r="K617" s="15" t="n">
        <f aca="false">F617-G617+E617*D617*I617</f>
        <v>15.1039555632624</v>
      </c>
      <c r="L617" s="17" t="n">
        <f aca="false">'3. The decision'!$B$8*'3. The decision'!$B$5/J617</f>
        <v>34.3017938880905</v>
      </c>
      <c r="M617" s="31" t="n">
        <f aca="false">L617*'3. The decision'!$B$6*'3. The decision'!$B$7*K617</f>
        <v>993714.227787244</v>
      </c>
      <c r="N617" s="31" t="n">
        <f aca="false">M617*(1+'3. The decision'!$B$19+'3. The decision'!$B$20+'3. The decision'!$B$22)</f>
        <v>1099047.93593269</v>
      </c>
      <c r="O617" s="31" t="n">
        <f aca="false">'3. The decision'!$B$17+'3. The decision'!$B$18*L617*12+M617*('3. The decision'!$B$20*(1-'3. The decision'!$B$21)+'3. The decision'!$B$23)+N617*('3. The decision'!$B$24+'3. The decision'!$B$25)</f>
        <v>586811.950676429</v>
      </c>
      <c r="P617" s="31" t="n">
        <f aca="false">N617-O617</f>
        <v>512235.985256263</v>
      </c>
    </row>
    <row r="618" customFormat="false" ht="15" hidden="false" customHeight="false" outlineLevel="0" collapsed="false">
      <c r="A618" s="27" t="n">
        <f aca="false">35*0.0025</f>
        <v>0.0875</v>
      </c>
      <c r="B618" s="27" t="n">
        <f aca="false">IF(A618&gt;0,MIN('3. The decision'!$B$15,'3. The decision'!$B$29*(A618/'3. The decision'!$B$28)^$B$580),0)</f>
        <v>0.0378983565222712</v>
      </c>
      <c r="C618" s="15" t="n">
        <f aca="false">(1-'3. The decision'!$B$27-B618)*(1-'3. The decision'!$B$27)^('3. The decision'!$B$12-1)</f>
        <v>0.634872467271211</v>
      </c>
      <c r="D618" s="15" t="n">
        <f aca="false">1+(1-'3. The decision'!$B$27-B618)*(1-(1-'3. The decision'!$B$27)^('3. The decision'!$B$12-1))/'3. The decision'!$B$27</f>
        <v>4.92073949182733</v>
      </c>
      <c r="E618" s="15" t="n">
        <f aca="false">(1-'3. The decision'!$B$14)*(1-'3. The decision'!$B$27)^('3. The decision'!$B$11-1)</f>
        <v>0.690273454655712</v>
      </c>
      <c r="F618" s="15" t="n">
        <f aca="false">1+(1-'3. The decision'!$B$14)*(1-(1-'3. The decision'!$B$27)^('3. The decision'!$B$11-1))/'3. The decision'!$B$27</f>
        <v>4.28912098262087</v>
      </c>
      <c r="G618" s="15" t="n">
        <f aca="false">(1-(1-'3. The decision'!$B$9*MIN(1,('3. The decision'!$B$10/(52/12)))))+(1-(1-'3. The decision'!$B$9*MAX(0,MIN(1,('3. The decision'!$B$10/(52/12))-1))))*(1-'3. The decision'!$B$14)+(1-(1-'3. The decision'!$B$9*MAX(0,MIN(1,('3. The decision'!$B$10/(52/12))-2))))*(1-'3. The decision'!$B$14)*(1-'3. The decision'!$B$27)</f>
        <v>0.884576923076923</v>
      </c>
      <c r="H618" s="15" t="n">
        <f aca="false">IF(A618&lt;=0,0,MAX(0,ROUNDUP(LN('3. The decision'!$B$13)/LN(1+A618)-0.000000000001,0)-1))</f>
        <v>5</v>
      </c>
      <c r="I618" s="15" t="n">
        <f aca="false">IF(A618&lt;=0,1/(1-C618),(1+A618)*(1-(C618*(1+A618))^H618)/(1-C618*(1+A618))+'3. The decision'!$B$13*C618^H618/(1-C618))</f>
        <v>3.41937201580197</v>
      </c>
      <c r="J618" s="17" t="n">
        <f aca="false">F618+E618*D618/(1-C618)</f>
        <v>13.5917770247425</v>
      </c>
      <c r="K618" s="15" t="n">
        <f aca="false">F618-G618+E618*D618*I618</f>
        <v>15.0189740151617</v>
      </c>
      <c r="L618" s="17" t="n">
        <f aca="false">'3. The decision'!$B$8*'3. The decision'!$B$5/J618</f>
        <v>34.553244888072</v>
      </c>
      <c r="M618" s="31" t="n">
        <f aca="false">L618*'3. The decision'!$B$6*'3. The decision'!$B$7*K618</f>
        <v>995366.636853168</v>
      </c>
      <c r="N618" s="31" t="n">
        <f aca="false">M618*(1+'3. The decision'!$B$19+'3. The decision'!$B$20+'3. The decision'!$B$22)</f>
        <v>1100875.5003596</v>
      </c>
      <c r="O618" s="31" t="n">
        <f aca="false">'3. The decision'!$B$17+'3. The decision'!$B$18*L618*12+M618*('3. The decision'!$B$20*(1-'3. The decision'!$B$21)+'3. The decision'!$B$23)+N618*('3. The decision'!$B$24+'3. The decision'!$B$25)</f>
        <v>587370.700634048</v>
      </c>
      <c r="P618" s="31" t="n">
        <f aca="false">N618-O618</f>
        <v>513504.799725555</v>
      </c>
    </row>
    <row r="619" customFormat="false" ht="15" hidden="false" customHeight="false" outlineLevel="0" collapsed="false">
      <c r="A619" s="27" t="n">
        <f aca="false">36*0.0025</f>
        <v>0.09</v>
      </c>
      <c r="B619" s="27" t="n">
        <f aca="false">IF(A619&gt;0,MIN('3. The decision'!$B$15,'3. The decision'!$B$29*(A619/'3. The decision'!$B$28)^$B$580),0)</f>
        <v>0.0419434760987857</v>
      </c>
      <c r="C619" s="15" t="n">
        <f aca="false">(1-'3. The decision'!$B$27-B619)*(1-'3. The decision'!$B$27)^('3. The decision'!$B$12-1)</f>
        <v>0.632004970248789</v>
      </c>
      <c r="D619" s="15" t="n">
        <f aca="false">1+(1-'3. The decision'!$B$27-B619)*(1-(1-'3. The decision'!$B$27)^('3. The decision'!$B$12-1))/'3. The decision'!$B$27</f>
        <v>4.90303088199136</v>
      </c>
      <c r="E619" s="15" t="n">
        <f aca="false">(1-'3. The decision'!$B$14)*(1-'3. The decision'!$B$27)^('3. The decision'!$B$11-1)</f>
        <v>0.690273454655712</v>
      </c>
      <c r="F619" s="15" t="n">
        <f aca="false">1+(1-'3. The decision'!$B$14)*(1-(1-'3. The decision'!$B$27)^('3. The decision'!$B$11-1))/'3. The decision'!$B$27</f>
        <v>4.28912098262087</v>
      </c>
      <c r="G619" s="15" t="n">
        <f aca="false">(1-(1-'3. The decision'!$B$9*MIN(1,('3. The decision'!$B$10/(52/12)))))+(1-(1-'3. The decision'!$B$9*MAX(0,MIN(1,('3. The decision'!$B$10/(52/12))-1))))*(1-'3. The decision'!$B$14)+(1-(1-'3. The decision'!$B$9*MAX(0,MIN(1,('3. The decision'!$B$10/(52/12))-2))))*(1-'3. The decision'!$B$14)*(1-'3. The decision'!$B$27)</f>
        <v>0.884576923076923</v>
      </c>
      <c r="H619" s="15" t="n">
        <f aca="false">IF(A619&lt;=0,0,MAX(0,ROUNDUP(LN('3. The decision'!$B$13)/LN(1+A619)-0.000000000001,0)-1))</f>
        <v>5</v>
      </c>
      <c r="I619" s="15" t="n">
        <f aca="false">IF(A619&lt;=0,1/(1-C619),(1+A619)*(1-(C619*(1+A619))^H619)/(1-C619*(1+A619))+'3. The decision'!$B$13*C619^H619/(1-C619))</f>
        <v>3.40387052128089</v>
      </c>
      <c r="J619" s="17" t="n">
        <f aca="false">F619+E619*D619/(1-C619)</f>
        <v>13.4860714617725</v>
      </c>
      <c r="K619" s="15" t="n">
        <f aca="false">F619-G619+E619*D619*I619</f>
        <v>14.9247125975418</v>
      </c>
      <c r="L619" s="17" t="n">
        <f aca="false">'3. The decision'!$B$8*'3. The decision'!$B$5/J619</f>
        <v>34.8240776664455</v>
      </c>
      <c r="M619" s="31" t="n">
        <f aca="false">L619*'3. The decision'!$B$6*'3. The decision'!$B$7*K619</f>
        <v>996872.407337511</v>
      </c>
      <c r="N619" s="31" t="n">
        <f aca="false">M619*(1+'3. The decision'!$B$19+'3. The decision'!$B$20+'3. The decision'!$B$22)</f>
        <v>1102540.88251529</v>
      </c>
      <c r="O619" s="31" t="n">
        <f aca="false">'3. The decision'!$B$17+'3. The decision'!$B$18*L619*12+M619*('3. The decision'!$B$20*(1-'3. The decision'!$B$21)+'3. The decision'!$B$23)+N619*('3. The decision'!$B$24+'3. The decision'!$B$25)</f>
        <v>587943.028467334</v>
      </c>
      <c r="P619" s="31" t="n">
        <f aca="false">N619-O619</f>
        <v>514597.854047954</v>
      </c>
    </row>
    <row r="620" customFormat="false" ht="15" hidden="false" customHeight="false" outlineLevel="0" collapsed="false">
      <c r="A620" s="27" t="n">
        <f aca="false">37*0.0025</f>
        <v>0.0925</v>
      </c>
      <c r="B620" s="27" t="n">
        <f aca="false">IF(A620&gt;0,MIN('3. The decision'!$B$15,'3. The decision'!$B$29*(A620/'3. The decision'!$B$28)^$B$580),0)</f>
        <v>0.0462915394798079</v>
      </c>
      <c r="C620" s="15" t="n">
        <f aca="false">(1-'3. The decision'!$B$27-B620)*(1-'3. The decision'!$B$27)^('3. The decision'!$B$12-1)</f>
        <v>0.628922722972152</v>
      </c>
      <c r="D620" s="15" t="n">
        <f aca="false">1+(1-'3. The decision'!$B$27-B620)*(1-(1-'3. The decision'!$B$27)^('3. The decision'!$B$12-1))/'3. The decision'!$B$27</f>
        <v>4.88399605335399</v>
      </c>
      <c r="E620" s="15" t="n">
        <f aca="false">(1-'3. The decision'!$B$14)*(1-'3. The decision'!$B$27)^('3. The decision'!$B$11-1)</f>
        <v>0.690273454655712</v>
      </c>
      <c r="F620" s="15" t="n">
        <f aca="false">1+(1-'3. The decision'!$B$14)*(1-(1-'3. The decision'!$B$27)^('3. The decision'!$B$11-1))/'3. The decision'!$B$27</f>
        <v>4.28912098262087</v>
      </c>
      <c r="G620" s="15" t="n">
        <f aca="false">(1-(1-'3. The decision'!$B$9*MIN(1,('3. The decision'!$B$10/(52/12)))))+(1-(1-'3. The decision'!$B$9*MAX(0,MIN(1,('3. The decision'!$B$10/(52/12))-1))))*(1-'3. The decision'!$B$14)+(1-(1-'3. The decision'!$B$9*MAX(0,MIN(1,('3. The decision'!$B$10/(52/12))-2))))*(1-'3. The decision'!$B$14)*(1-'3. The decision'!$B$27)</f>
        <v>0.884576923076923</v>
      </c>
      <c r="H620" s="15" t="n">
        <f aca="false">IF(A620&lt;=0,0,MAX(0,ROUNDUP(LN('3. The decision'!$B$13)/LN(1+A620)-0.000000000001,0)-1))</f>
        <v>5</v>
      </c>
      <c r="I620" s="15" t="n">
        <f aca="false">IF(A620&lt;=0,1/(1-C620),(1+A620)*(1-(C620*(1+A620))^H620)/(1-C620*(1+A620))+'3. The decision'!$B$13*C620^H620/(1-C620))</f>
        <v>3.38638654596637</v>
      </c>
      <c r="J620" s="17" t="n">
        <f aca="false">F620+E620*D620/(1-C620)</f>
        <v>13.3742712652681</v>
      </c>
      <c r="K620" s="15" t="n">
        <f aca="false">F620-G620+E620*D620*I620</f>
        <v>14.8210447357223</v>
      </c>
      <c r="L620" s="17" t="n">
        <f aca="false">'3. The decision'!$B$8*'3. The decision'!$B$5/J620</f>
        <v>35.1151842732259</v>
      </c>
      <c r="M620" s="31" t="n">
        <f aca="false">L620*'3. The decision'!$B$6*'3. The decision'!$B$7*K620</f>
        <v>998223.398749795</v>
      </c>
      <c r="N620" s="31" t="n">
        <f aca="false">M620*(1+'3. The decision'!$B$19+'3. The decision'!$B$20+'3. The decision'!$B$22)</f>
        <v>1104035.07901727</v>
      </c>
      <c r="O620" s="31" t="n">
        <f aca="false">'3. The decision'!$B$17+'3. The decision'!$B$18*L620*12+M620*('3. The decision'!$B$20*(1-'3. The decision'!$B$21)+'3. The decision'!$B$23)+N620*('3. The decision'!$B$24+'3. The decision'!$B$25)</f>
        <v>588529.409346001</v>
      </c>
      <c r="P620" s="31" t="n">
        <f aca="false">N620-O620</f>
        <v>515505.669671272</v>
      </c>
    </row>
    <row r="621" customFormat="false" ht="15" hidden="false" customHeight="false" outlineLevel="0" collapsed="false">
      <c r="A621" s="27" t="n">
        <f aca="false">38*0.0025</f>
        <v>0.095</v>
      </c>
      <c r="B621" s="27" t="n">
        <f aca="false">IF(A621&gt;0,MIN('3. The decision'!$B$15,'3. The decision'!$B$29*(A621/'3. The decision'!$B$28)^$B$580),0)</f>
        <v>0.0509561215824477</v>
      </c>
      <c r="C621" s="15" t="n">
        <f aca="false">(1-'3. The decision'!$B$27-B621)*(1-'3. The decision'!$B$27)^('3. The decision'!$B$12-1)</f>
        <v>0.625616102478701</v>
      </c>
      <c r="D621" s="15" t="n">
        <f aca="false">1+(1-'3. The decision'!$B$27-B621)*(1-(1-'3. The decision'!$B$27)^('3. The decision'!$B$12-1))/'3. The decision'!$B$27</f>
        <v>4.86357557802785</v>
      </c>
      <c r="E621" s="15" t="n">
        <f aca="false">(1-'3. The decision'!$B$14)*(1-'3. The decision'!$B$27)^('3. The decision'!$B$11-1)</f>
        <v>0.690273454655712</v>
      </c>
      <c r="F621" s="15" t="n">
        <f aca="false">1+(1-'3. The decision'!$B$14)*(1-(1-'3. The decision'!$B$27)^('3. The decision'!$B$11-1))/'3. The decision'!$B$27</f>
        <v>4.28912098262087</v>
      </c>
      <c r="G621" s="15" t="n">
        <f aca="false">(1-(1-'3. The decision'!$B$9*MIN(1,('3. The decision'!$B$10/(52/12)))))+(1-(1-'3. The decision'!$B$9*MAX(0,MIN(1,('3. The decision'!$B$10/(52/12))-1))))*(1-'3. The decision'!$B$14)+(1-(1-'3. The decision'!$B$9*MAX(0,MIN(1,('3. The decision'!$B$10/(52/12))-2))))*(1-'3. The decision'!$B$14)*(1-'3. The decision'!$B$27)</f>
        <v>0.884576923076923</v>
      </c>
      <c r="H621" s="15" t="n">
        <f aca="false">IF(A621&lt;=0,0,MAX(0,ROUNDUP(LN('3. The decision'!$B$13)/LN(1+A621)-0.000000000001,0)-1))</f>
        <v>5</v>
      </c>
      <c r="I621" s="15" t="n">
        <f aca="false">IF(A621&lt;=0,1/(1-C621),(1+A621)*(1-(C621*(1+A621))^H621)/(1-C621*(1+A621))+'3. The decision'!$B$13*C621^H621/(1-C621))</f>
        <v>3.36689721803134</v>
      </c>
      <c r="J621" s="17" t="n">
        <f aca="false">F621+E621*D621/(1-C621)</f>
        <v>13.2563792927447</v>
      </c>
      <c r="K621" s="15" t="n">
        <f aca="false">F621-G621+E621*D621*I621</f>
        <v>14.7078816905428</v>
      </c>
      <c r="L621" s="17" t="n">
        <f aca="false">'3. The decision'!$B$8*'3. The decision'!$B$5/J621</f>
        <v>35.427471531162</v>
      </c>
      <c r="M621" s="31" t="n">
        <f aca="false">L621*'3. The decision'!$B$6*'3. The decision'!$B$7*K621</f>
        <v>999411.313049228</v>
      </c>
      <c r="N621" s="31" t="n">
        <f aca="false">M621*(1+'3. The decision'!$B$19+'3. The decision'!$B$20+'3. The decision'!$B$22)</f>
        <v>1105348.91223245</v>
      </c>
      <c r="O621" s="31" t="n">
        <f aca="false">'3. The decision'!$B$17+'3. The decision'!$B$18*L621*12+M621*('3. The decision'!$B$20*(1-'3. The decision'!$B$21)+'3. The decision'!$B$23)+N621*('3. The decision'!$B$24+'3. The decision'!$B$25)</f>
        <v>589130.323861313</v>
      </c>
      <c r="P621" s="31" t="n">
        <f aca="false">N621-O621</f>
        <v>516218.588371133</v>
      </c>
    </row>
    <row r="622" customFormat="false" ht="15" hidden="false" customHeight="false" outlineLevel="0" collapsed="false">
      <c r="A622" s="27" t="n">
        <f aca="false">39*0.0025</f>
        <v>0.0975</v>
      </c>
      <c r="B622" s="27" t="n">
        <f aca="false">IF(A622&gt;0,MIN('3. The decision'!$B$15,'3. The decision'!$B$29*(A622/'3. The decision'!$B$28)^$B$580),0)</f>
        <v>0.0559510192821354</v>
      </c>
      <c r="C622" s="15" t="n">
        <f aca="false">(1-'3. The decision'!$B$27-B622)*(1-'3. The decision'!$B$27)^('3. The decision'!$B$12-1)</f>
        <v>0.622075328464425</v>
      </c>
      <c r="D622" s="15" t="n">
        <f aca="false">1+(1-'3. The decision'!$B$27-B622)*(1-(1-'3. The decision'!$B$27)^('3. The decision'!$B$12-1))/'3. The decision'!$B$27</f>
        <v>4.84170905644269</v>
      </c>
      <c r="E622" s="15" t="n">
        <f aca="false">(1-'3. The decision'!$B$14)*(1-'3. The decision'!$B$27)^('3. The decision'!$B$11-1)</f>
        <v>0.690273454655712</v>
      </c>
      <c r="F622" s="15" t="n">
        <f aca="false">1+(1-'3. The decision'!$B$14)*(1-(1-'3. The decision'!$B$27)^('3. The decision'!$B$11-1))/'3. The decision'!$B$27</f>
        <v>4.28912098262087</v>
      </c>
      <c r="G622" s="15" t="n">
        <f aca="false">(1-(1-'3. The decision'!$B$9*MIN(1,('3. The decision'!$B$10/(52/12)))))+(1-(1-'3. The decision'!$B$9*MAX(0,MIN(1,('3. The decision'!$B$10/(52/12))-1))))*(1-'3. The decision'!$B$14)+(1-(1-'3. The decision'!$B$9*MAX(0,MIN(1,('3. The decision'!$B$10/(52/12))-2))))*(1-'3. The decision'!$B$14)*(1-'3. The decision'!$B$27)</f>
        <v>0.884576923076923</v>
      </c>
      <c r="H622" s="15" t="n">
        <f aca="false">IF(A622&lt;=0,0,MAX(0,ROUNDUP(LN('3. The decision'!$B$13)/LN(1+A622)-0.000000000001,0)-1))</f>
        <v>5</v>
      </c>
      <c r="I622" s="15" t="n">
        <f aca="false">IF(A622&lt;=0,1/(1-C622),(1+A622)*(1-(C622*(1+A622))^H622)/(1-C622*(1+A622))+'3. The decision'!$B$13*C622^H622/(1-C622))</f>
        <v>3.34538744678737</v>
      </c>
      <c r="J622" s="17" t="n">
        <f aca="false">F622+E622*D622/(1-C622)</f>
        <v>13.132426245675</v>
      </c>
      <c r="K622" s="15" t="n">
        <f aca="false">F622-G622+E622*D622*I622</f>
        <v>14.5851742738976</v>
      </c>
      <c r="L622" s="17" t="n">
        <f aca="false">'3. The decision'!$B$8*'3. The decision'!$B$5/J622</f>
        <v>35.7618608484225</v>
      </c>
      <c r="M622" s="31" t="n">
        <f aca="false">L622*'3. The decision'!$B$6*'3. The decision'!$B$7*K622</f>
        <v>1000427.69867633</v>
      </c>
      <c r="N622" s="31" t="n">
        <f aca="false">M622*(1+'3. The decision'!$B$19+'3. The decision'!$B$20+'3. The decision'!$B$22)</f>
        <v>1106473.03473602</v>
      </c>
      <c r="O622" s="31" t="n">
        <f aca="false">'3. The decision'!$B$17+'3. The decision'!$B$18*L622*12+M622*('3. The decision'!$B$20*(1-'3. The decision'!$B$21)+'3. The decision'!$B$23)+N622*('3. The decision'!$B$24+'3. The decision'!$B$25)</f>
        <v>589746.258176245</v>
      </c>
      <c r="P622" s="31" t="n">
        <f aca="false">N622-O622</f>
        <v>516726.776559771</v>
      </c>
    </row>
    <row r="623" customFormat="false" ht="15" hidden="false" customHeight="false" outlineLevel="0" collapsed="false">
      <c r="A623" s="27" t="n">
        <f aca="false">40*0.0025</f>
        <v>0.1</v>
      </c>
      <c r="B623" s="27" t="n">
        <f aca="false">IF(A623&gt;0,MIN('3. The decision'!$B$15,'3. The decision'!$B$29*(A623/'3. The decision'!$B$28)^$B$580),0)</f>
        <v>0.0612902490567317</v>
      </c>
      <c r="C623" s="15" t="n">
        <f aca="false">(1-'3. The decision'!$B$27-B623)*(1-'3. The decision'!$B$27)^('3. The decision'!$B$12-1)</f>
        <v>0.618290464953944</v>
      </c>
      <c r="D623" s="15" t="n">
        <f aca="false">1+(1-'3. The decision'!$B$27-B623)*(1-(1-'3. The decision'!$B$27)^('3. The decision'!$B$12-1))/'3. The decision'!$B$27</f>
        <v>4.81833512765901</v>
      </c>
      <c r="E623" s="15" t="n">
        <f aca="false">(1-'3. The decision'!$B$14)*(1-'3. The decision'!$B$27)^('3. The decision'!$B$11-1)</f>
        <v>0.690273454655712</v>
      </c>
      <c r="F623" s="15" t="n">
        <f aca="false">1+(1-'3. The decision'!$B$14)*(1-(1-'3. The decision'!$B$27)^('3. The decision'!$B$11-1))/'3. The decision'!$B$27</f>
        <v>4.28912098262087</v>
      </c>
      <c r="G623" s="15" t="n">
        <f aca="false">(1-(1-'3. The decision'!$B$9*MIN(1,('3. The decision'!$B$10/(52/12)))))+(1-(1-'3. The decision'!$B$9*MAX(0,MIN(1,('3. The decision'!$B$10/(52/12))-1))))*(1-'3. The decision'!$B$14)+(1-(1-'3. The decision'!$B$9*MAX(0,MIN(1,('3. The decision'!$B$10/(52/12))-2))))*(1-'3. The decision'!$B$14)*(1-'3. The decision'!$B$27)</f>
        <v>0.884576923076923</v>
      </c>
      <c r="H623" s="15" t="n">
        <f aca="false">IF(A623&lt;=0,0,MAX(0,ROUNDUP(LN('3. The decision'!$B$13)/LN(1+A623)-0.000000000001,0)-1))</f>
        <v>5</v>
      </c>
      <c r="I623" s="15" t="n">
        <f aca="false">IF(A623&lt;=0,1/(1-C623),(1+A623)*(1-(C623*(1+A623))^H623)/(1-C623*(1+A623))+'3. The decision'!$B$13*C623^H623/(1-C623))</f>
        <v>3.32185018265787</v>
      </c>
      <c r="J623" s="17" t="n">
        <f aca="false">F623+E623*D623/(1-C623)</f>
        <v>13.0024711321183</v>
      </c>
      <c r="K623" s="15" t="n">
        <f aca="false">F623-G623+E623*D623*I623</f>
        <v>14.4529142391388</v>
      </c>
      <c r="L623" s="17" t="n">
        <f aca="false">'3. The decision'!$B$8*'3. The decision'!$B$5/J623</f>
        <v>36.1192880359418</v>
      </c>
      <c r="M623" s="31" t="n">
        <f aca="false">L623*'3. The decision'!$B$6*'3. The decision'!$B$7*K623</f>
        <v>1001263.95611889</v>
      </c>
      <c r="N623" s="31" t="n">
        <f aca="false">M623*(1+'3. The decision'!$B$19+'3. The decision'!$B$20+'3. The decision'!$B$22)</f>
        <v>1107397.9354675</v>
      </c>
      <c r="O623" s="31" t="n">
        <f aca="false">'3. The decision'!$B$17+'3. The decision'!$B$18*L623*12+M623*('3. The decision'!$B$20*(1-'3. The decision'!$B$21)+'3. The decision'!$B$23)+N623*('3. The decision'!$B$24+'3. The decision'!$B$25)</f>
        <v>590377.70434784</v>
      </c>
      <c r="P623" s="31" t="n">
        <f aca="false">N623-O623</f>
        <v>517020.231119655</v>
      </c>
    </row>
    <row r="624" customFormat="false" ht="15" hidden="false" customHeight="false" outlineLevel="0" collapsed="false">
      <c r="A624" s="27" t="n">
        <f aca="false">41*0.0025</f>
        <v>0.1025</v>
      </c>
      <c r="B624" s="27" t="n">
        <f aca="false">IF(A624&gt;0,MIN('3. The decision'!$B$15,'3. The decision'!$B$29*(A624/'3. The decision'!$B$28)^$B$580),0)</f>
        <v>0.066988044715917</v>
      </c>
      <c r="C624" s="15" t="n">
        <f aca="false">(1-'3. The decision'!$B$27-B624)*(1-'3. The decision'!$B$27)^('3. The decision'!$B$12-1)</f>
        <v>0.614251421910089</v>
      </c>
      <c r="D624" s="15" t="n">
        <f aca="false">1+(1-'3. The decision'!$B$27-B624)*(1-(1-'3. The decision'!$B$27)^('3. The decision'!$B$12-1))/'3. The decision'!$B$27</f>
        <v>4.79339147930818</v>
      </c>
      <c r="E624" s="15" t="n">
        <f aca="false">(1-'3. The decision'!$B$14)*(1-'3. The decision'!$B$27)^('3. The decision'!$B$11-1)</f>
        <v>0.690273454655712</v>
      </c>
      <c r="F624" s="15" t="n">
        <f aca="false">1+(1-'3. The decision'!$B$14)*(1-(1-'3. The decision'!$B$27)^('3. The decision'!$B$11-1))/'3. The decision'!$B$27</f>
        <v>4.28912098262087</v>
      </c>
      <c r="G624" s="15" t="n">
        <f aca="false">(1-(1-'3. The decision'!$B$9*MIN(1,('3. The decision'!$B$10/(52/12)))))+(1-(1-'3. The decision'!$B$9*MAX(0,MIN(1,('3. The decision'!$B$10/(52/12))-1))))*(1-'3. The decision'!$B$14)+(1-(1-'3. The decision'!$B$9*MAX(0,MIN(1,('3. The decision'!$B$10/(52/12))-2))))*(1-'3. The decision'!$B$14)*(1-'3. The decision'!$B$27)</f>
        <v>0.884576923076923</v>
      </c>
      <c r="H624" s="15" t="n">
        <f aca="false">IF(A624&lt;=0,0,MAX(0,ROUNDUP(LN('3. The decision'!$B$13)/LN(1+A624)-0.000000000001,0)-1))</f>
        <v>4</v>
      </c>
      <c r="I624" s="15" t="n">
        <f aca="false">IF(A624&lt;=0,1/(1-C624),(1+A624)*(1-(C624*(1+A624))^H624)/(1-C624*(1+A624))+'3. The decision'!$B$13*C624^H624/(1-C624))</f>
        <v>3.29502037672092</v>
      </c>
      <c r="J624" s="17" t="n">
        <f aca="false">F624+E624*D624/(1-C624)</f>
        <v>12.8666014553243</v>
      </c>
      <c r="K624" s="15" t="n">
        <f aca="false">F624-G624+E624*D624*I624</f>
        <v>14.3069456831576</v>
      </c>
      <c r="L624" s="17" t="n">
        <f aca="false">'3. The decision'!$B$8*'3. The decision'!$B$5/J624</f>
        <v>36.5007031290039</v>
      </c>
      <c r="M624" s="31" t="n">
        <f aca="false">L624*'3. The decision'!$B$6*'3. The decision'!$B$7*K624</f>
        <v>1001618.03231682</v>
      </c>
      <c r="N624" s="31" t="n">
        <f aca="false">M624*(1+'3. The decision'!$B$19+'3. The decision'!$B$20+'3. The decision'!$B$22)</f>
        <v>1107789.5437424</v>
      </c>
      <c r="O624" s="31" t="n">
        <f aca="false">'3. The decision'!$B$17+'3. The decision'!$B$18*L624*12+M624*('3. The decision'!$B$20*(1-'3. The decision'!$B$21)+'3. The decision'!$B$23)+N624*('3. The decision'!$B$24+'3. The decision'!$B$25)</f>
        <v>590993.592455649</v>
      </c>
      <c r="P624" s="31" t="n">
        <f aca="false">N624-O624</f>
        <v>516795.951286754</v>
      </c>
    </row>
    <row r="625" customFormat="false" ht="15" hidden="false" customHeight="false" outlineLevel="0" collapsed="false">
      <c r="A625" s="27" t="n">
        <f aca="false">42*0.0025</f>
        <v>0.105</v>
      </c>
      <c r="B625" s="27" t="n">
        <f aca="false">IF(A625&gt;0,MIN('3. The decision'!$B$15,'3. The decision'!$B$29*(A625/'3. The decision'!$B$28)^$B$580),0)</f>
        <v>0.0730588552106994</v>
      </c>
      <c r="C625" s="15" t="n">
        <f aca="false">(1-'3. The decision'!$B$27-B625)*(1-'3. The decision'!$B$27)^('3. The decision'!$B$12-1)</f>
        <v>0.609947956786697</v>
      </c>
      <c r="D625" s="15" t="n">
        <f aca="false">1+(1-'3. The decision'!$B$27-B625)*(1-(1-'3. The decision'!$B$27)^('3. The decision'!$B$12-1))/'3. The decision'!$B$27</f>
        <v>4.766814857182</v>
      </c>
      <c r="E625" s="15" t="n">
        <f aca="false">(1-'3. The decision'!$B$14)*(1-'3. The decision'!$B$27)^('3. The decision'!$B$11-1)</f>
        <v>0.690273454655712</v>
      </c>
      <c r="F625" s="15" t="n">
        <f aca="false">1+(1-'3. The decision'!$B$14)*(1-(1-'3. The decision'!$B$27)^('3. The decision'!$B$11-1))/'3. The decision'!$B$27</f>
        <v>4.28912098262087</v>
      </c>
      <c r="G625" s="15" t="n">
        <f aca="false">(1-(1-'3. The decision'!$B$9*MIN(1,('3. The decision'!$B$10/(52/12)))))+(1-(1-'3. The decision'!$B$9*MAX(0,MIN(1,('3. The decision'!$B$10/(52/12))-1))))*(1-'3. The decision'!$B$14)+(1-(1-'3. The decision'!$B$9*MAX(0,MIN(1,('3. The decision'!$B$10/(52/12))-2))))*(1-'3. The decision'!$B$14)*(1-'3. The decision'!$B$27)</f>
        <v>0.884576923076923</v>
      </c>
      <c r="H625" s="15" t="n">
        <f aca="false">IF(A625&lt;=0,0,MAX(0,ROUNDUP(LN('3. The decision'!$B$13)/LN(1+A625)-0.000000000001,0)-1))</f>
        <v>4</v>
      </c>
      <c r="I625" s="15" t="n">
        <f aca="false">IF(A625&lt;=0,1/(1-C625),(1+A625)*(1-(C625*(1+A625))^H625)/(1-C625*(1+A625))+'3. The decision'!$B$13*C625^H625/(1-C625))</f>
        <v>3.26490730388543</v>
      </c>
      <c r="J625" s="17" t="n">
        <f aca="false">F625+E625*D625/(1-C625)</f>
        <v>12.7249331169822</v>
      </c>
      <c r="K625" s="15" t="n">
        <f aca="false">F625-G625+E625*D625*I625</f>
        <v>14.1474138554087</v>
      </c>
      <c r="L625" s="17" t="n">
        <f aca="false">'3. The decision'!$B$8*'3. The decision'!$B$5/J625</f>
        <v>36.9070702126707</v>
      </c>
      <c r="M625" s="31" t="n">
        <f aca="false">L625*'3. The decision'!$B$6*'3. The decision'!$B$7*K625</f>
        <v>1001476.13581957</v>
      </c>
      <c r="N625" s="31" t="n">
        <f aca="false">M625*(1+'3. The decision'!$B$19+'3. The decision'!$B$20+'3. The decision'!$B$22)</f>
        <v>1107632.60621645</v>
      </c>
      <c r="O625" s="31" t="n">
        <f aca="false">'3. The decision'!$B$17+'3. The decision'!$B$18*L625*12+M625*('3. The decision'!$B$20*(1-'3. The decision'!$B$21)+'3. The decision'!$B$23)+N625*('3. The decision'!$B$24+'3. The decision'!$B$25)</f>
        <v>591593.898594532</v>
      </c>
      <c r="P625" s="31" t="n">
        <f aca="false">N625-O625</f>
        <v>516038.707621916</v>
      </c>
    </row>
    <row r="626" customFormat="false" ht="15" hidden="false" customHeight="false" outlineLevel="0" collapsed="false">
      <c r="A626" s="27" t="n">
        <f aca="false">43*0.0025</f>
        <v>0.1075</v>
      </c>
      <c r="B626" s="27" t="n">
        <f aca="false">IF(A626&gt;0,MIN('3. The decision'!$B$15,'3. The decision'!$B$29*(A626/'3. The decision'!$B$28)^$B$580),0)</f>
        <v>0.0795173425183158</v>
      </c>
      <c r="C626" s="15" t="n">
        <f aca="false">(1-'3. The decision'!$B$27-B626)*(1-'3. The decision'!$B$27)^('3. The decision'!$B$12-1)</f>
        <v>0.605369676027962</v>
      </c>
      <c r="D626" s="15" t="n">
        <f aca="false">1+(1-'3. The decision'!$B$27-B626)*(1-(1-'3. The decision'!$B$27)^('3. The decision'!$B$12-1))/'3. The decision'!$B$27</f>
        <v>4.73854107449207</v>
      </c>
      <c r="E626" s="15" t="n">
        <f aca="false">(1-'3. The decision'!$B$14)*(1-'3. The decision'!$B$27)^('3. The decision'!$B$11-1)</f>
        <v>0.690273454655712</v>
      </c>
      <c r="F626" s="15" t="n">
        <f aca="false">1+(1-'3. The decision'!$B$14)*(1-(1-'3. The decision'!$B$27)^('3. The decision'!$B$11-1))/'3. The decision'!$B$27</f>
        <v>4.28912098262087</v>
      </c>
      <c r="G626" s="15" t="n">
        <f aca="false">(1-(1-'3. The decision'!$B$9*MIN(1,('3. The decision'!$B$10/(52/12)))))+(1-(1-'3. The decision'!$B$9*MAX(0,MIN(1,('3. The decision'!$B$10/(52/12))-1))))*(1-'3. The decision'!$B$14)+(1-(1-'3. The decision'!$B$9*MAX(0,MIN(1,('3. The decision'!$B$10/(52/12))-2))))*(1-'3. The decision'!$B$14)*(1-'3. The decision'!$B$27)</f>
        <v>0.884576923076923</v>
      </c>
      <c r="H626" s="15" t="n">
        <f aca="false">IF(A626&lt;=0,0,MAX(0,ROUNDUP(LN('3. The decision'!$B$13)/LN(1+A626)-0.000000000001,0)-1))</f>
        <v>4</v>
      </c>
      <c r="I626" s="15" t="n">
        <f aca="false">IF(A626&lt;=0,1/(1-C626),(1+A626)*(1-(C626*(1+A626))^H626)/(1-C626*(1+A626))+'3. The decision'!$B$13*C626^H626/(1-C626))</f>
        <v>3.23292660321793</v>
      </c>
      <c r="J626" s="17" t="n">
        <f aca="false">F626+E626*D626/(1-C626)</f>
        <v>12.5776100287627</v>
      </c>
      <c r="K626" s="15" t="n">
        <f aca="false">F626-G626+E626*D626*I626</f>
        <v>13.9790885037427</v>
      </c>
      <c r="L626" s="17" t="n">
        <f aca="false">'3. The decision'!$B$8*'3. The decision'!$B$5/J626</f>
        <v>37.3393672506955</v>
      </c>
      <c r="M626" s="31" t="n">
        <f aca="false">L626*'3. The decision'!$B$6*'3. The decision'!$B$7*K626</f>
        <v>1001151.4584822</v>
      </c>
      <c r="N626" s="31" t="n">
        <f aca="false">M626*(1+'3. The decision'!$B$19+'3. The decision'!$B$20+'3. The decision'!$B$22)</f>
        <v>1107273.51308132</v>
      </c>
      <c r="O626" s="31" t="n">
        <f aca="false">'3. The decision'!$B$17+'3. The decision'!$B$18*L626*12+M626*('3. The decision'!$B$20*(1-'3. The decision'!$B$21)+'3. The decision'!$B$23)+N626*('3. The decision'!$B$24+'3. The decision'!$B$25)</f>
        <v>592213.812115473</v>
      </c>
      <c r="P626" s="31" t="n">
        <f aca="false">N626-O626</f>
        <v>515059.700965843</v>
      </c>
    </row>
    <row r="627" customFormat="false" ht="15" hidden="false" customHeight="false" outlineLevel="0" collapsed="false">
      <c r="A627" s="27" t="n">
        <f aca="false">44*0.0025</f>
        <v>0.11</v>
      </c>
      <c r="B627" s="27" t="n">
        <f aca="false">IF(A627&gt;0,MIN('3. The decision'!$B$15,'3. The decision'!$B$29*(A627/'3. The decision'!$B$28)^$B$580),0)</f>
        <v>0.0863783795981794</v>
      </c>
      <c r="C627" s="15" t="n">
        <f aca="false">(1-'3. The decision'!$B$27-B627)*(1-'3. The decision'!$B$27)^('3. The decision'!$B$12-1)</f>
        <v>0.600506036517411</v>
      </c>
      <c r="D627" s="15" t="n">
        <f aca="false">1+(1-'3. The decision'!$B$27-B627)*(1-(1-'3. The decision'!$B$27)^('3. The decision'!$B$12-1))/'3. The decision'!$B$27</f>
        <v>4.70850502081819</v>
      </c>
      <c r="E627" s="15" t="n">
        <f aca="false">(1-'3. The decision'!$B$14)*(1-'3. The decision'!$B$27)^('3. The decision'!$B$11-1)</f>
        <v>0.690273454655712</v>
      </c>
      <c r="F627" s="15" t="n">
        <f aca="false">1+(1-'3. The decision'!$B$14)*(1-(1-'3. The decision'!$B$27)^('3. The decision'!$B$11-1))/'3. The decision'!$B$27</f>
        <v>4.28912098262087</v>
      </c>
      <c r="G627" s="15" t="n">
        <f aca="false">(1-(1-'3. The decision'!$B$9*MIN(1,('3. The decision'!$B$10/(52/12)))))+(1-(1-'3. The decision'!$B$9*MAX(0,MIN(1,('3. The decision'!$B$10/(52/12))-1))))*(1-'3. The decision'!$B$14)+(1-(1-'3. The decision'!$B$9*MAX(0,MIN(1,('3. The decision'!$B$10/(52/12))-2))))*(1-'3. The decision'!$B$14)*(1-'3. The decision'!$B$27)</f>
        <v>0.884576923076923</v>
      </c>
      <c r="H627" s="15" t="n">
        <f aca="false">IF(A627&lt;=0,0,MAX(0,ROUNDUP(LN('3. The decision'!$B$13)/LN(1+A627)-0.000000000001,0)-1))</f>
        <v>4</v>
      </c>
      <c r="I627" s="15" t="n">
        <f aca="false">IF(A627&lt;=0,1/(1-C627),(1+A627)*(1-(C627*(1+A627))^H627)/(1-C627*(1+A627))+'3. The decision'!$B$13*C627^H627/(1-C627))</f>
        <v>3.19911511915214</v>
      </c>
      <c r="J627" s="17" t="n">
        <f aca="false">F627+E627*D627/(1-C627)</f>
        <v>12.4248034311132</v>
      </c>
      <c r="K627" s="15" t="n">
        <f aca="false">F627-G627+E627*D627*I627</f>
        <v>13.8021673450717</v>
      </c>
      <c r="L627" s="17" t="n">
        <f aca="false">'3. The decision'!$B$8*'3. The decision'!$B$5/J627</f>
        <v>37.798585917582</v>
      </c>
      <c r="M627" s="31" t="n">
        <f aca="false">L627*'3. The decision'!$B$6*'3. The decision'!$B$7*K627</f>
        <v>1000637.59838645</v>
      </c>
      <c r="N627" s="31" t="n">
        <f aca="false">M627*(1+'3. The decision'!$B$19+'3. The decision'!$B$20+'3. The decision'!$B$22)</f>
        <v>1106705.18381541</v>
      </c>
      <c r="O627" s="31" t="n">
        <f aca="false">'3. The decision'!$B$17+'3. The decision'!$B$18*L627*12+M627*('3. The decision'!$B$20*(1-'3. The decision'!$B$21)+'3. The decision'!$B$23)+N627*('3. The decision'!$B$24+'3. The decision'!$B$25)</f>
        <v>592854.146219905</v>
      </c>
      <c r="P627" s="31" t="n">
        <f aca="false">N627-O627</f>
        <v>513851.037595506</v>
      </c>
    </row>
    <row r="628" customFormat="false" ht="15" hidden="false" customHeight="false" outlineLevel="0" collapsed="false">
      <c r="A628" s="27" t="n">
        <f aca="false">45*0.0025</f>
        <v>0.1125</v>
      </c>
      <c r="B628" s="27" t="n">
        <f aca="false">IF(A628&gt;0,MIN('3. The decision'!$B$15,'3. The decision'!$B$29*(A628/'3. The decision'!$B$28)^$B$580),0)</f>
        <v>0.0936570484148816</v>
      </c>
      <c r="C628" s="15" t="n">
        <f aca="false">(1-'3. The decision'!$B$27-B628)*(1-'3. The decision'!$B$27)^('3. The decision'!$B$12-1)</f>
        <v>0.595346346979364</v>
      </c>
      <c r="D628" s="15" t="n">
        <f aca="false">1+(1-'3. The decision'!$B$27-B628)*(1-(1-'3. The decision'!$B$27)^('3. The decision'!$B$12-1))/'3. The decision'!$B$27</f>
        <v>4.67664067076322</v>
      </c>
      <c r="E628" s="15" t="n">
        <f aca="false">(1-'3. The decision'!$B$14)*(1-'3. The decision'!$B$27)^('3. The decision'!$B$11-1)</f>
        <v>0.690273454655712</v>
      </c>
      <c r="F628" s="15" t="n">
        <f aca="false">1+(1-'3. The decision'!$B$14)*(1-(1-'3. The decision'!$B$27)^('3. The decision'!$B$11-1))/'3. The decision'!$B$27</f>
        <v>4.28912098262087</v>
      </c>
      <c r="G628" s="15" t="n">
        <f aca="false">(1-(1-'3. The decision'!$B$9*MIN(1,('3. The decision'!$B$10/(52/12)))))+(1-(1-'3. The decision'!$B$9*MAX(0,MIN(1,('3. The decision'!$B$10/(52/12))-1))))*(1-'3. The decision'!$B$14)+(1-(1-'3. The decision'!$B$9*MAX(0,MIN(1,('3. The decision'!$B$10/(52/12))-2))))*(1-'3. The decision'!$B$14)*(1-'3. The decision'!$B$27)</f>
        <v>0.884576923076923</v>
      </c>
      <c r="H628" s="15" t="n">
        <f aca="false">IF(A628&lt;=0,0,MAX(0,ROUNDUP(LN('3. The decision'!$B$13)/LN(1+A628)-0.000000000001,0)-1))</f>
        <v>4</v>
      </c>
      <c r="I628" s="15" t="n">
        <f aca="false">IF(A628&lt;=0,1/(1-C628),(1+A628)*(1-(C628*(1+A628))^H628)/(1-C628*(1+A628))+'3. The decision'!$B$13*C628^H628/(1-C628))</f>
        <v>3.16351753279646</v>
      </c>
      <c r="J628" s="17" t="n">
        <f aca="false">F628+E628*D628/(1-C628)</f>
        <v>12.266710923781</v>
      </c>
      <c r="K628" s="15" t="n">
        <f aca="false">F628-G628+E628*D628*I628</f>
        <v>13.6168877033161</v>
      </c>
      <c r="L628" s="17" t="n">
        <f aca="false">'3. The decision'!$B$8*'3. The decision'!$B$5/J628</f>
        <v>38.2857314334787</v>
      </c>
      <c r="M628" s="31" t="n">
        <f aca="false">L628*'3. The decision'!$B$6*'3. The decision'!$B$7*K628</f>
        <v>999928.11628317</v>
      </c>
      <c r="N628" s="31" t="n">
        <f aca="false">M628*(1+'3. The decision'!$B$19+'3. The decision'!$B$20+'3. The decision'!$B$22)</f>
        <v>1105920.49660919</v>
      </c>
      <c r="O628" s="31" t="n">
        <f aca="false">'3. The decision'!$B$17+'3. The decision'!$B$18*L628*12+M628*('3. The decision'!$B$20*(1-'3. The decision'!$B$21)+'3. The decision'!$B$23)+N628*('3. The decision'!$B$24+'3. The decision'!$B$25)</f>
        <v>593515.730610832</v>
      </c>
      <c r="P628" s="31" t="n">
        <f aca="false">N628-O628</f>
        <v>512404.765998353</v>
      </c>
    </row>
    <row r="629" customFormat="false" ht="15" hidden="false" customHeight="false" outlineLevel="0" collapsed="false">
      <c r="A629" s="27" t="n">
        <f aca="false">46*0.0025</f>
        <v>0.115</v>
      </c>
      <c r="B629" s="27" t="n">
        <f aca="false">IF(A629&gt;0,MIN('3. The decision'!$B$15,'3. The decision'!$B$29*(A629/'3. The decision'!$B$28)^$B$580),0)</f>
        <v>0.10136863802456</v>
      </c>
      <c r="C629" s="15" t="n">
        <f aca="false">(1-'3. The decision'!$B$27-B629)*(1-'3. The decision'!$B$27)^('3. The decision'!$B$12-1)</f>
        <v>0.589879769335459</v>
      </c>
      <c r="D629" s="15" t="n">
        <f aca="false">1+(1-'3. The decision'!$B$27-B629)*(1-(1-'3. The decision'!$B$27)^('3. The decision'!$B$12-1))/'3. The decision'!$B$27</f>
        <v>4.64288109233053</v>
      </c>
      <c r="E629" s="15" t="n">
        <f aca="false">(1-'3. The decision'!$B$14)*(1-'3. The decision'!$B$27)^('3. The decision'!$B$11-1)</f>
        <v>0.690273454655712</v>
      </c>
      <c r="F629" s="15" t="n">
        <f aca="false">1+(1-'3. The decision'!$B$14)*(1-(1-'3. The decision'!$B$27)^('3. The decision'!$B$11-1))/'3. The decision'!$B$27</f>
        <v>4.28912098262087</v>
      </c>
      <c r="G629" s="15" t="n">
        <f aca="false">(1-(1-'3. The decision'!$B$9*MIN(1,('3. The decision'!$B$10/(52/12)))))+(1-(1-'3. The decision'!$B$9*MAX(0,MIN(1,('3. The decision'!$B$10/(52/12))-1))))*(1-'3. The decision'!$B$14)+(1-(1-'3. The decision'!$B$9*MAX(0,MIN(1,('3. The decision'!$B$10/(52/12))-2))))*(1-'3. The decision'!$B$14)*(1-'3. The decision'!$B$27)</f>
        <v>0.884576923076923</v>
      </c>
      <c r="H629" s="15" t="n">
        <f aca="false">IF(A629&lt;=0,0,MAX(0,ROUNDUP(LN('3. The decision'!$B$13)/LN(1+A629)-0.000000000001,0)-1))</f>
        <v>4</v>
      </c>
      <c r="I629" s="15" t="n">
        <f aca="false">IF(A629&lt;=0,1/(1-C629),(1+A629)*(1-(C629*(1+A629))^H629)/(1-C629*(1+A629))+'3. The decision'!$B$13*C629^H629/(1-C629))</f>
        <v>3.12618604154339</v>
      </c>
      <c r="J629" s="17" t="n">
        <f aca="false">F629+E629*D629/(1-C629)</f>
        <v>12.1035552180783</v>
      </c>
      <c r="K629" s="15" t="n">
        <f aca="false">F629-G629+E629*D629*I629</f>
        <v>13.4235250636349</v>
      </c>
      <c r="L629" s="17" t="n">
        <f aca="false">'3. The decision'!$B$8*'3. The decision'!$B$5/J629</f>
        <v>38.8018224016138</v>
      </c>
      <c r="M629" s="31" t="n">
        <f aca="false">L629*'3. The decision'!$B$6*'3. The decision'!$B$7*K629</f>
        <v>999016.53705691</v>
      </c>
      <c r="N629" s="31" t="n">
        <f aca="false">M629*(1+'3. The decision'!$B$19+'3. The decision'!$B$20+'3. The decision'!$B$22)</f>
        <v>1104912.28998494</v>
      </c>
      <c r="O629" s="31" t="n">
        <f aca="false">'3. The decision'!$B$17+'3. The decision'!$B$18*L629*12+M629*('3. The decision'!$B$20*(1-'3. The decision'!$B$21)+'3. The decision'!$B$23)+N629*('3. The decision'!$B$24+'3. The decision'!$B$25)</f>
        <v>594199.411404198</v>
      </c>
      <c r="P629" s="31" t="n">
        <f aca="false">N629-O629</f>
        <v>510712.878580745</v>
      </c>
    </row>
    <row r="630" customFormat="false" ht="15" hidden="false" customHeight="false" outlineLevel="0" collapsed="false">
      <c r="A630" s="27" t="n">
        <f aca="false">47*0.0025</f>
        <v>0.1175</v>
      </c>
      <c r="B630" s="27" t="n">
        <f aca="false">IF(A630&gt;0,MIN('3. The decision'!$B$15,'3. The decision'!$B$29*(A630/'3. The decision'!$B$28)^$B$580),0)</f>
        <v>0.109528642721232</v>
      </c>
      <c r="C630" s="15" t="n">
        <f aca="false">(1-'3. The decision'!$B$27-B630)*(1-'3. The decision'!$B$27)^('3. The decision'!$B$12-1)</f>
        <v>0.58409532001868</v>
      </c>
      <c r="D630" s="15" t="n">
        <f aca="false">1+(1-'3. The decision'!$B$27-B630)*(1-(1-'3. The decision'!$B$27)^('3. The decision'!$B$12-1))/'3. The decision'!$B$27</f>
        <v>4.60715845503891</v>
      </c>
      <c r="E630" s="15" t="n">
        <f aca="false">(1-'3. The decision'!$B$14)*(1-'3. The decision'!$B$27)^('3. The decision'!$B$11-1)</f>
        <v>0.690273454655712</v>
      </c>
      <c r="F630" s="15" t="n">
        <f aca="false">1+(1-'3. The decision'!$B$14)*(1-(1-'3. The decision'!$B$27)^('3. The decision'!$B$11-1))/'3. The decision'!$B$27</f>
        <v>4.28912098262087</v>
      </c>
      <c r="G630" s="15" t="n">
        <f aca="false">(1-(1-'3. The decision'!$B$9*MIN(1,('3. The decision'!$B$10/(52/12)))))+(1-(1-'3. The decision'!$B$9*MAX(0,MIN(1,('3. The decision'!$B$10/(52/12))-1))))*(1-'3. The decision'!$B$14)+(1-(1-'3. The decision'!$B$9*MAX(0,MIN(1,('3. The decision'!$B$10/(52/12))-2))))*(1-'3. The decision'!$B$14)*(1-'3. The decision'!$B$27)</f>
        <v>0.884576923076923</v>
      </c>
      <c r="H630" s="15" t="n">
        <f aca="false">IF(A630&lt;=0,0,MAX(0,ROUNDUP(LN('3. The decision'!$B$13)/LN(1+A630)-0.000000000001,0)-1))</f>
        <v>4</v>
      </c>
      <c r="I630" s="15" t="n">
        <f aca="false">IF(A630&lt;=0,1/(1-C630),(1+A630)*(1-(C630*(1+A630))^H630)/(1-C630*(1+A630))+'3. The decision'!$B$13*C630^H630/(1-C630))</f>
        <v>3.08717996445178</v>
      </c>
      <c r="J630" s="17" t="n">
        <f aca="false">F630+E630*D630/(1-C630)</f>
        <v>11.9355826263052</v>
      </c>
      <c r="K630" s="15" t="n">
        <f aca="false">F630-G630+E630*D630*I630</f>
        <v>13.2223912599772</v>
      </c>
      <c r="L630" s="17" t="n">
        <f aca="false">'3. The decision'!$B$8*'3. The decision'!$B$5/J630</f>
        <v>39.3478906479977</v>
      </c>
      <c r="M630" s="31" t="n">
        <f aca="false">L630*'3. The decision'!$B$6*'3. The decision'!$B$7*K630</f>
        <v>997896.353428125</v>
      </c>
      <c r="N630" s="31" t="n">
        <f aca="false">M630*(1+'3. The decision'!$B$19+'3. The decision'!$B$20+'3. The decision'!$B$22)</f>
        <v>1103673.36689151</v>
      </c>
      <c r="O630" s="31" t="n">
        <f aca="false">'3. The decision'!$B$17+'3. The decision'!$B$18*L630*12+M630*('3. The decision'!$B$20*(1-'3. The decision'!$B$21)+'3. The decision'!$B$23)+N630*('3. The decision'!$B$24+'3. The decision'!$B$25)</f>
        <v>594906.051284519</v>
      </c>
      <c r="P630" s="31" t="n">
        <f aca="false">N630-O630</f>
        <v>508767.315606988</v>
      </c>
    </row>
    <row r="631" customFormat="false" ht="15" hidden="false" customHeight="false" outlineLevel="0" collapsed="false">
      <c r="A631" s="27" t="n">
        <f aca="false">48*0.0025</f>
        <v>0.12</v>
      </c>
      <c r="B631" s="27" t="n">
        <f aca="false">IF(A631&gt;0,MIN('3. The decision'!$B$15,'3. The decision'!$B$29*(A631/'3. The decision'!$B$28)^$B$580),0)</f>
        <v>0.118152760239935</v>
      </c>
      <c r="C631" s="15" t="n">
        <f aca="false">(1-'3. The decision'!$B$27-B631)*(1-'3. The decision'!$B$27)^('3. The decision'!$B$12-1)</f>
        <v>0.57798187124711</v>
      </c>
      <c r="D631" s="15" t="n">
        <f aca="false">1+(1-'3. The decision'!$B$27-B631)*(1-(1-'3. The decision'!$B$27)^('3. The decision'!$B$12-1))/'3. The decision'!$B$27</f>
        <v>4.56940403778881</v>
      </c>
      <c r="E631" s="15" t="n">
        <f aca="false">(1-'3. The decision'!$B$14)*(1-'3. The decision'!$B$27)^('3. The decision'!$B$11-1)</f>
        <v>0.690273454655712</v>
      </c>
      <c r="F631" s="15" t="n">
        <f aca="false">1+(1-'3. The decision'!$B$14)*(1-(1-'3. The decision'!$B$27)^('3. The decision'!$B$11-1))/'3. The decision'!$B$27</f>
        <v>4.28912098262087</v>
      </c>
      <c r="G631" s="15" t="n">
        <f aca="false">(1-(1-'3. The decision'!$B$9*MIN(1,('3. The decision'!$B$10/(52/12)))))+(1-(1-'3. The decision'!$B$9*MAX(0,MIN(1,('3. The decision'!$B$10/(52/12))-1))))*(1-'3. The decision'!$B$14)+(1-(1-'3. The decision'!$B$9*MAX(0,MIN(1,('3. The decision'!$B$10/(52/12))-2))))*(1-'3. The decision'!$B$14)*(1-'3. The decision'!$B$27)</f>
        <v>0.884576923076923</v>
      </c>
      <c r="H631" s="15" t="n">
        <f aca="false">IF(A631&lt;=0,0,MAX(0,ROUNDUP(LN('3. The decision'!$B$13)/LN(1+A631)-0.000000000001,0)-1))</f>
        <v>4</v>
      </c>
      <c r="I631" s="15" t="n">
        <f aca="false">IF(A631&lt;=0,1/(1-C631),(1+A631)*(1-(C631*(1+A631))^H631)/(1-C631*(1+A631))+'3. The decision'!$B$13*C631^H631/(1-C631))</f>
        <v>3.04656528037832</v>
      </c>
      <c r="J631" s="17" t="n">
        <f aca="false">F631+E631*D631/(1-C631)</f>
        <v>11.7630613088411</v>
      </c>
      <c r="K631" s="15" t="n">
        <f aca="false">F631-G631+E631*D631*I631</f>
        <v>13.0138323269889</v>
      </c>
      <c r="L631" s="17" t="n">
        <f aca="false">'3. The decision'!$B$8*'3. The decision'!$B$5/J631</f>
        <v>39.9249810631369</v>
      </c>
      <c r="M631" s="31" t="n">
        <f aca="false">L631*'3. The decision'!$B$6*'3. The decision'!$B$7*K631</f>
        <v>996561.032618185</v>
      </c>
      <c r="N631" s="31" t="n">
        <f aca="false">M631*(1+'3. The decision'!$B$19+'3. The decision'!$B$20+'3. The decision'!$B$22)</f>
        <v>1102196.50207571</v>
      </c>
      <c r="O631" s="31" t="n">
        <f aca="false">'3. The decision'!$B$17+'3. The decision'!$B$18*L631*12+M631*('3. The decision'!$B$20*(1-'3. The decision'!$B$21)+'3. The decision'!$B$23)+N631*('3. The decision'!$B$24+'3. The decision'!$B$25)</f>
        <v>595636.529982446</v>
      </c>
      <c r="P631" s="31" t="n">
        <f aca="false">N631-O631</f>
        <v>506559.972093267</v>
      </c>
    </row>
    <row r="632" customFormat="false" ht="15" hidden="false" customHeight="false" outlineLevel="0" collapsed="false">
      <c r="A632" s="27" t="n">
        <f aca="false">49*0.0025</f>
        <v>0.1225</v>
      </c>
      <c r="B632" s="27" t="n">
        <f aca="false">IF(A632&gt;0,MIN('3. The decision'!$B$15,'3. The decision'!$B$29*(A632/'3. The decision'!$B$28)^$B$580),0)</f>
        <v>0.12725689001376</v>
      </c>
      <c r="C632" s="15" t="n">
        <f aca="false">(1-'3. The decision'!$B$27-B632)*(1-'3. The decision'!$B$27)^('3. The decision'!$B$12-1)</f>
        <v>0.571528152259479</v>
      </c>
      <c r="D632" s="15" t="n">
        <f aca="false">1+(1-'3. The decision'!$B$27-B632)*(1-(1-'3. The decision'!$B$27)^('3. The decision'!$B$12-1))/'3. The decision'!$B$27</f>
        <v>4.52954823649265</v>
      </c>
      <c r="E632" s="15" t="n">
        <f aca="false">(1-'3. The decision'!$B$14)*(1-'3. The decision'!$B$27)^('3. The decision'!$B$11-1)</f>
        <v>0.690273454655712</v>
      </c>
      <c r="F632" s="15" t="n">
        <f aca="false">1+(1-'3. The decision'!$B$14)*(1-(1-'3. The decision'!$B$27)^('3. The decision'!$B$11-1))/'3. The decision'!$B$27</f>
        <v>4.28912098262087</v>
      </c>
      <c r="G632" s="15" t="n">
        <f aca="false">(1-(1-'3. The decision'!$B$9*MIN(1,('3. The decision'!$B$10/(52/12)))))+(1-(1-'3. The decision'!$B$9*MAX(0,MIN(1,('3. The decision'!$B$10/(52/12))-1))))*(1-'3. The decision'!$B$14)+(1-(1-'3. The decision'!$B$9*MAX(0,MIN(1,('3. The decision'!$B$10/(52/12))-2))))*(1-'3. The decision'!$B$14)*(1-'3. The decision'!$B$27)</f>
        <v>0.884576923076923</v>
      </c>
      <c r="H632" s="15" t="n">
        <f aca="false">IF(A632&lt;=0,0,MAX(0,ROUNDUP(LN('3. The decision'!$B$13)/LN(1+A632)-0.000000000001,0)-1))</f>
        <v>4</v>
      </c>
      <c r="I632" s="15" t="n">
        <f aca="false">IF(A632&lt;=0,1/(1-C632),(1+A632)*(1-(C632*(1+A632))^H632)/(1-C632*(1+A632))+'3. The decision'!$B$13*C632^H632/(1-C632))</f>
        <v>3.00441410726427</v>
      </c>
      <c r="J632" s="17" t="n">
        <f aca="false">F632+E632*D632/(1-C632)</f>
        <v>11.5862793040398</v>
      </c>
      <c r="K632" s="15" t="n">
        <f aca="false">F632-G632+E632*D632*I632</f>
        <v>12.7982260537971</v>
      </c>
      <c r="L632" s="17" t="n">
        <f aca="false">'3. The decision'!$B$8*'3. The decision'!$B$5/J632</f>
        <v>40.5341514455164</v>
      </c>
      <c r="M632" s="31" t="n">
        <f aca="false">L632*'3. The decision'!$B$6*'3. The decision'!$B$7*K632</f>
        <v>995004.026766543</v>
      </c>
      <c r="N632" s="31" t="n">
        <f aca="false">M632*(1+'3. The decision'!$B$19+'3. The decision'!$B$20+'3. The decision'!$B$22)</f>
        <v>1100474.4536038</v>
      </c>
      <c r="O632" s="31" t="n">
        <f aca="false">'3. The decision'!$B$17+'3. The decision'!$B$18*L632*12+M632*('3. The decision'!$B$20*(1-'3. The decision'!$B$21)+'3. The decision'!$B$23)+N632*('3. The decision'!$B$24+'3. The decision'!$B$25)</f>
        <v>596391.745158833</v>
      </c>
      <c r="P632" s="31" t="n">
        <f aca="false">N632-O632</f>
        <v>504082.708444964</v>
      </c>
    </row>
    <row r="633" customFormat="false" ht="15" hidden="false" customHeight="false" outlineLevel="0" collapsed="false">
      <c r="A633" s="27" t="n">
        <f aca="false">50*0.0025</f>
        <v>0.125</v>
      </c>
      <c r="B633" s="27" t="n">
        <f aca="false">IF(A633&gt;0,MIN('3. The decision'!$B$15,'3. The decision'!$B$29*(A633/'3. The decision'!$B$28)^$B$580),0)</f>
        <v>0.136857131482068</v>
      </c>
      <c r="C633" s="15" t="n">
        <f aca="false">(1-'3. The decision'!$B$27-B633)*(1-'3. The decision'!$B$27)^('3. The decision'!$B$12-1)</f>
        <v>0.564722750514439</v>
      </c>
      <c r="D633" s="15" t="n">
        <f aca="false">1+(1-'3. The decision'!$B$27-B633)*(1-(1-'3. The decision'!$B$27)^('3. The decision'!$B$12-1))/'3. The decision'!$B$27</f>
        <v>4.4875205714811</v>
      </c>
      <c r="E633" s="15" t="n">
        <f aca="false">(1-'3. The decision'!$B$14)*(1-'3. The decision'!$B$27)^('3. The decision'!$B$11-1)</f>
        <v>0.690273454655712</v>
      </c>
      <c r="F633" s="15" t="n">
        <f aca="false">1+(1-'3. The decision'!$B$14)*(1-(1-'3. The decision'!$B$27)^('3. The decision'!$B$11-1))/'3. The decision'!$B$27</f>
        <v>4.28912098262087</v>
      </c>
      <c r="G633" s="15" t="n">
        <f aca="false">(1-(1-'3. The decision'!$B$9*MIN(1,('3. The decision'!$B$10/(52/12)))))+(1-(1-'3. The decision'!$B$9*MAX(0,MIN(1,('3. The decision'!$B$10/(52/12))-1))))*(1-'3. The decision'!$B$14)+(1-(1-'3. The decision'!$B$9*MAX(0,MIN(1,('3. The decision'!$B$10/(52/12))-2))))*(1-'3. The decision'!$B$14)*(1-'3. The decision'!$B$27)</f>
        <v>0.884576923076923</v>
      </c>
      <c r="H633" s="15" t="n">
        <f aca="false">IF(A633&lt;=0,0,MAX(0,ROUNDUP(LN('3. The decision'!$B$13)/LN(1+A633)-0.000000000001,0)-1))</f>
        <v>4</v>
      </c>
      <c r="I633" s="15" t="n">
        <f aca="false">IF(A633&lt;=0,1/(1-C633),(1+A633)*(1-(C633*(1+A633))^H633)/(1-C633*(1+A633))+'3. The decision'!$B$13*C633^H633/(1-C633))</f>
        <v>2.96080413220026</v>
      </c>
      <c r="J633" s="17" t="n">
        <f aca="false">F633+E633*D633/(1-C633)</f>
        <v>11.4055423700832</v>
      </c>
      <c r="K633" s="15" t="n">
        <f aca="false">F633-G633+E633*D633*I633</f>
        <v>12.575979282613</v>
      </c>
      <c r="L633" s="17" t="n">
        <f aca="false">'3. The decision'!$B$8*'3. The decision'!$B$5/J633</f>
        <v>41.1764723466257</v>
      </c>
      <c r="M633" s="31" t="n">
        <f aca="false">L633*'3. The decision'!$B$6*'3. The decision'!$B$7*K633</f>
        <v>993218.787942632</v>
      </c>
      <c r="N633" s="31" t="n">
        <f aca="false">M633*(1+'3. The decision'!$B$19+'3. The decision'!$B$20+'3. The decision'!$B$22)</f>
        <v>1098499.97946455</v>
      </c>
      <c r="O633" s="31" t="n">
        <f aca="false">'3. The decision'!$B$17+'3. The decision'!$B$18*L633*12+M633*('3. The decision'!$B$20*(1-'3. The decision'!$B$21)+'3. The decision'!$B$23)+N633*('3. The decision'!$B$24+'3. The decision'!$B$25)</f>
        <v>597172.61378566</v>
      </c>
      <c r="P633" s="31" t="n">
        <f aca="false">N633-O633</f>
        <v>501327.365678891</v>
      </c>
    </row>
    <row r="634" customFormat="false" ht="15" hidden="false" customHeight="false" outlineLevel="0" collapsed="false">
      <c r="A634" s="27" t="n">
        <f aca="false">51*0.0025</f>
        <v>0.1275</v>
      </c>
      <c r="B634" s="27" t="n">
        <f aca="false">IF(A634&gt;0,MIN('3. The decision'!$B$15,'3. The decision'!$B$29*(A634/'3. The decision'!$B$28)^$B$580),0)</f>
        <v>0.146969782447346</v>
      </c>
      <c r="C634" s="15" t="n">
        <f aca="false">(1-'3. The decision'!$B$27-B634)*(1-'3. The decision'!$B$27)^('3. The decision'!$B$12-1)</f>
        <v>0.557554112855348</v>
      </c>
      <c r="D634" s="15" t="n">
        <f aca="false">1+(1-'3. The decision'!$B$27-B634)*(1-(1-'3. The decision'!$B$27)^('3. The decision'!$B$12-1))/'3. The decision'!$B$27</f>
        <v>4.44324969469634</v>
      </c>
      <c r="E634" s="15" t="n">
        <f aca="false">(1-'3. The decision'!$B$14)*(1-'3. The decision'!$B$27)^('3. The decision'!$B$11-1)</f>
        <v>0.690273454655712</v>
      </c>
      <c r="F634" s="15" t="n">
        <f aca="false">1+(1-'3. The decision'!$B$14)*(1-(1-'3. The decision'!$B$27)^('3. The decision'!$B$11-1))/'3. The decision'!$B$27</f>
        <v>4.28912098262087</v>
      </c>
      <c r="G634" s="15" t="n">
        <f aca="false">(1-(1-'3. The decision'!$B$9*MIN(1,('3. The decision'!$B$10/(52/12)))))+(1-(1-'3. The decision'!$B$9*MAX(0,MIN(1,('3. The decision'!$B$10/(52/12))-1))))*(1-'3. The decision'!$B$14)+(1-(1-'3. The decision'!$B$9*MAX(0,MIN(1,('3. The decision'!$B$10/(52/12))-2))))*(1-'3. The decision'!$B$14)*(1-'3. The decision'!$B$27)</f>
        <v>0.884576923076923</v>
      </c>
      <c r="H634" s="15" t="n">
        <f aca="false">IF(A634&lt;=0,0,MAX(0,ROUNDUP(LN('3. The decision'!$B$13)/LN(1+A634)-0.000000000001,0)-1))</f>
        <v>4</v>
      </c>
      <c r="I634" s="15" t="n">
        <f aca="false">IF(A634&lt;=0,1/(1-C634),(1+A634)*(1-(C634*(1+A634))^H634)/(1-C634*(1+A634))+'3. The decision'!$B$13*C634^H634/(1-C634))</f>
        <v>2.91581800285444</v>
      </c>
      <c r="J634" s="17" t="n">
        <f aca="false">F634+E634*D634/(1-C634)</f>
        <v>11.2211716712359</v>
      </c>
      <c r="K634" s="15" t="n">
        <f aca="false">F634-G634+E634*D634*I634</f>
        <v>12.3475249992359</v>
      </c>
      <c r="L634" s="17" t="n">
        <f aca="false">'3. The decision'!$B$8*'3. The decision'!$B$5/J634</f>
        <v>41.8530269173106</v>
      </c>
      <c r="M634" s="31" t="n">
        <f aca="false">L634*'3. The decision'!$B$6*'3. The decision'!$B$7*K634</f>
        <v>991198.788632674</v>
      </c>
      <c r="N634" s="31" t="n">
        <f aca="false">M634*(1+'3. The decision'!$B$19+'3. The decision'!$B$20+'3. The decision'!$B$22)</f>
        <v>1096265.86022774</v>
      </c>
      <c r="O634" s="31" t="n">
        <f aca="false">'3. The decision'!$B$17+'3. The decision'!$B$18*L634*12+M634*('3. The decision'!$B$20*(1-'3. The decision'!$B$21)+'3. The decision'!$B$23)+N634*('3. The decision'!$B$24+'3. The decision'!$B$25)</f>
        <v>597980.07411822</v>
      </c>
      <c r="P634" s="31" t="n">
        <f aca="false">N634-O634</f>
        <v>498285.786109518</v>
      </c>
    </row>
    <row r="635" customFormat="false" ht="15" hidden="false" customHeight="false" outlineLevel="0" collapsed="false">
      <c r="A635" s="27" t="n">
        <f aca="false">52*0.0025</f>
        <v>0.13</v>
      </c>
      <c r="B635" s="27" t="n">
        <f aca="false">IF(A635&gt;0,MIN('3. The decision'!$B$15,'3. The decision'!$B$29*(A635/'3. The decision'!$B$28)^$B$580),0)</f>
        <v>0.157611337478381</v>
      </c>
      <c r="C635" s="15" t="n">
        <f aca="false">(1-'3. The decision'!$B$27-B635)*(1-'3. The decision'!$B$27)^('3. The decision'!$B$12-1)</f>
        <v>0.550010546642225</v>
      </c>
      <c r="D635" s="15" t="n">
        <f aca="false">1+(1-'3. The decision'!$B$27-B635)*(1-(1-'3. The decision'!$B$27)^('3. The decision'!$B$12-1))/'3. The decision'!$B$27</f>
        <v>4.39666339668262</v>
      </c>
      <c r="E635" s="15" t="n">
        <f aca="false">(1-'3. The decision'!$B$14)*(1-'3. The decision'!$B$27)^('3. The decision'!$B$11-1)</f>
        <v>0.690273454655712</v>
      </c>
      <c r="F635" s="15" t="n">
        <f aca="false">1+(1-'3. The decision'!$B$14)*(1-(1-'3. The decision'!$B$27)^('3. The decision'!$B$11-1))/'3. The decision'!$B$27</f>
        <v>4.28912098262087</v>
      </c>
      <c r="G635" s="15" t="n">
        <f aca="false">(1-(1-'3. The decision'!$B$9*MIN(1,('3. The decision'!$B$10/(52/12)))))+(1-(1-'3. The decision'!$B$9*MAX(0,MIN(1,('3. The decision'!$B$10/(52/12))-1))))*(1-'3. The decision'!$B$14)+(1-(1-'3. The decision'!$B$9*MAX(0,MIN(1,('3. The decision'!$B$10/(52/12))-2))))*(1-'3. The decision'!$B$14)*(1-'3. The decision'!$B$27)</f>
        <v>0.884576923076923</v>
      </c>
      <c r="H635" s="15" t="n">
        <f aca="false">IF(A635&lt;=0,0,MAX(0,ROUNDUP(LN('3. The decision'!$B$13)/LN(1+A635)-0.000000000001,0)-1))</f>
        <v>3</v>
      </c>
      <c r="I635" s="15" t="n">
        <f aca="false">IF(A635&lt;=0,1/(1-C635),(1+A635)*(1-(C635*(1+A635))^H635)/(1-C635*(1+A635))+'3. The decision'!$B$13*C635^H635/(1-C635))</f>
        <v>2.86780004441647</v>
      </c>
      <c r="J635" s="17" t="n">
        <f aca="false">F635+E635*D635/(1-C635)</f>
        <v>11.0335013434056</v>
      </c>
      <c r="K635" s="15" t="n">
        <f aca="false">F635-G635+E635*D635*I635</f>
        <v>12.1080305055006</v>
      </c>
      <c r="L635" s="17" t="n">
        <f aca="false">'3. The decision'!$B$8*'3. The decision'!$B$5/J635</f>
        <v>42.5649107552509</v>
      </c>
      <c r="M635" s="31" t="n">
        <f aca="false">L635*'3. The decision'!$B$6*'3. The decision'!$B$7*K635</f>
        <v>988505.771560515</v>
      </c>
      <c r="N635" s="31" t="n">
        <f aca="false">M635*(1+'3. The decision'!$B$19+'3. The decision'!$B$20+'3. The decision'!$B$22)</f>
        <v>1093287.38334593</v>
      </c>
      <c r="O635" s="31" t="n">
        <f aca="false">'3. The decision'!$B$17+'3. The decision'!$B$18*L635*12+M635*('3. The decision'!$B$20*(1-'3. The decision'!$B$21)+'3. The decision'!$B$23)+N635*('3. The decision'!$B$24+'3. The decision'!$B$25)</f>
        <v>598768.617487539</v>
      </c>
      <c r="P635" s="31" t="n">
        <f aca="false">N635-O635</f>
        <v>494518.76585839</v>
      </c>
    </row>
    <row r="636" customFormat="false" ht="15" hidden="false" customHeight="false" outlineLevel="0" collapsed="false">
      <c r="A636" s="27" t="n">
        <f aca="false">53*0.0025</f>
        <v>0.1325</v>
      </c>
      <c r="B636" s="27" t="n">
        <f aca="false">IF(A636&gt;0,MIN('3. The decision'!$B$15,'3. The decision'!$B$29*(A636/'3. The decision'!$B$28)^$B$580),0)</f>
        <v>0.168798486357536</v>
      </c>
      <c r="C636" s="15" t="n">
        <f aca="false">(1-'3. The decision'!$B$27-B636)*(1-'3. The decision'!$B$27)^('3. The decision'!$B$12-1)</f>
        <v>0.542080220852446</v>
      </c>
      <c r="D636" s="15" t="n">
        <f aca="false">1+(1-'3. The decision'!$B$27-B636)*(1-(1-'3. The decision'!$B$27)^('3. The decision'!$B$12-1))/'3. The decision'!$B$27</f>
        <v>4.34768861338373</v>
      </c>
      <c r="E636" s="15" t="n">
        <f aca="false">(1-'3. The decision'!$B$14)*(1-'3. The decision'!$B$27)^('3. The decision'!$B$11-1)</f>
        <v>0.690273454655712</v>
      </c>
      <c r="F636" s="15" t="n">
        <f aca="false">1+(1-'3. The decision'!$B$14)*(1-(1-'3. The decision'!$B$27)^('3. The decision'!$B$11-1))/'3. The decision'!$B$27</f>
        <v>4.28912098262087</v>
      </c>
      <c r="G636" s="15" t="n">
        <f aca="false">(1-(1-'3. The decision'!$B$9*MIN(1,('3. The decision'!$B$10/(52/12)))))+(1-(1-'3. The decision'!$B$9*MAX(0,MIN(1,('3. The decision'!$B$10/(52/12))-1))))*(1-'3. The decision'!$B$14)+(1-(1-'3. The decision'!$B$9*MAX(0,MIN(1,('3. The decision'!$B$10/(52/12))-2))))*(1-'3. The decision'!$B$14)*(1-'3. The decision'!$B$27)</f>
        <v>0.884576923076923</v>
      </c>
      <c r="H636" s="15" t="n">
        <f aca="false">IF(A636&lt;=0,0,MAX(0,ROUNDUP(LN('3. The decision'!$B$13)/LN(1+A636)-0.000000000001,0)-1))</f>
        <v>3</v>
      </c>
      <c r="I636" s="15" t="n">
        <f aca="false">IF(A636&lt;=0,1/(1-C636),(1+A636)*(1-(C636*(1+A636))^H636)/(1-C636*(1+A636))+'3. The decision'!$B$13*C636^H636/(1-C636))</f>
        <v>2.81809445295664</v>
      </c>
      <c r="J636" s="17" t="n">
        <f aca="false">F636+E636*D636/(1-C636)</f>
        <v>10.8428759755028</v>
      </c>
      <c r="K636" s="15" t="n">
        <f aca="false">F636-G636+E636*D636*I636</f>
        <v>11.8619105234473</v>
      </c>
      <c r="L636" s="17" t="n">
        <f aca="false">'3. The decision'!$B$8*'3. The decision'!$B$5/J636</f>
        <v>43.3132317533698</v>
      </c>
      <c r="M636" s="31" t="n">
        <f aca="false">L636*'3. The decision'!$B$6*'3. The decision'!$B$7*K636</f>
        <v>985437.780692124</v>
      </c>
      <c r="N636" s="31" t="n">
        <f aca="false">M636*(1+'3. The decision'!$B$19+'3. The decision'!$B$20+'3. The decision'!$B$22)</f>
        <v>1089894.18544549</v>
      </c>
      <c r="O636" s="31" t="n">
        <f aca="false">'3. The decision'!$B$17+'3. The decision'!$B$18*L636*12+M636*('3. The decision'!$B$20*(1-'3. The decision'!$B$21)+'3. The decision'!$B$23)+N636*('3. The decision'!$B$24+'3. The decision'!$B$25)</f>
        <v>599571.999743661</v>
      </c>
      <c r="P636" s="31" t="n">
        <f aca="false">N636-O636</f>
        <v>490322.185701828</v>
      </c>
    </row>
    <row r="637" customFormat="false" ht="15" hidden="false" customHeight="false" outlineLevel="0" collapsed="false">
      <c r="A637" s="27" t="n">
        <f aca="false">54*0.0025</f>
        <v>0.135</v>
      </c>
      <c r="B637" s="27" t="n">
        <f aca="false">IF(A637&gt;0,MIN('3. The decision'!$B$15,'3. The decision'!$B$29*(A637/'3. The decision'!$B$28)^$B$580),0)</f>
        <v>0.180548112570087</v>
      </c>
      <c r="C637" s="15" t="n">
        <f aca="false">(1-'3. The decision'!$B$27-B637)*(1-'3. The decision'!$B$27)^('3. The decision'!$B$12-1)</f>
        <v>0.533751167151617</v>
      </c>
      <c r="D637" s="15" t="n">
        <f aca="false">1+(1-'3. The decision'!$B$27-B637)*(1-(1-'3. The decision'!$B$27)^('3. The decision'!$B$12-1))/'3. The decision'!$B$27</f>
        <v>4.29625143275633</v>
      </c>
      <c r="E637" s="15" t="n">
        <f aca="false">(1-'3. The decision'!$B$14)*(1-'3. The decision'!$B$27)^('3. The decision'!$B$11-1)</f>
        <v>0.690273454655712</v>
      </c>
      <c r="F637" s="15" t="n">
        <f aca="false">1+(1-'3. The decision'!$B$14)*(1-(1-'3. The decision'!$B$27)^('3. The decision'!$B$11-1))/'3. The decision'!$B$27</f>
        <v>4.28912098262087</v>
      </c>
      <c r="G637" s="15" t="n">
        <f aca="false">(1-(1-'3. The decision'!$B$9*MIN(1,('3. The decision'!$B$10/(52/12)))))+(1-(1-'3. The decision'!$B$9*MAX(0,MIN(1,('3. The decision'!$B$10/(52/12))-1))))*(1-'3. The decision'!$B$14)+(1-(1-'3. The decision'!$B$9*MAX(0,MIN(1,('3. The decision'!$B$10/(52/12))-2))))*(1-'3. The decision'!$B$14)*(1-'3. The decision'!$B$27)</f>
        <v>0.884576923076923</v>
      </c>
      <c r="H637" s="15" t="n">
        <f aca="false">IF(A637&lt;=0,0,MAX(0,ROUNDUP(LN('3. The decision'!$B$13)/LN(1+A637)-0.000000000001,0)-1))</f>
        <v>3</v>
      </c>
      <c r="I637" s="15" t="n">
        <f aca="false">IF(A637&lt;=0,1/(1-C637),(1+A637)*(1-(C637*(1+A637))^H637)/(1-C637*(1+A637))+'3. The decision'!$B$13*C637^H637/(1-C637))</f>
        <v>2.76748013363545</v>
      </c>
      <c r="J637" s="17" t="n">
        <f aca="false">F637+E637*D637/(1-C637)</f>
        <v>10.6496480437634</v>
      </c>
      <c r="K637" s="15" t="n">
        <f aca="false">F637-G637+E637*D637*I637</f>
        <v>11.6117508156953</v>
      </c>
      <c r="L637" s="17" t="n">
        <f aca="false">'3. The decision'!$B$8*'3. The decision'!$B$5/J637</f>
        <v>44.0991099489929</v>
      </c>
      <c r="M637" s="31" t="n">
        <f aca="false">L637*'3. The decision'!$B$6*'3. The decision'!$B$7*K637</f>
        <v>982158.336780892</v>
      </c>
      <c r="N637" s="31" t="n">
        <f aca="false">M637*(1+'3. The decision'!$B$19+'3. The decision'!$B$20+'3. The decision'!$B$22)</f>
        <v>1086267.12047967</v>
      </c>
      <c r="O637" s="31" t="n">
        <f aca="false">'3. The decision'!$B$17+'3. The decision'!$B$18*L637*12+M637*('3. The decision'!$B$20*(1-'3. The decision'!$B$21)+'3. The decision'!$B$23)+N637*('3. The decision'!$B$24+'3. The decision'!$B$25)</f>
        <v>600409.516803565</v>
      </c>
      <c r="P637" s="31" t="n">
        <f aca="false">N637-O637</f>
        <v>485857.603676102</v>
      </c>
    </row>
    <row r="638" customFormat="false" ht="15" hidden="false" customHeight="false" outlineLevel="0" collapsed="false">
      <c r="A638" s="27" t="n">
        <f aca="false">55*0.0025</f>
        <v>0.1375</v>
      </c>
      <c r="B638" s="27" t="n">
        <f aca="false">IF(A638&gt;0,MIN('3. The decision'!$B$15,'3. The decision'!$B$29*(A638/'3. The decision'!$B$28)^$B$580),0)</f>
        <v>0.19287729183371</v>
      </c>
      <c r="C638" s="15" t="n">
        <f aca="false">(1-'3. The decision'!$B$27-B638)*(1-'3. The decision'!$B$27)^('3. The decision'!$B$12-1)</f>
        <v>0.525011280935989</v>
      </c>
      <c r="D638" s="15" t="n">
        <f aca="false">1+(1-'3. The decision'!$B$27-B638)*(1-(1-'3. The decision'!$B$27)^('3. The decision'!$B$12-1))/'3. The decision'!$B$27</f>
        <v>4.24227710120754</v>
      </c>
      <c r="E638" s="15" t="n">
        <f aca="false">(1-'3. The decision'!$B$14)*(1-'3. The decision'!$B$27)^('3. The decision'!$B$11-1)</f>
        <v>0.690273454655712</v>
      </c>
      <c r="F638" s="15" t="n">
        <f aca="false">1+(1-'3. The decision'!$B$14)*(1-(1-'3. The decision'!$B$27)^('3. The decision'!$B$11-1))/'3. The decision'!$B$27</f>
        <v>4.28912098262087</v>
      </c>
      <c r="G638" s="15" t="n">
        <f aca="false">(1-(1-'3. The decision'!$B$9*MIN(1,('3. The decision'!$B$10/(52/12)))))+(1-(1-'3. The decision'!$B$9*MAX(0,MIN(1,('3. The decision'!$B$10/(52/12))-1))))*(1-'3. The decision'!$B$14)+(1-(1-'3. The decision'!$B$9*MAX(0,MIN(1,('3. The decision'!$B$10/(52/12))-2))))*(1-'3. The decision'!$B$14)*(1-'3. The decision'!$B$27)</f>
        <v>0.884576923076923</v>
      </c>
      <c r="H638" s="15" t="n">
        <f aca="false">IF(A638&lt;=0,0,MAX(0,ROUNDUP(LN('3. The decision'!$B$13)/LN(1+A638)-0.000000000001,0)-1))</f>
        <v>3</v>
      </c>
      <c r="I638" s="15" t="n">
        <f aca="false">IF(A638&lt;=0,1/(1-C638),(1+A638)*(1-(C638*(1+A638))^H638)/(1-C638*(1+A638))+'3. The decision'!$B$13*C638^H638/(1-C638))</f>
        <v>2.71606009814072</v>
      </c>
      <c r="J638" s="17" t="n">
        <f aca="false">F638+E638*D638/(1-C638)</f>
        <v>10.4541753359701</v>
      </c>
      <c r="K638" s="15" t="n">
        <f aca="false">F638-G638+E638*D638*I638</f>
        <v>11.3580677768277</v>
      </c>
      <c r="L638" s="17" t="n">
        <f aca="false">'3. The decision'!$B$8*'3. The decision'!$B$5/J638</f>
        <v>44.9236773735841</v>
      </c>
      <c r="M638" s="31" t="n">
        <f aca="false">L638*'3. The decision'!$B$6*'3. The decision'!$B$7*K638</f>
        <v>978664.266187041</v>
      </c>
      <c r="N638" s="31" t="n">
        <f aca="false">M638*(1+'3. The decision'!$B$19+'3. The decision'!$B$20+'3. The decision'!$B$22)</f>
        <v>1082402.67840287</v>
      </c>
      <c r="O638" s="31" t="n">
        <f aca="false">'3. The decision'!$B$17+'3. The decision'!$B$18*L638*12+M638*('3. The decision'!$B$20*(1-'3. The decision'!$B$21)+'3. The decision'!$B$23)+N638*('3. The decision'!$B$24+'3. The decision'!$B$25)</f>
        <v>601282.541935885</v>
      </c>
      <c r="P638" s="31" t="n">
        <f aca="false">N638-O638</f>
        <v>481120.136466982</v>
      </c>
    </row>
    <row r="639" customFormat="false" ht="15" hidden="false" customHeight="false" outlineLevel="0" collapsed="false">
      <c r="A639" s="27" t="n">
        <f aca="false">56*0.0025</f>
        <v>0.14</v>
      </c>
      <c r="B639" s="27" t="n">
        <f aca="false">IF(A639&gt;0,MIN('3. The decision'!$B$15,'3. The decision'!$B$29*(A639/'3. The decision'!$B$28)^$B$580),0)</f>
        <v>0.205803290666312</v>
      </c>
      <c r="C639" s="15" t="n">
        <f aca="false">(1-'3. The decision'!$B$27-B639)*(1-'3. The decision'!$B$27)^('3. The decision'!$B$12-1)</f>
        <v>0.51584832234769</v>
      </c>
      <c r="D639" s="15" t="n">
        <f aca="false">1+(1-'3. The decision'!$B$27-B639)*(1-(1-'3. The decision'!$B$27)^('3. The decision'!$B$12-1))/'3. The decision'!$B$27</f>
        <v>4.18569002986464</v>
      </c>
      <c r="E639" s="15" t="n">
        <f aca="false">(1-'3. The decision'!$B$14)*(1-'3. The decision'!$B$27)^('3. The decision'!$B$11-1)</f>
        <v>0.690273454655712</v>
      </c>
      <c r="F639" s="15" t="n">
        <f aca="false">1+(1-'3. The decision'!$B$14)*(1-(1-'3. The decision'!$B$27)^('3. The decision'!$B$11-1))/'3. The decision'!$B$27</f>
        <v>4.28912098262087</v>
      </c>
      <c r="G639" s="15" t="n">
        <f aca="false">(1-(1-'3. The decision'!$B$9*MIN(1,('3. The decision'!$B$10/(52/12)))))+(1-(1-'3. The decision'!$B$9*MAX(0,MIN(1,('3. The decision'!$B$10/(52/12))-1))))*(1-'3. The decision'!$B$14)+(1-(1-'3. The decision'!$B$9*MAX(0,MIN(1,('3. The decision'!$B$10/(52/12))-2))))*(1-'3. The decision'!$B$14)*(1-'3. The decision'!$B$27)</f>
        <v>0.884576923076923</v>
      </c>
      <c r="H639" s="15" t="n">
        <f aca="false">IF(A639&lt;=0,0,MAX(0,ROUNDUP(LN('3. The decision'!$B$13)/LN(1+A639)-0.000000000001,0)-1))</f>
        <v>3</v>
      </c>
      <c r="I639" s="15" t="n">
        <f aca="false">IF(A639&lt;=0,1/(1-C639),(1+A639)*(1-(C639*(1+A639))^H639)/(1-C639*(1+A639))+'3. The decision'!$B$13*C639^H639/(1-C639))</f>
        <v>2.66393796442307</v>
      </c>
      <c r="J639" s="17" t="n">
        <f aca="false">F639+E639*D639/(1-C639)</f>
        <v>10.2568184014193</v>
      </c>
      <c r="K639" s="15" t="n">
        <f aca="false">F639-G639+E639*D639*I639</f>
        <v>11.101382012143</v>
      </c>
      <c r="L639" s="17" t="n">
        <f aca="false">'3. The decision'!$B$8*'3. The decision'!$B$5/J639</f>
        <v>45.7880779028916</v>
      </c>
      <c r="M639" s="31" t="n">
        <f aca="false">L639*'3. The decision'!$B$6*'3. The decision'!$B$7*K639</f>
        <v>974952.452978215</v>
      </c>
      <c r="N639" s="31" t="n">
        <f aca="false">M639*(1+'3. The decision'!$B$19+'3. The decision'!$B$20+'3. The decision'!$B$22)</f>
        <v>1078297.41299391</v>
      </c>
      <c r="O639" s="31" t="n">
        <f aca="false">'3. The decision'!$B$17+'3. The decision'!$B$18*L639*12+M639*('3. The decision'!$B$20*(1-'3. The decision'!$B$21)+'3. The decision'!$B$23)+N639*('3. The decision'!$B$24+'3. The decision'!$B$25)</f>
        <v>602192.47256224</v>
      </c>
      <c r="P639" s="31" t="n">
        <f aca="false">N639-O639</f>
        <v>476104.940431667</v>
      </c>
    </row>
    <row r="640" customFormat="false" ht="15" hidden="false" customHeight="false" outlineLevel="0" collapsed="false">
      <c r="A640" s="27" t="n">
        <f aca="false">57*0.0025</f>
        <v>0.1425</v>
      </c>
      <c r="B640" s="27" t="n">
        <f aca="false">IF(A640&gt;0,MIN('3. The decision'!$B$15,'3. The decision'!$B$29*(A640/'3. The decision'!$B$28)^$B$580),0)</f>
        <v>0.219343564990532</v>
      </c>
      <c r="C640" s="15" t="n">
        <f aca="false">(1-'3. The decision'!$B$27-B640)*(1-'3. The decision'!$B$27)^('3. The decision'!$B$12-1)</f>
        <v>0.506249917263968</v>
      </c>
      <c r="D640" s="15" t="n">
        <f aca="false">1+(1-'3. The decision'!$B$27-B640)*(1-(1-'3. The decision'!$B$27)^('3. The decision'!$B$12-1))/'3. The decision'!$B$27</f>
        <v>4.12641380068422</v>
      </c>
      <c r="E640" s="15" t="n">
        <f aca="false">(1-'3. The decision'!$B$14)*(1-'3. The decision'!$B$27)^('3. The decision'!$B$11-1)</f>
        <v>0.690273454655712</v>
      </c>
      <c r="F640" s="15" t="n">
        <f aca="false">1+(1-'3. The decision'!$B$14)*(1-(1-'3. The decision'!$B$27)^('3. The decision'!$B$11-1))/'3. The decision'!$B$27</f>
        <v>4.28912098262087</v>
      </c>
      <c r="G640" s="15" t="n">
        <f aca="false">(1-(1-'3. The decision'!$B$9*MIN(1,('3. The decision'!$B$10/(52/12)))))+(1-(1-'3. The decision'!$B$9*MAX(0,MIN(1,('3. The decision'!$B$10/(52/12))-1))))*(1-'3. The decision'!$B$14)+(1-(1-'3. The decision'!$B$9*MAX(0,MIN(1,('3. The decision'!$B$10/(52/12))-2))))*(1-'3. The decision'!$B$14)*(1-'3. The decision'!$B$27)</f>
        <v>0.884576923076923</v>
      </c>
      <c r="H640" s="15" t="n">
        <f aca="false">IF(A640&lt;=0,0,MAX(0,ROUNDUP(LN('3. The decision'!$B$13)/LN(1+A640)-0.000000000001,0)-1))</f>
        <v>3</v>
      </c>
      <c r="I640" s="15" t="n">
        <f aca="false">IF(A640&lt;=0,1/(1-C640),(1+A640)*(1-(C640*(1+A640))^H640)/(1-C640*(1+A640))+'3. The decision'!$B$13*C640^H640/(1-C640))</f>
        <v>2.61121720755677</v>
      </c>
      <c r="J640" s="17" t="n">
        <f aca="false">F640+E640*D640/(1-C640)</f>
        <v>10.057938060592</v>
      </c>
      <c r="K640" s="15" t="n">
        <f aca="false">F640-G640+E640*D640*I640</f>
        <v>10.8422148013393</v>
      </c>
      <c r="L640" s="17" t="n">
        <f aca="false">'3. The decision'!$B$8*'3. The decision'!$B$5/J640</f>
        <v>46.6934671073482</v>
      </c>
      <c r="M640" s="31" t="n">
        <f aca="false">L640*'3. The decision'!$B$6*'3. The decision'!$B$7*K640</f>
        <v>971019.844141514</v>
      </c>
      <c r="N640" s="31" t="n">
        <f aca="false">M640*(1+'3. The decision'!$B$19+'3. The decision'!$B$20+'3. The decision'!$B$22)</f>
        <v>1073947.94762051</v>
      </c>
      <c r="O640" s="31" t="n">
        <f aca="false">'3. The decision'!$B$17+'3. The decision'!$B$18*L640*12+M640*('3. The decision'!$B$20*(1-'3. The decision'!$B$21)+'3. The decision'!$B$23)+N640*('3. The decision'!$B$24+'3. The decision'!$B$25)</f>
        <v>603140.730591565</v>
      </c>
      <c r="P640" s="31" t="n">
        <f aca="false">N640-O640</f>
        <v>470807.217028949</v>
      </c>
    </row>
    <row r="641" customFormat="false" ht="15" hidden="false" customHeight="false" outlineLevel="0" collapsed="false">
      <c r="A641" s="27" t="n">
        <f aca="false">58*0.0025</f>
        <v>0.145</v>
      </c>
      <c r="B641" s="27" t="n">
        <f aca="false">IF(A641&gt;0,MIN('3. The decision'!$B$15,'3. The decision'!$B$29*(A641/'3. The decision'!$B$28)^$B$580),0)</f>
        <v>0.233515758773328</v>
      </c>
      <c r="C641" s="15" t="n">
        <f aca="false">(1-'3. The decision'!$B$27-B641)*(1-'3. The decision'!$B$27)^('3. The decision'!$B$12-1)</f>
        <v>0.496203558261554</v>
      </c>
      <c r="D641" s="15" t="n">
        <f aca="false">1+(1-'3. The decision'!$B$27-B641)*(1-(1-'3. The decision'!$B$27)^('3. The decision'!$B$12-1))/'3. The decision'!$B$27</f>
        <v>4.0643711724078</v>
      </c>
      <c r="E641" s="15" t="n">
        <f aca="false">(1-'3. The decision'!$B$14)*(1-'3. The decision'!$B$27)^('3. The decision'!$B$11-1)</f>
        <v>0.690273454655712</v>
      </c>
      <c r="F641" s="15" t="n">
        <f aca="false">1+(1-'3. The decision'!$B$14)*(1-(1-'3. The decision'!$B$27)^('3. The decision'!$B$11-1))/'3. The decision'!$B$27</f>
        <v>4.28912098262087</v>
      </c>
      <c r="G641" s="15" t="n">
        <f aca="false">(1-(1-'3. The decision'!$B$9*MIN(1,('3. The decision'!$B$10/(52/12)))))+(1-(1-'3. The decision'!$B$9*MAX(0,MIN(1,('3. The decision'!$B$10/(52/12))-1))))*(1-'3. The decision'!$B$14)+(1-(1-'3. The decision'!$B$9*MAX(0,MIN(1,('3. The decision'!$B$10/(52/12))-2))))*(1-'3. The decision'!$B$14)*(1-'3. The decision'!$B$27)</f>
        <v>0.884576923076923</v>
      </c>
      <c r="H641" s="15" t="n">
        <f aca="false">IF(A641&lt;=0,0,MAX(0,ROUNDUP(LN('3. The decision'!$B$13)/LN(1+A641)-0.000000000001,0)-1))</f>
        <v>3</v>
      </c>
      <c r="I641" s="15" t="n">
        <f aca="false">IF(A641&lt;=0,1/(1-C641),(1+A641)*(1-(C641*(1+A641))^H641)/(1-C641*(1+A641))+'3. The decision'!$B$13*C641^H641/(1-C641))</f>
        <v>2.55800044772791</v>
      </c>
      <c r="J641" s="17" t="n">
        <f aca="false">F641+E641*D641/(1-C641)</f>
        <v>9.85789300590077</v>
      </c>
      <c r="K641" s="15" t="n">
        <f aca="false">F641-G641+E641*D641*I641</f>
        <v>10.58108473786</v>
      </c>
      <c r="L641" s="17" t="n">
        <f aca="false">'3. The decision'!$B$8*'3. The decision'!$B$5/J641</f>
        <v>47.6410121025742</v>
      </c>
      <c r="M641" s="31" t="n">
        <f aca="false">L641*'3. The decision'!$B$6*'3. The decision'!$B$7*K641</f>
        <v>966863.459595732</v>
      </c>
      <c r="N641" s="31" t="n">
        <f aca="false">M641*(1+'3. The decision'!$B$19+'3. The decision'!$B$20+'3. The decision'!$B$22)</f>
        <v>1069350.98631288</v>
      </c>
      <c r="O641" s="31" t="n">
        <f aca="false">'3. The decision'!$B$17+'3. The decision'!$B$18*L641*12+M641*('3. The decision'!$B$20*(1-'3. The decision'!$B$21)+'3. The decision'!$B$23)+N641*('3. The decision'!$B$24+'3. The decision'!$B$25)</f>
        <v>604128.763271243</v>
      </c>
      <c r="P641" s="31" t="n">
        <f aca="false">N641-O641</f>
        <v>465222.223041637</v>
      </c>
    </row>
    <row r="642" customFormat="false" ht="15" hidden="false" customHeight="false" outlineLevel="0" collapsed="false">
      <c r="A642" s="27" t="n">
        <f aca="false">59*0.0025</f>
        <v>0.1475</v>
      </c>
      <c r="B642" s="27" t="n">
        <f aca="false">IF(A642&gt;0,MIN('3. The decision'!$B$15,'3. The decision'!$B$29*(A642/'3. The decision'!$B$28)^$B$580),0)</f>
        <v>0.248337702699162</v>
      </c>
      <c r="C642" s="15" t="n">
        <f aca="false">(1-'3. The decision'!$B$27-B642)*(1-'3. The decision'!$B$27)^('3. The decision'!$B$12-1)</f>
        <v>0.485696605557213</v>
      </c>
      <c r="D642" s="15" t="n">
        <f aca="false">1+(1-'3. The decision'!$B$27-B642)*(1-(1-'3. The decision'!$B$27)^('3. The decision'!$B$12-1))/'3. The decision'!$B$27</f>
        <v>3.9994840863703</v>
      </c>
      <c r="E642" s="15" t="n">
        <f aca="false">(1-'3. The decision'!$B$14)*(1-'3. The decision'!$B$27)^('3. The decision'!$B$11-1)</f>
        <v>0.690273454655712</v>
      </c>
      <c r="F642" s="15" t="n">
        <f aca="false">1+(1-'3. The decision'!$B$14)*(1-(1-'3. The decision'!$B$27)^('3. The decision'!$B$11-1))/'3. The decision'!$B$27</f>
        <v>4.28912098262087</v>
      </c>
      <c r="G642" s="15" t="n">
        <f aca="false">(1-(1-'3. The decision'!$B$9*MIN(1,('3. The decision'!$B$10/(52/12)))))+(1-(1-'3. The decision'!$B$9*MAX(0,MIN(1,('3. The decision'!$B$10/(52/12))-1))))*(1-'3. The decision'!$B$14)+(1-(1-'3. The decision'!$B$9*MAX(0,MIN(1,('3. The decision'!$B$10/(52/12))-2))))*(1-'3. The decision'!$B$14)*(1-'3. The decision'!$B$27)</f>
        <v>0.884576923076923</v>
      </c>
      <c r="H642" s="15" t="n">
        <f aca="false">IF(A642&lt;=0,0,MAX(0,ROUNDUP(LN('3. The decision'!$B$13)/LN(1+A642)-0.000000000001,0)-1))</f>
        <v>3</v>
      </c>
      <c r="I642" s="15" t="n">
        <f aca="false">IF(A642&lt;=0,1/(1-C642),(1+A642)*(1-(C642*(1+A642))^H642)/(1-C642*(1+A642))+'3. The decision'!$B$13*C642^H642/(1-C642))</f>
        <v>2.5043887849867</v>
      </c>
      <c r="J642" s="17" t="n">
        <f aca="false">F642+E642*D642/(1-C642)</f>
        <v>9.65703752171049</v>
      </c>
      <c r="K642" s="15" t="n">
        <f aca="false">F642-G642+E642*D642*I642</f>
        <v>10.3185045865498</v>
      </c>
      <c r="L642" s="17" t="n">
        <f aca="false">'3. The decision'!$B$8*'3. The decision'!$B$5/J642</f>
        <v>48.6318913998395</v>
      </c>
      <c r="M642" s="31" t="n">
        <f aca="false">L642*'3. The decision'!$B$6*'3. The decision'!$B$7*K642</f>
        <v>962480.407895636</v>
      </c>
      <c r="N642" s="31" t="n">
        <f aca="false">M642*(1+'3. The decision'!$B$19+'3. The decision'!$B$20+'3. The decision'!$B$22)</f>
        <v>1064503.33113257</v>
      </c>
      <c r="O642" s="31" t="n">
        <f aca="false">'3. The decision'!$B$17+'3. The decision'!$B$18*L642*12+M642*('3. The decision'!$B$20*(1-'3. The decision'!$B$21)+'3. The decision'!$B$23)+N642*('3. The decision'!$B$24+'3. The decision'!$B$25)</f>
        <v>605158.044650776</v>
      </c>
      <c r="P642" s="31" t="n">
        <f aca="false">N642-O642</f>
        <v>459345.286481797</v>
      </c>
    </row>
    <row r="643" customFormat="false" ht="15" hidden="false" customHeight="false" outlineLevel="0" collapsed="false">
      <c r="A643" s="27" t="n">
        <f aca="false">60*0.0025</f>
        <v>0.15</v>
      </c>
      <c r="B643" s="27" t="n">
        <f aca="false">IF(A643&gt;0,MIN('3. The decision'!$B$15,'3. The decision'!$B$29*(A643/'3. The decision'!$B$28)^$B$580),0)</f>
        <v>0.263827412875392</v>
      </c>
      <c r="C643" s="15" t="n">
        <f aca="false">(1-'3. The decision'!$B$27-B643)*(1-'3. The decision'!$B$27)^('3. The decision'!$B$12-1)</f>
        <v>0.474716287925467</v>
      </c>
      <c r="D643" s="15" t="n">
        <f aca="false">1+(1-'3. The decision'!$B$27-B643)*(1-(1-'3. The decision'!$B$27)^('3. The decision'!$B$12-1))/'3. The decision'!$B$27</f>
        <v>3.93167367216753</v>
      </c>
      <c r="E643" s="15" t="n">
        <f aca="false">(1-'3. The decision'!$B$14)*(1-'3. The decision'!$B$27)^('3. The decision'!$B$11-1)</f>
        <v>0.690273454655712</v>
      </c>
      <c r="F643" s="15" t="n">
        <f aca="false">1+(1-'3. The decision'!$B$14)*(1-(1-'3. The decision'!$B$27)^('3. The decision'!$B$11-1))/'3. The decision'!$B$27</f>
        <v>4.28912098262087</v>
      </c>
      <c r="G643" s="15" t="n">
        <f aca="false">(1-(1-'3. The decision'!$B$9*MIN(1,('3. The decision'!$B$10/(52/12)))))+(1-(1-'3. The decision'!$B$9*MAX(0,MIN(1,('3. The decision'!$B$10/(52/12))-1))))*(1-'3. The decision'!$B$14)+(1-(1-'3. The decision'!$B$9*MAX(0,MIN(1,('3. The decision'!$B$10/(52/12))-2))))*(1-'3. The decision'!$B$14)*(1-'3. The decision'!$B$27)</f>
        <v>0.884576923076923</v>
      </c>
      <c r="H643" s="15" t="n">
        <f aca="false">IF(A643&lt;=0,0,MAX(0,ROUNDUP(LN('3. The decision'!$B$13)/LN(1+A643)-0.000000000001,0)-1))</f>
        <v>3</v>
      </c>
      <c r="I643" s="15" t="n">
        <f aca="false">IF(A643&lt;=0,1/(1-C643),(1+A643)*(1-(C643*(1+A643))^H643)/(1-C643*(1+A643))+'3. The decision'!$B$13*C643^H643/(1-C643))</f>
        <v>2.45048118922515</v>
      </c>
      <c r="J643" s="17" t="n">
        <f aca="false">F643+E643*D643/(1-C643)</f>
        <v>9.4557193481931</v>
      </c>
      <c r="K643" s="15" t="n">
        <f aca="false">F643-G643+E643*D643*I643</f>
        <v>10.0549783956542</v>
      </c>
      <c r="L643" s="17" t="n">
        <f aca="false">'3. The decision'!$B$8*'3. The decision'!$B$5/J643</f>
        <v>49.667294756347</v>
      </c>
      <c r="M643" s="31" t="n">
        <f aca="false">L643*'3. The decision'!$B$6*'3. The decision'!$B$7*K643</f>
        <v>957867.908534511</v>
      </c>
      <c r="N643" s="31" t="n">
        <f aca="false">M643*(1+'3. The decision'!$B$19+'3. The decision'!$B$20+'3. The decision'!$B$22)</f>
        <v>1059401.90683917</v>
      </c>
      <c r="O643" s="31" t="n">
        <f aca="false">'3. The decision'!$B$17+'3. The decision'!$B$18*L643*12+M643*('3. The decision'!$B$20*(1-'3. The decision'!$B$21)+'3. The decision'!$B$23)+N643*('3. The decision'!$B$24+'3. The decision'!$B$25)</f>
        <v>606230.077755353</v>
      </c>
      <c r="P643" s="31" t="n">
        <f aca="false">N643-O643</f>
        <v>453171.829083815</v>
      </c>
    </row>
    <row r="644" customFormat="false" ht="15" hidden="false" customHeight="false" outlineLevel="0" collapsed="false">
      <c r="A644" s="27" t="n">
        <f aca="false">61*0.0025</f>
        <v>0.1525</v>
      </c>
      <c r="B644" s="27" t="n">
        <f aca="false">IF(A644&gt;0,MIN('3. The decision'!$B$15,'3. The decision'!$B$29*(A644/'3. The decision'!$B$28)^$B$580),0)</f>
        <v>0.280003089568538</v>
      </c>
      <c r="C644" s="15" t="n">
        <f aca="false">(1-'3. The decision'!$B$27-B644)*(1-'3. The decision'!$B$27)^('3. The decision'!$B$12-1)</f>
        <v>0.463249703594423</v>
      </c>
      <c r="D644" s="15" t="n">
        <f aca="false">1+(1-'3. The decision'!$B$27-B644)*(1-(1-'3. The decision'!$B$27)^('3. The decision'!$B$12-1))/'3. The decision'!$B$27</f>
        <v>3.86086025318856</v>
      </c>
      <c r="E644" s="15" t="n">
        <f aca="false">(1-'3. The decision'!$B$14)*(1-'3. The decision'!$B$27)^('3. The decision'!$B$11-1)</f>
        <v>0.690273454655712</v>
      </c>
      <c r="F644" s="15" t="n">
        <f aca="false">1+(1-'3. The decision'!$B$14)*(1-(1-'3. The decision'!$B$27)^('3. The decision'!$B$11-1))/'3. The decision'!$B$27</f>
        <v>4.28912098262087</v>
      </c>
      <c r="G644" s="15" t="n">
        <f aca="false">(1-(1-'3. The decision'!$B$9*MIN(1,('3. The decision'!$B$10/(52/12)))))+(1-(1-'3. The decision'!$B$9*MAX(0,MIN(1,('3. The decision'!$B$10/(52/12))-1))))*(1-'3. The decision'!$B$14)+(1-(1-'3. The decision'!$B$9*MAX(0,MIN(1,('3. The decision'!$B$10/(52/12))-2))))*(1-'3. The decision'!$B$14)*(1-'3. The decision'!$B$27)</f>
        <v>0.884576923076923</v>
      </c>
      <c r="H644" s="15" t="n">
        <f aca="false">IF(A644&lt;=0,0,MAX(0,ROUNDUP(LN('3. The decision'!$B$13)/LN(1+A644)-0.000000000001,0)-1))</f>
        <v>3</v>
      </c>
      <c r="I644" s="15" t="n">
        <f aca="false">IF(A644&lt;=0,1/(1-C644),(1+A644)*(1-(C644*(1+A644))^H644)/(1-C644*(1+A644))+'3. The decision'!$B$13*C644^H644/(1-C644))</f>
        <v>2.39637395255923</v>
      </c>
      <c r="J644" s="17" t="n">
        <f aca="false">F644+E644*D644/(1-C644)</f>
        <v>9.25427770960969</v>
      </c>
      <c r="K644" s="15" t="n">
        <f aca="false">F644-G644+E644*D644*I644</f>
        <v>9.79099889197465</v>
      </c>
      <c r="L644" s="17" t="n">
        <f aca="false">'3. The decision'!$B$8*'3. The decision'!$B$5/J644</f>
        <v>50.7484230252052</v>
      </c>
      <c r="M644" s="31" t="n">
        <f aca="false">L644*'3. The decision'!$B$6*'3. The decision'!$B$7*K644</f>
        <v>953023.32174211</v>
      </c>
      <c r="N644" s="31" t="n">
        <f aca="false">M644*(1+'3. The decision'!$B$19+'3. The decision'!$B$20+'3. The decision'!$B$22)</f>
        <v>1054043.79384677</v>
      </c>
      <c r="O644" s="31" t="n">
        <f aca="false">'3. The decision'!$B$17+'3. The decision'!$B$18*L644*12+M644*('3. The decision'!$B$20*(1-'3. The decision'!$B$21)+'3. The decision'!$B$23)+N644*('3. The decision'!$B$24+'3. The decision'!$B$25)</f>
        <v>607346.397565644</v>
      </c>
      <c r="P644" s="31" t="n">
        <f aca="false">N644-O644</f>
        <v>446697.39628113</v>
      </c>
    </row>
    <row r="645" customFormat="false" ht="15" hidden="false" customHeight="false" outlineLevel="0" collapsed="false">
      <c r="A645" s="27" t="n">
        <f aca="false">62*0.0025</f>
        <v>0.155</v>
      </c>
      <c r="B645" s="27" t="n">
        <f aca="false">IF(A645&gt;0,MIN('3. The decision'!$B$15,'3. The decision'!$B$29*(A645/'3. The decision'!$B$28)^$B$580),0)</f>
        <v>0.296883115970205</v>
      </c>
      <c r="C645" s="15" t="n">
        <f aca="false">(1-'3. The decision'!$B$27-B645)*(1-'3. The decision'!$B$27)^('3. The decision'!$B$12-1)</f>
        <v>0.451283821120586</v>
      </c>
      <c r="D645" s="15" t="n">
        <f aca="false">1+(1-'3. The decision'!$B$27-B645)*(1-(1-'3. The decision'!$B$27)^('3. The decision'!$B$12-1))/'3. The decision'!$B$27</f>
        <v>3.78696335201817</v>
      </c>
      <c r="E645" s="15" t="n">
        <f aca="false">(1-'3. The decision'!$B$14)*(1-'3. The decision'!$B$27)^('3. The decision'!$B$11-1)</f>
        <v>0.690273454655712</v>
      </c>
      <c r="F645" s="15" t="n">
        <f aca="false">1+(1-'3. The decision'!$B$14)*(1-(1-'3. The decision'!$B$27)^('3. The decision'!$B$11-1))/'3. The decision'!$B$27</f>
        <v>4.28912098262087</v>
      </c>
      <c r="G645" s="15" t="n">
        <f aca="false">(1-(1-'3. The decision'!$B$9*MIN(1,('3. The decision'!$B$10/(52/12)))))+(1-(1-'3. The decision'!$B$9*MAX(0,MIN(1,('3. The decision'!$B$10/(52/12))-1))))*(1-'3. The decision'!$B$14)+(1-(1-'3. The decision'!$B$9*MAX(0,MIN(1,('3. The decision'!$B$10/(52/12))-2))))*(1-'3. The decision'!$B$14)*(1-'3. The decision'!$B$27)</f>
        <v>0.884576923076923</v>
      </c>
      <c r="H645" s="15" t="n">
        <f aca="false">IF(A645&lt;=0,0,MAX(0,ROUNDUP(LN('3. The decision'!$B$13)/LN(1+A645)-0.000000000001,0)-1))</f>
        <v>3</v>
      </c>
      <c r="I645" s="15" t="n">
        <f aca="false">IF(A645&lt;=0,1/(1-C645),(1+A645)*(1-(C645*(1+A645))^H645)/(1-C645*(1+A645))+'3. The decision'!$B$13*C645^H645/(1-C645))</f>
        <v>2.3421602099487</v>
      </c>
      <c r="J645" s="17" t="n">
        <f aca="false">F645+E645*D645/(1-C645)</f>
        <v>9.05304152345592</v>
      </c>
      <c r="K645" s="15" t="n">
        <f aca="false">F645-G645+E645*D645*I645</f>
        <v>9.52704518037977</v>
      </c>
      <c r="L645" s="17" t="n">
        <f aca="false">'3. The decision'!$B$8*'3. The decision'!$B$5/J645</f>
        <v>51.8764880049638</v>
      </c>
      <c r="M645" s="31" t="n">
        <f aca="false">L645*'3. The decision'!$B$6*'3. The decision'!$B$7*K645</f>
        <v>947944.186636678</v>
      </c>
      <c r="N645" s="31" t="n">
        <f aca="false">M645*(1+'3. The decision'!$B$19+'3. The decision'!$B$20+'3. The decision'!$B$22)</f>
        <v>1048426.27042017</v>
      </c>
      <c r="O645" s="31" t="n">
        <f aca="false">'3. The decision'!$B$17+'3. The decision'!$B$18*L645*12+M645*('3. The decision'!$B$20*(1-'3. The decision'!$B$21)+'3. The decision'!$B$23)+N645*('3. The decision'!$B$24+'3. The decision'!$B$25)</f>
        <v>608508.574896058</v>
      </c>
      <c r="P645" s="31" t="n">
        <f aca="false">N645-O645</f>
        <v>439917.695524107</v>
      </c>
    </row>
    <row r="646" customFormat="false" ht="15" hidden="false" customHeight="false" outlineLevel="0" collapsed="false">
      <c r="A646" s="27" t="n">
        <f aca="false">63*0.0025</f>
        <v>0.1575</v>
      </c>
      <c r="B646" s="27" t="n">
        <f aca="false">IF(A646&gt;0,MIN('3. The decision'!$B$15,'3. The decision'!$B$29*(A646/'3. The decision'!$B$28)^$B$580),0)</f>
        <v>0.314486056991469</v>
      </c>
      <c r="C646" s="15" t="n">
        <f aca="false">(1-'3. The decision'!$B$27-B646)*(1-'3. The decision'!$B$27)^('3. The decision'!$B$12-1)</f>
        <v>0.438805480243494</v>
      </c>
      <c r="D646" s="15" t="n">
        <f aca="false">1+(1-'3. The decision'!$B$27-B646)*(1-(1-'3. The decision'!$B$27)^('3. The decision'!$B$12-1))/'3. The decision'!$B$27</f>
        <v>3.70990169571484</v>
      </c>
      <c r="E646" s="15" t="n">
        <f aca="false">(1-'3. The decision'!$B$14)*(1-'3. The decision'!$B$27)^('3. The decision'!$B$11-1)</f>
        <v>0.690273454655712</v>
      </c>
      <c r="F646" s="15" t="n">
        <f aca="false">1+(1-'3. The decision'!$B$14)*(1-(1-'3. The decision'!$B$27)^('3. The decision'!$B$11-1))/'3. The decision'!$B$27</f>
        <v>4.28912098262087</v>
      </c>
      <c r="G646" s="15" t="n">
        <f aca="false">(1-(1-'3. The decision'!$B$9*MIN(1,('3. The decision'!$B$10/(52/12)))))+(1-(1-'3. The decision'!$B$9*MAX(0,MIN(1,('3. The decision'!$B$10/(52/12))-1))))*(1-'3. The decision'!$B$14)+(1-(1-'3. The decision'!$B$9*MAX(0,MIN(1,('3. The decision'!$B$10/(52/12))-2))))*(1-'3. The decision'!$B$14)*(1-'3. The decision'!$B$27)</f>
        <v>0.884576923076923</v>
      </c>
      <c r="H646" s="15" t="n">
        <f aca="false">IF(A646&lt;=0,0,MAX(0,ROUNDUP(LN('3. The decision'!$B$13)/LN(1+A646)-0.000000000001,0)-1))</f>
        <v>3</v>
      </c>
      <c r="I646" s="15" t="n">
        <f aca="false">IF(A646&lt;=0,1/(1-C646),(1+A646)*(1-(C646*(1+A646))^H646)/(1-C646*(1+A646))+'3. The decision'!$B$13*C646^H646/(1-C646))</f>
        <v>2.28792953252187</v>
      </c>
      <c r="J646" s="17" t="n">
        <f aca="false">F646+E646*D646/(1-C646)</f>
        <v>8.85232780268262</v>
      </c>
      <c r="K646" s="15" t="n">
        <f aca="false">F646-G646+E646*D646*I646</f>
        <v>9.26358076106733</v>
      </c>
      <c r="L646" s="17" t="n">
        <f aca="false">'3. The decision'!$B$8*'3. The decision'!$B$5/J646</f>
        <v>53.0527122885892</v>
      </c>
      <c r="M646" s="31" t="n">
        <f aca="false">L646*'3. The decision'!$B$6*'3. The decision'!$B$7*K646</f>
        <v>942628.26851522</v>
      </c>
      <c r="N646" s="31" t="n">
        <f aca="false">M646*(1+'3. The decision'!$B$19+'3. The decision'!$B$20+'3. The decision'!$B$22)</f>
        <v>1042546.86497783</v>
      </c>
      <c r="O646" s="31" t="n">
        <f aca="false">'3. The decision'!$B$17+'3. The decision'!$B$18*L646*12+M646*('3. The decision'!$B$20*(1-'3. The decision'!$B$21)+'3. The decision'!$B$23)+N646*('3. The decision'!$B$24+'3. The decision'!$B$25)</f>
        <v>609718.22125568</v>
      </c>
      <c r="P646" s="31" t="n">
        <f aca="false">N646-O646</f>
        <v>432828.643722153</v>
      </c>
    </row>
    <row r="647" customFormat="false" ht="15" hidden="false" customHeight="false" outlineLevel="0" collapsed="false">
      <c r="A647" s="27" t="n">
        <f aca="false">64*0.0025</f>
        <v>0.16</v>
      </c>
      <c r="B647" s="27" t="n">
        <f aca="false">IF(A647&gt;0,MIN('3. The decision'!$B$15,'3. The decision'!$B$29*(A647/'3. The decision'!$B$28)^$B$580),0)</f>
        <v>0.332830658084623</v>
      </c>
      <c r="C647" s="15" t="n">
        <f aca="false">(1-'3. The decision'!$B$27-B647)*(1-'3. The decision'!$B$27)^('3. The decision'!$B$12-1)</f>
        <v>0.425801392720952</v>
      </c>
      <c r="D647" s="15" t="n">
        <f aca="false">1+(1-'3. The decision'!$B$27-B647)*(1-(1-'3. The decision'!$B$27)^('3. The decision'!$B$12-1))/'3. The decision'!$B$27</f>
        <v>3.6295932209688</v>
      </c>
      <c r="E647" s="15" t="n">
        <f aca="false">(1-'3. The decision'!$B$14)*(1-'3. The decision'!$B$27)^('3. The decision'!$B$11-1)</f>
        <v>0.690273454655712</v>
      </c>
      <c r="F647" s="15" t="n">
        <f aca="false">1+(1-'3. The decision'!$B$14)*(1-(1-'3. The decision'!$B$27)^('3. The decision'!$B$11-1))/'3. The decision'!$B$27</f>
        <v>4.28912098262087</v>
      </c>
      <c r="G647" s="15" t="n">
        <f aca="false">(1-(1-'3. The decision'!$B$9*MIN(1,('3. The decision'!$B$10/(52/12)))))+(1-(1-'3. The decision'!$B$9*MAX(0,MIN(1,('3. The decision'!$B$10/(52/12))-1))))*(1-'3. The decision'!$B$14)+(1-(1-'3. The decision'!$B$9*MAX(0,MIN(1,('3. The decision'!$B$10/(52/12))-2))))*(1-'3. The decision'!$B$14)*(1-'3. The decision'!$B$27)</f>
        <v>0.884576923076923</v>
      </c>
      <c r="H647" s="15" t="n">
        <f aca="false">IF(A647&lt;=0,0,MAX(0,ROUNDUP(LN('3. The decision'!$B$13)/LN(1+A647)-0.000000000001,0)-1))</f>
        <v>3</v>
      </c>
      <c r="I647" s="15" t="n">
        <f aca="false">IF(A647&lt;=0,1/(1-C647),(1+A647)*(1-(C647*(1+A647))^H647)/(1-C647*(1+A647))+'3. The decision'!$B$13*C647^H647/(1-C647))</f>
        <v>2.23376759672539</v>
      </c>
      <c r="J647" s="17" t="n">
        <f aca="false">F647+E647*D647/(1-C647)</f>
        <v>8.65244025903896</v>
      </c>
      <c r="K647" s="15" t="n">
        <f aca="false">F647-G647+E647*D647*I647</f>
        <v>9.0010518701737</v>
      </c>
      <c r="L647" s="17" t="n">
        <f aca="false">'3. The decision'!$B$8*'3. The decision'!$B$5/J647</f>
        <v>54.2783291117648</v>
      </c>
      <c r="M647" s="31" t="n">
        <f aca="false">L647*'3. The decision'!$B$6*'3. The decision'!$B$7*K647</f>
        <v>937073.615948211</v>
      </c>
      <c r="N647" s="31" t="n">
        <f aca="false">M647*(1+'3. The decision'!$B$19+'3. The decision'!$B$20+'3. The decision'!$B$22)</f>
        <v>1036403.41923872</v>
      </c>
      <c r="O647" s="31" t="n">
        <f aca="false">'3. The decision'!$B$17+'3. The decision'!$B$18*L647*12+M647*('3. The decision'!$B$20*(1-'3. The decision'!$B$21)+'3. The decision'!$B$23)+N647*('3. The decision'!$B$24+'3. The decision'!$B$25)</f>
        <v>610976.994763399</v>
      </c>
      <c r="P647" s="31" t="n">
        <f aca="false">N647-O647</f>
        <v>425426.424475321</v>
      </c>
    </row>
    <row r="648" customFormat="false" ht="15" hidden="false" customHeight="false" outlineLevel="0" collapsed="false">
      <c r="A648" s="27" t="n">
        <f aca="false">65*0.0025</f>
        <v>0.1625</v>
      </c>
      <c r="B648" s="27" t="n">
        <f aca="false">IF(A648&gt;0,MIN('3. The decision'!$B$15,'3. The decision'!$B$29*(A648/'3. The decision'!$B$28)^$B$580),0)</f>
        <v>0.351935844091241</v>
      </c>
      <c r="C648" s="15" t="n">
        <f aca="false">(1-'3. The decision'!$B$27-B648)*(1-'3. The decision'!$B$27)^('3. The decision'!$B$12-1)</f>
        <v>0.412258143145619</v>
      </c>
      <c r="D648" s="15" t="n">
        <f aca="false">1+(1-'3. The decision'!$B$27-B648)*(1-(1-'3. The decision'!$B$27)^('3. The decision'!$B$12-1))/'3. The decision'!$B$27</f>
        <v>3.54595507914496</v>
      </c>
      <c r="E648" s="15" t="n">
        <f aca="false">(1-'3. The decision'!$B$14)*(1-'3. The decision'!$B$27)^('3. The decision'!$B$11-1)</f>
        <v>0.690273454655712</v>
      </c>
      <c r="F648" s="15" t="n">
        <f aca="false">1+(1-'3. The decision'!$B$14)*(1-(1-'3. The decision'!$B$27)^('3. The decision'!$B$11-1))/'3. The decision'!$B$27</f>
        <v>4.28912098262087</v>
      </c>
      <c r="G648" s="15" t="n">
        <f aca="false">(1-(1-'3. The decision'!$B$9*MIN(1,('3. The decision'!$B$10/(52/12)))))+(1-(1-'3. The decision'!$B$9*MAX(0,MIN(1,('3. The decision'!$B$10/(52/12))-1))))*(1-'3. The decision'!$B$14)+(1-(1-'3. The decision'!$B$9*MAX(0,MIN(1,('3. The decision'!$B$10/(52/12))-2))))*(1-'3. The decision'!$B$14)*(1-'3. The decision'!$B$27)</f>
        <v>0.884576923076923</v>
      </c>
      <c r="H648" s="15" t="n">
        <f aca="false">IF(A648&lt;=0,0,MAX(0,ROUNDUP(LN('3. The decision'!$B$13)/LN(1+A648)-0.000000000001,0)-1))</f>
        <v>3</v>
      </c>
      <c r="I648" s="15" t="n">
        <f aca="false">IF(A648&lt;=0,1/(1-C648),(1+A648)*(1-(C648*(1+A648))^H648)/(1-C648*(1+A648))+'3. The decision'!$B$13*C648^H648/(1-C648))</f>
        <v>2.1797559311264</v>
      </c>
      <c r="J648" s="17" t="n">
        <f aca="false">F648+E648*D648/(1-C648)</f>
        <v>8.45366811158568</v>
      </c>
      <c r="K648" s="15" t="n">
        <f aca="false">F648-G648+E648*D648*I648</f>
        <v>8.73988614169693</v>
      </c>
      <c r="L648" s="17" t="n">
        <f aca="false">'3. The decision'!$B$8*'3. The decision'!$B$5/J648</f>
        <v>55.5545822004015</v>
      </c>
      <c r="M648" s="31" t="n">
        <f aca="false">L648*'3. The decision'!$B$6*'3. The decision'!$B$7*K648</f>
        <v>931278.628174752</v>
      </c>
      <c r="N648" s="31" t="n">
        <f aca="false">M648*(1+'3. The decision'!$B$19+'3. The decision'!$B$20+'3. The decision'!$B$22)</f>
        <v>1029994.16276128</v>
      </c>
      <c r="O648" s="31" t="n">
        <f aca="false">'3. The decision'!$B$17+'3. The decision'!$B$18*L648*12+M648*('3. The decision'!$B$20*(1-'3. The decision'!$B$21)+'3. The decision'!$B$23)+N648*('3. The decision'!$B$24+'3. The decision'!$B$25)</f>
        <v>612286.607170457</v>
      </c>
      <c r="P648" s="31" t="n">
        <f aca="false">N648-O648</f>
        <v>417707.555590819</v>
      </c>
    </row>
    <row r="649" customFormat="false" ht="15" hidden="false" customHeight="false" outlineLevel="0" collapsed="false">
      <c r="A649" s="27" t="n">
        <f aca="false">66*0.0025</f>
        <v>0.165</v>
      </c>
      <c r="B649" s="27" t="n">
        <f aca="false">IF(A649&gt;0,MIN('3. The decision'!$B$15,'3. The decision'!$B$29*(A649/'3. The decision'!$B$28)^$B$580),0)</f>
        <v>0.371820718115571</v>
      </c>
      <c r="C649" s="15" t="n">
        <f aca="false">(1-'3. The decision'!$B$27-B649)*(1-'3. The decision'!$B$27)^('3. The decision'!$B$12-1)</f>
        <v>0.398162189743634</v>
      </c>
      <c r="D649" s="15" t="n">
        <f aca="false">1+(1-'3. The decision'!$B$27-B649)*(1-(1-'3. The decision'!$B$27)^('3. The decision'!$B$12-1))/'3. The decision'!$B$27</f>
        <v>3.45890364121497</v>
      </c>
      <c r="E649" s="15" t="n">
        <f aca="false">(1-'3. The decision'!$B$14)*(1-'3. The decision'!$B$27)^('3. The decision'!$B$11-1)</f>
        <v>0.690273454655712</v>
      </c>
      <c r="F649" s="15" t="n">
        <f aca="false">1+(1-'3. The decision'!$B$14)*(1-(1-'3. The decision'!$B$27)^('3. The decision'!$B$11-1))/'3. The decision'!$B$27</f>
        <v>4.28912098262087</v>
      </c>
      <c r="G649" s="15" t="n">
        <f aca="false">(1-(1-'3. The decision'!$B$9*MIN(1,('3. The decision'!$B$10/(52/12)))))+(1-(1-'3. The decision'!$B$9*MAX(0,MIN(1,('3. The decision'!$B$10/(52/12))-1))))*(1-'3. The decision'!$B$14)+(1-(1-'3. The decision'!$B$9*MAX(0,MIN(1,('3. The decision'!$B$10/(52/12))-2))))*(1-'3. The decision'!$B$14)*(1-'3. The decision'!$B$27)</f>
        <v>0.884576923076923</v>
      </c>
      <c r="H649" s="15" t="n">
        <f aca="false">IF(A649&lt;=0,0,MAX(0,ROUNDUP(LN('3. The decision'!$B$13)/LN(1+A649)-0.000000000001,0)-1))</f>
        <v>3</v>
      </c>
      <c r="I649" s="15" t="n">
        <f aca="false">IF(A649&lt;=0,1/(1-C649),(1+A649)*(1-(C649*(1+A649))^H649)/(1-C649*(1+A649))+'3. The decision'!$B$13*C649^H649/(1-C649))</f>
        <v>2.12597174148625</v>
      </c>
      <c r="J649" s="17" t="n">
        <f aca="false">F649+E649*D649/(1-C649)</f>
        <v>8.25628510068389</v>
      </c>
      <c r="K649" s="15" t="n">
        <f aca="false">F649-G649+E649*D649*I649</f>
        <v>8.48049158138595</v>
      </c>
      <c r="L649" s="17" t="n">
        <f aca="false">'3. The decision'!$B$8*'3. The decision'!$B$5/J649</f>
        <v>56.8827256172511</v>
      </c>
      <c r="M649" s="31" t="n">
        <f aca="false">L649*'3. The decision'!$B$6*'3. The decision'!$B$7*K649</f>
        <v>925242.1330623</v>
      </c>
      <c r="N649" s="31" t="n">
        <f aca="false">M649*(1+'3. The decision'!$B$19+'3. The decision'!$B$20+'3. The decision'!$B$22)</f>
        <v>1023317.7991669</v>
      </c>
      <c r="O649" s="31" t="n">
        <f aca="false">'3. The decision'!$B$17+'3. The decision'!$B$18*L649*12+M649*('3. The decision'!$B$20*(1-'3. The decision'!$B$21)+'3. The decision'!$B$23)+N649*('3. The decision'!$B$24+'3. The decision'!$B$25)</f>
        <v>613648.832018657</v>
      </c>
      <c r="P649" s="31" t="n">
        <f aca="false">N649-O649</f>
        <v>409668.967148247</v>
      </c>
    </row>
    <row r="650" customFormat="false" ht="15" hidden="false" customHeight="false" outlineLevel="0" collapsed="false">
      <c r="A650" s="27" t="n">
        <f aca="false">67*0.0025</f>
        <v>0.1675</v>
      </c>
      <c r="B650" s="27" t="n">
        <f aca="false">IF(A650&gt;0,MIN('3. The decision'!$B$15,'3. The decision'!$B$29*(A650/'3. The decision'!$B$28)^$B$580),0)</f>
        <v>0.392504560422299</v>
      </c>
      <c r="C650" s="15" t="n">
        <f aca="false">(1-'3. The decision'!$B$27-B650)*(1-'3. The decision'!$B$27)^('3. The decision'!$B$12-1)</f>
        <v>0.383499865155964</v>
      </c>
      <c r="D650" s="15" t="n">
        <f aca="false">1+(1-'3. The decision'!$B$27-B650)*(1-(1-'3. The decision'!$B$27)^('3. The decision'!$B$12-1))/'3. The decision'!$B$27</f>
        <v>3.36835450258252</v>
      </c>
      <c r="E650" s="15" t="n">
        <f aca="false">(1-'3. The decision'!$B$14)*(1-'3. The decision'!$B$27)^('3. The decision'!$B$11-1)</f>
        <v>0.690273454655712</v>
      </c>
      <c r="F650" s="15" t="n">
        <f aca="false">1+(1-'3. The decision'!$B$14)*(1-(1-'3. The decision'!$B$27)^('3. The decision'!$B$11-1))/'3. The decision'!$B$27</f>
        <v>4.28912098262087</v>
      </c>
      <c r="G650" s="15" t="n">
        <f aca="false">(1-(1-'3. The decision'!$B$9*MIN(1,('3. The decision'!$B$10/(52/12)))))+(1-(1-'3. The decision'!$B$9*MAX(0,MIN(1,('3. The decision'!$B$10/(52/12))-1))))*(1-'3. The decision'!$B$14)+(1-(1-'3. The decision'!$B$9*MAX(0,MIN(1,('3. The decision'!$B$10/(52/12))-2))))*(1-'3. The decision'!$B$14)*(1-'3. The decision'!$B$27)</f>
        <v>0.884576923076923</v>
      </c>
      <c r="H650" s="15" t="n">
        <f aca="false">IF(A650&lt;=0,0,MAX(0,ROUNDUP(LN('3. The decision'!$B$13)/LN(1+A650)-0.000000000001,0)-1))</f>
        <v>3</v>
      </c>
      <c r="I650" s="15" t="n">
        <f aca="false">IF(A650&lt;=0,1/(1-C650),(1+A650)*(1-(C650*(1+A650))^H650)/(1-C650*(1+A650))+'3. The decision'!$B$13*C650^H650/(1-C650))</f>
        <v>2.07248781362499</v>
      </c>
      <c r="J650" s="17" t="n">
        <f aca="false">F650+E650*D650/(1-C650)</f>
        <v>8.06054870435359</v>
      </c>
      <c r="K650" s="15" t="n">
        <f aca="false">F650-G650+E650*D650*I650</f>
        <v>8.22325583636091</v>
      </c>
      <c r="L650" s="17" t="n">
        <f aca="false">'3. The decision'!$B$8*'3. The decision'!$B$5/J650</f>
        <v>58.2640236075172</v>
      </c>
      <c r="M650" s="31" t="n">
        <f aca="false">L650*'3. The decision'!$B$6*'3. The decision'!$B$7*K650</f>
        <v>918963.475590473</v>
      </c>
      <c r="N650" s="31" t="n">
        <f aca="false">M650*(1+'3. The decision'!$B$19+'3. The decision'!$B$20+'3. The decision'!$B$22)</f>
        <v>1016373.60400306</v>
      </c>
      <c r="O650" s="31" t="n">
        <f aca="false">'3. The decision'!$B$17+'3. The decision'!$B$18*L650*12+M650*('3. The decision'!$B$20*(1-'3. The decision'!$B$21)+'3. The decision'!$B$23)+N650*('3. The decision'!$B$24+'3. The decision'!$B$25)</f>
        <v>615065.513929743</v>
      </c>
      <c r="P650" s="31" t="n">
        <f aca="false">N650-O650</f>
        <v>401308.090073319</v>
      </c>
    </row>
    <row r="651" customFormat="false" ht="15" hidden="false" customHeight="false" outlineLevel="0" collapsed="false">
      <c r="A651" s="27" t="n">
        <f aca="false">68*0.0025</f>
        <v>0.17</v>
      </c>
      <c r="B651" s="27" t="n">
        <f aca="false">IF(A651&gt;0,MIN('3. The decision'!$B$15,'3. The decision'!$B$29*(A651/'3. The decision'!$B$28)^$B$580),0)</f>
        <v>0.414006827357814</v>
      </c>
      <c r="C651" s="15" t="n">
        <f aca="false">(1-'3. The decision'!$B$27-B651)*(1-'3. The decision'!$B$27)^('3. The decision'!$B$12-1)</f>
        <v>0.368257377203099</v>
      </c>
      <c r="D651" s="15" t="n">
        <f aca="false">1+(1-'3. The decision'!$B$27-B651)*(1-(1-'3. The decision'!$B$27)^('3. The decision'!$B$12-1))/'3. The decision'!$B$27</f>
        <v>3.27422248780581</v>
      </c>
      <c r="E651" s="15" t="n">
        <f aca="false">(1-'3. The decision'!$B$14)*(1-'3. The decision'!$B$27)^('3. The decision'!$B$11-1)</f>
        <v>0.690273454655712</v>
      </c>
      <c r="F651" s="15" t="n">
        <f aca="false">1+(1-'3. The decision'!$B$14)*(1-(1-'3. The decision'!$B$27)^('3. The decision'!$B$11-1))/'3. The decision'!$B$27</f>
        <v>4.28912098262087</v>
      </c>
      <c r="G651" s="15" t="n">
        <f aca="false">(1-(1-'3. The decision'!$B$9*MIN(1,('3. The decision'!$B$10/(52/12)))))+(1-(1-'3. The decision'!$B$9*MAX(0,MIN(1,('3. The decision'!$B$10/(52/12))-1))))*(1-'3. The decision'!$B$14)+(1-(1-'3. The decision'!$B$9*MAX(0,MIN(1,('3. The decision'!$B$10/(52/12))-2))))*(1-'3. The decision'!$B$14)*(1-'3. The decision'!$B$27)</f>
        <v>0.884576923076923</v>
      </c>
      <c r="H651" s="15" t="n">
        <f aca="false">IF(A651&lt;=0,0,MAX(0,ROUNDUP(LN('3. The decision'!$B$13)/LN(1+A651)-0.000000000001,0)-1))</f>
        <v>3</v>
      </c>
      <c r="I651" s="15" t="n">
        <f aca="false">IF(A651&lt;=0,1/(1-C651),(1+A651)*(1-(C651*(1+A651))^H651)/(1-C651*(1+A651))+'3. The decision'!$B$13*C651^H651/(1-C651))</f>
        <v>2.01937249262309</v>
      </c>
      <c r="J651" s="17" t="n">
        <f aca="false">F651+E651*D651/(1-C651)</f>
        <v>7.8666995508723</v>
      </c>
      <c r="K651" s="15" t="n">
        <f aca="false">F651-G651+E651*D651*I651</f>
        <v>7.96854573785433</v>
      </c>
      <c r="L651" s="17" t="n">
        <f aca="false">'3. The decision'!$B$8*'3. The decision'!$B$5/J651</f>
        <v>59.699750443364</v>
      </c>
      <c r="M651" s="31" t="n">
        <f aca="false">L651*'3. The decision'!$B$6*'3. The decision'!$B$7*K651</f>
        <v>912442.616429005</v>
      </c>
      <c r="N651" s="31" t="n">
        <f aca="false">M651*(1+'3. The decision'!$B$19+'3. The decision'!$B$20+'3. The decision'!$B$22)</f>
        <v>1009161.53377048</v>
      </c>
      <c r="O651" s="31" t="n">
        <f aca="false">'3. The decision'!$B$17+'3. The decision'!$B$18*L651*12+M651*('3. The decision'!$B$20*(1-'3. The decision'!$B$21)+'3. The decision'!$B$23)+N651*('3. The decision'!$B$24+'3. The decision'!$B$25)</f>
        <v>616538.578979506</v>
      </c>
      <c r="P651" s="31" t="n">
        <f aca="false">N651-O651</f>
        <v>392622.954790974</v>
      </c>
    </row>
    <row r="652" customFormat="false" ht="15" hidden="false" customHeight="false" outlineLevel="0" collapsed="false">
      <c r="A652" s="27" t="n">
        <f aca="false">69*0.0025</f>
        <v>0.1725</v>
      </c>
      <c r="B652" s="27" t="n">
        <f aca="false">IF(A652&gt;0,MIN('3. The decision'!$B$15,'3. The decision'!$B$29*(A652/'3. The decision'!$B$28)^$B$580),0)</f>
        <v>0.436347150294121</v>
      </c>
      <c r="C652" s="15" t="n">
        <f aca="false">(1-'3. The decision'!$B$27-B652)*(1-'3. The decision'!$B$27)^('3. The decision'!$B$12-1)</f>
        <v>0.35242080963369</v>
      </c>
      <c r="D652" s="15" t="n">
        <f aca="false">1+(1-'3. The decision'!$B$27-B652)*(1-(1-'3. The decision'!$B$27)^('3. The decision'!$B$12-1))/'3. The decision'!$B$27</f>
        <v>3.17642165522088</v>
      </c>
      <c r="E652" s="15" t="n">
        <f aca="false">(1-'3. The decision'!$B$14)*(1-'3. The decision'!$B$27)^('3. The decision'!$B$11-1)</f>
        <v>0.690273454655712</v>
      </c>
      <c r="F652" s="15" t="n">
        <f aca="false">1+(1-'3. The decision'!$B$14)*(1-(1-'3. The decision'!$B$27)^('3. The decision'!$B$11-1))/'3. The decision'!$B$27</f>
        <v>4.28912098262087</v>
      </c>
      <c r="G652" s="15" t="n">
        <f aca="false">(1-(1-'3. The decision'!$B$9*MIN(1,('3. The decision'!$B$10/(52/12)))))+(1-(1-'3. The decision'!$B$9*MAX(0,MIN(1,('3. The decision'!$B$10/(52/12))-1))))*(1-'3. The decision'!$B$14)+(1-(1-'3. The decision'!$B$9*MAX(0,MIN(1,('3. The decision'!$B$10/(52/12))-2))))*(1-'3. The decision'!$B$14)*(1-'3. The decision'!$B$27)</f>
        <v>0.884576923076923</v>
      </c>
      <c r="H652" s="15" t="n">
        <f aca="false">IF(A652&lt;=0,0,MAX(0,ROUNDUP(LN('3. The decision'!$B$13)/LN(1+A652)-0.000000000001,0)-1))</f>
        <v>3</v>
      </c>
      <c r="I652" s="15" t="n">
        <f aca="false">IF(A652&lt;=0,1/(1-C652),(1+A652)*(1-(C652*(1+A652))^H652)/(1-C652*(1+A652))+'3. The decision'!$B$13*C652^H652/(1-C652))</f>
        <v>1.96668973607233</v>
      </c>
      <c r="J652" s="17" t="n">
        <f aca="false">F652+E652*D652/(1-C652)</f>
        <v>7.6749610188831</v>
      </c>
      <c r="K652" s="15" t="n">
        <f aca="false">F652-G652+E652*D652*I652</f>
        <v>7.71670708865106</v>
      </c>
      <c r="L652" s="17" t="n">
        <f aca="false">'3. The decision'!$B$8*'3. The decision'!$B$5/J652</f>
        <v>61.1911902672236</v>
      </c>
      <c r="M652" s="31" t="n">
        <f aca="false">L652*'3. The decision'!$B$6*'3. The decision'!$B$7*K652</f>
        <v>905680.239691975</v>
      </c>
      <c r="N652" s="31" t="n">
        <f aca="false">M652*(1+'3. The decision'!$B$19+'3. The decision'!$B$20+'3. The decision'!$B$22)</f>
        <v>1001682.34509932</v>
      </c>
      <c r="O652" s="31" t="n">
        <f aca="false">'3. The decision'!$B$17+'3. The decision'!$B$18*L652*12+M652*('3. The decision'!$B$20*(1-'3. The decision'!$B$21)+'3. The decision'!$B$23)+N652*('3. The decision'!$B$24+'3. The decision'!$B$25)</f>
        <v>618070.04605768</v>
      </c>
      <c r="P652" s="31" t="n">
        <f aca="false">N652-O652</f>
        <v>383612.299041644</v>
      </c>
    </row>
    <row r="653" customFormat="false" ht="15" hidden="false" customHeight="false" outlineLevel="0" collapsed="false">
      <c r="A653" s="27" t="n">
        <f aca="false">70*0.0025</f>
        <v>0.175</v>
      </c>
      <c r="B653" s="27" t="n">
        <f aca="false">IF(A653&gt;0,MIN('3. The decision'!$B$15,'3. The decision'!$B$29*(A653/'3. The decision'!$B$28)^$B$580),0)</f>
        <v>0.459545334594591</v>
      </c>
      <c r="C653" s="15" t="n">
        <f aca="false">(1-'3. The decision'!$B$27-B653)*(1-'3. The decision'!$B$27)^('3. The decision'!$B$12-1)</f>
        <v>0.335976122857702</v>
      </c>
      <c r="D653" s="15" t="n">
        <f aca="false">1+(1-'3. The decision'!$B$27-B653)*(1-(1-'3. The decision'!$B$27)^('3. The decision'!$B$12-1))/'3. The decision'!$B$27</f>
        <v>3.07486530146928</v>
      </c>
      <c r="E653" s="15" t="n">
        <f aca="false">(1-'3. The decision'!$B$14)*(1-'3. The decision'!$B$27)^('3. The decision'!$B$11-1)</f>
        <v>0.690273454655712</v>
      </c>
      <c r="F653" s="15" t="n">
        <f aca="false">1+(1-'3. The decision'!$B$14)*(1-(1-'3. The decision'!$B$27)^('3. The decision'!$B$11-1))/'3. The decision'!$B$27</f>
        <v>4.28912098262087</v>
      </c>
      <c r="G653" s="15" t="n">
        <f aca="false">(1-(1-'3. The decision'!$B$9*MIN(1,('3. The decision'!$B$10/(52/12)))))+(1-(1-'3. The decision'!$B$9*MAX(0,MIN(1,('3. The decision'!$B$10/(52/12))-1))))*(1-'3. The decision'!$B$14)+(1-(1-'3. The decision'!$B$9*MAX(0,MIN(1,('3. The decision'!$B$10/(52/12))-2))))*(1-'3. The decision'!$B$14)*(1-'3. The decision'!$B$27)</f>
        <v>0.884576923076923</v>
      </c>
      <c r="H653" s="15" t="n">
        <f aca="false">IF(A653&lt;=0,0,MAX(0,ROUNDUP(LN('3. The decision'!$B$13)/LN(1+A653)-0.000000000001,0)-1))</f>
        <v>2</v>
      </c>
      <c r="I653" s="15" t="n">
        <f aca="false">IF(A653&lt;=0,1/(1-C653),(1+A653)*(1-(C653*(1+A653))^H653)/(1-C653*(1+A653))+'3. The decision'!$B$13*C653^H653/(1-C653))</f>
        <v>1.91424702224915</v>
      </c>
      <c r="J653" s="17" t="n">
        <f aca="false">F653+E653*D653/(1-C653)</f>
        <v>7.48553901412388</v>
      </c>
      <c r="K653" s="15" t="n">
        <f aca="false">F653-G653+E653*D653*I653</f>
        <v>7.46752933333477</v>
      </c>
      <c r="L653" s="17" t="n">
        <f aca="false">'3. The decision'!$B$8*'3. The decision'!$B$5/J653</f>
        <v>62.7396369338098</v>
      </c>
      <c r="M653" s="31" t="n">
        <f aca="false">L653*'3. The decision'!$B$6*'3. The decision'!$B$7*K653</f>
        <v>898613.449028704</v>
      </c>
      <c r="N653" s="31" t="n">
        <f aca="false">M653*(1+'3. The decision'!$B$19+'3. The decision'!$B$20+'3. The decision'!$B$22)</f>
        <v>993866.474625746</v>
      </c>
      <c r="O653" s="31" t="n">
        <f aca="false">'3. The decision'!$B$17+'3. The decision'!$B$18*L653*12+M653*('3. The decision'!$B$20*(1-'3. The decision'!$B$21)+'3. The decision'!$B$23)+N653*('3. The decision'!$B$24+'3. The decision'!$B$25)</f>
        <v>619655.105791799</v>
      </c>
      <c r="P653" s="31" t="n">
        <f aca="false">N653-O653</f>
        <v>374211.368833947</v>
      </c>
    </row>
    <row r="654" customFormat="false" ht="15" hidden="false" customHeight="false" outlineLevel="0" collapsed="false">
      <c r="A654" s="27" t="n">
        <f aca="false">71*0.0025</f>
        <v>0.1775</v>
      </c>
      <c r="B654" s="27" t="n">
        <f aca="false">IF(A654&gt;0,MIN('3. The decision'!$B$15,'3. The decision'!$B$29*(A654/'3. The decision'!$B$28)^$B$580),0)</f>
        <v>0.483621358600796</v>
      </c>
      <c r="C654" s="15" t="n">
        <f aca="false">(1-'3. The decision'!$B$27-B654)*(1-'3. The decision'!$B$27)^('3. The decision'!$B$12-1)</f>
        <v>0.318909154664627</v>
      </c>
      <c r="D654" s="15" t="n">
        <f aca="false">1+(1-'3. The decision'!$B$27-B654)*(1-(1-'3. The decision'!$B$27)^('3. The decision'!$B$12-1))/'3. The decision'!$B$27</f>
        <v>2.96946596593349</v>
      </c>
      <c r="E654" s="15" t="n">
        <f aca="false">(1-'3. The decision'!$B$14)*(1-'3. The decision'!$B$27)^('3. The decision'!$B$11-1)</f>
        <v>0.690273454655712</v>
      </c>
      <c r="F654" s="15" t="n">
        <f aca="false">1+(1-'3. The decision'!$B$14)*(1-(1-'3. The decision'!$B$27)^('3. The decision'!$B$11-1))/'3. The decision'!$B$27</f>
        <v>4.28912098262087</v>
      </c>
      <c r="G654" s="15" t="n">
        <f aca="false">(1-(1-'3. The decision'!$B$9*MIN(1,('3. The decision'!$B$10/(52/12)))))+(1-(1-'3. The decision'!$B$9*MAX(0,MIN(1,('3. The decision'!$B$10/(52/12))-1))))*(1-'3. The decision'!$B$14)+(1-(1-'3. The decision'!$B$9*MAX(0,MIN(1,('3. The decision'!$B$10/(52/12))-2))))*(1-'3. The decision'!$B$14)*(1-'3. The decision'!$B$27)</f>
        <v>0.884576923076923</v>
      </c>
      <c r="H654" s="15" t="n">
        <f aca="false">IF(A654&lt;=0,0,MAX(0,ROUNDUP(LN('3. The decision'!$B$13)/LN(1+A654)-0.000000000001,0)-1))</f>
        <v>2</v>
      </c>
      <c r="I654" s="15" t="n">
        <f aca="false">IF(A654&lt;=0,1/(1-C654),(1+A654)*(1-(C654*(1+A654))^H654)/(1-C654*(1+A654))+'3. The decision'!$B$13*C654^H654/(1-C654))</f>
        <v>1.86157403446474</v>
      </c>
      <c r="J654" s="17" t="n">
        <f aca="false">F654+E654*D654/(1-C654)</f>
        <v>7.298621910178</v>
      </c>
      <c r="K654" s="15" t="n">
        <f aca="false">F654-G654+E654*D654*I654</f>
        <v>7.22029339376998</v>
      </c>
      <c r="L654" s="17" t="n">
        <f aca="false">'3. The decision'!$B$8*'3. The decision'!$B$5/J654</f>
        <v>64.3463938507463</v>
      </c>
      <c r="M654" s="31" t="n">
        <f aca="false">L654*'3. The decision'!$B$6*'3. The decision'!$B$7*K654</f>
        <v>891113.522190426</v>
      </c>
      <c r="N654" s="31" t="n">
        <f aca="false">M654*(1+'3. The decision'!$B$19+'3. The decision'!$B$20+'3. The decision'!$B$22)</f>
        <v>985571.555542611</v>
      </c>
      <c r="O654" s="31" t="n">
        <f aca="false">'3. The decision'!$B$17+'3. The decision'!$B$18*L654*12+M654*('3. The decision'!$B$20*(1-'3. The decision'!$B$21)+'3. The decision'!$B$23)+N654*('3. The decision'!$B$24+'3. The decision'!$B$25)</f>
        <v>621281.878636522</v>
      </c>
      <c r="P654" s="31" t="n">
        <f aca="false">N654-O654</f>
        <v>364289.67690609</v>
      </c>
    </row>
    <row r="655" customFormat="false" ht="15" hidden="false" customHeight="false" outlineLevel="0" collapsed="false">
      <c r="A655" s="27" t="n">
        <f aca="false">72*0.0025</f>
        <v>0.18</v>
      </c>
      <c r="B655" s="27" t="n">
        <f aca="false">IF(A655&gt;0,MIN('3. The decision'!$B$15,'3. The decision'!$B$29*(A655/'3. The decision'!$B$28)^$B$580),0)</f>
        <v>0.508595372639699</v>
      </c>
      <c r="C655" s="15" t="n">
        <f aca="false">(1-'3. The decision'!$B$27-B655)*(1-'3. The decision'!$B$27)^('3. The decision'!$B$12-1)</f>
        <v>0.301205620927266</v>
      </c>
      <c r="D655" s="15" t="n">
        <f aca="false">1+(1-'3. The decision'!$B$27-B655)*(1-(1-'3. The decision'!$B$27)^('3. The decision'!$B$12-1))/'3. The decision'!$B$27</f>
        <v>2.86013543508324</v>
      </c>
      <c r="E655" s="15" t="n">
        <f aca="false">(1-'3. The decision'!$B$14)*(1-'3. The decision'!$B$27)^('3. The decision'!$B$11-1)</f>
        <v>0.690273454655712</v>
      </c>
      <c r="F655" s="15" t="n">
        <f aca="false">1+(1-'3. The decision'!$B$14)*(1-(1-'3. The decision'!$B$27)^('3. The decision'!$B$11-1))/'3. The decision'!$B$27</f>
        <v>4.28912098262087</v>
      </c>
      <c r="G655" s="15" t="n">
        <f aca="false">(1-(1-'3. The decision'!$B$9*MIN(1,('3. The decision'!$B$10/(52/12)))))+(1-(1-'3. The decision'!$B$9*MAX(0,MIN(1,('3. The decision'!$B$10/(52/12))-1))))*(1-'3. The decision'!$B$14)+(1-(1-'3. The decision'!$B$9*MAX(0,MIN(1,('3. The decision'!$B$10/(52/12))-2))))*(1-'3. The decision'!$B$14)*(1-'3. The decision'!$B$27)</f>
        <v>0.884576923076923</v>
      </c>
      <c r="H655" s="15" t="n">
        <f aca="false">IF(A655&lt;=0,0,MAX(0,ROUNDUP(LN('3. The decision'!$B$13)/LN(1+A655)-0.000000000001,0)-1))</f>
        <v>2</v>
      </c>
      <c r="I655" s="15" t="n">
        <f aca="false">IF(A655&lt;=0,1/(1-C655),(1+A655)*(1-(C655*(1+A655))^H655)/(1-C655*(1+A655))+'3. The decision'!$B$13*C655^H655/(1-C655))</f>
        <v>1.80972412224958</v>
      </c>
      <c r="J655" s="17" t="n">
        <f aca="false">F655+E655*D655/(1-C655)</f>
        <v>7.11438063937125</v>
      </c>
      <c r="K655" s="15" t="n">
        <f aca="false">F655-G655+E655*D655*I655</f>
        <v>6.97743817812187</v>
      </c>
      <c r="L655" s="17" t="n">
        <f aca="false">'3. The decision'!$B$8*'3. The decision'!$B$5/J655</f>
        <v>66.0127738177227</v>
      </c>
      <c r="M655" s="31" t="n">
        <f aca="false">L655*'3. The decision'!$B$6*'3. The decision'!$B$7*K655</f>
        <v>883441.822092757</v>
      </c>
      <c r="N655" s="31" t="n">
        <f aca="false">M655*(1+'3. The decision'!$B$19+'3. The decision'!$B$20+'3. The decision'!$B$22)</f>
        <v>977086.65523459</v>
      </c>
      <c r="O655" s="31" t="n">
        <f aca="false">'3. The decision'!$B$17+'3. The decision'!$B$18*L655*12+M655*('3. The decision'!$B$20*(1-'3. The decision'!$B$21)+'3. The decision'!$B$23)+N655*('3. The decision'!$B$24+'3. The decision'!$B$25)</f>
        <v>622980.482969899</v>
      </c>
      <c r="P655" s="31" t="n">
        <f aca="false">N655-O655</f>
        <v>354106.172264691</v>
      </c>
    </row>
    <row r="656" customFormat="false" ht="15" hidden="false" customHeight="false" outlineLevel="0" collapsed="false">
      <c r="A656" s="27" t="n">
        <f aca="false">73*0.0025</f>
        <v>0.1825</v>
      </c>
      <c r="B656" s="27" t="n">
        <f aca="false">IF(A656&gt;0,MIN('3. The decision'!$B$15,'3. The decision'!$B$29*(A656/'3. The decision'!$B$28)^$B$580),0)</f>
        <v>0.534487698050505</v>
      </c>
      <c r="C656" s="15" t="n">
        <f aca="false">(1-'3. The decision'!$B$27-B656)*(1-'3. The decision'!$B$27)^('3. The decision'!$B$12-1)</f>
        <v>0.282851116291571</v>
      </c>
      <c r="D656" s="15" t="n">
        <f aca="false">1+(1-'3. The decision'!$B$27-B656)*(1-(1-'3. The decision'!$B$27)^('3. The decision'!$B$12-1))/'3. The decision'!$B$27</f>
        <v>2.74678474673569</v>
      </c>
      <c r="E656" s="15" t="n">
        <f aca="false">(1-'3. The decision'!$B$14)*(1-'3. The decision'!$B$27)^('3. The decision'!$B$11-1)</f>
        <v>0.690273454655712</v>
      </c>
      <c r="F656" s="15" t="n">
        <f aca="false">1+(1-'3. The decision'!$B$14)*(1-(1-'3. The decision'!$B$27)^('3. The decision'!$B$11-1))/'3. The decision'!$B$27</f>
        <v>4.28912098262087</v>
      </c>
      <c r="G656" s="15" t="n">
        <f aca="false">(1-(1-'3. The decision'!$B$9*MIN(1,('3. The decision'!$B$10/(52/12)))))+(1-(1-'3. The decision'!$B$9*MAX(0,MIN(1,('3. The decision'!$B$10/(52/12))-1))))*(1-'3. The decision'!$B$14)+(1-(1-'3. The decision'!$B$9*MAX(0,MIN(1,('3. The decision'!$B$10/(52/12))-2))))*(1-'3. The decision'!$B$14)*(1-'3. The decision'!$B$27)</f>
        <v>0.884576923076923</v>
      </c>
      <c r="H656" s="15" t="n">
        <f aca="false">IF(A656&lt;=0,0,MAX(0,ROUNDUP(LN('3. The decision'!$B$13)/LN(1+A656)-0.000000000001,0)-1))</f>
        <v>2</v>
      </c>
      <c r="I656" s="15" t="n">
        <f aca="false">IF(A656&lt;=0,1/(1-C656),(1+A656)*(1-(C656*(1+A656))^H656)/(1-C656*(1+A656))+'3. The decision'!$B$13*C656^H656/(1-C656))</f>
        <v>1.75873883554323</v>
      </c>
      <c r="J656" s="17" t="n">
        <f aca="false">F656+E656*D656/(1-C656)</f>
        <v>6.93296891907772</v>
      </c>
      <c r="K656" s="15" t="n">
        <f aca="false">F656-G656+E656*D656*I656</f>
        <v>6.73917022015634</v>
      </c>
      <c r="L656" s="17" t="n">
        <f aca="false">'3. The decision'!$B$8*'3. The decision'!$B$5/J656</f>
        <v>67.7400988640917</v>
      </c>
      <c r="M656" s="31" t="n">
        <f aca="false">L656*'3. The decision'!$B$6*'3. The decision'!$B$7*K656</f>
        <v>875600.957768178</v>
      </c>
      <c r="N656" s="31" t="n">
        <f aca="false">M656*(1+'3. The decision'!$B$19+'3. The decision'!$B$20+'3. The decision'!$B$22)</f>
        <v>968414.659291604</v>
      </c>
      <c r="O656" s="31" t="n">
        <f aca="false">'3. The decision'!$B$17+'3. The decision'!$B$18*L656*12+M656*('3. The decision'!$B$20*(1-'3. The decision'!$B$21)+'3. The decision'!$B$23)+N656*('3. The decision'!$B$24+'3. The decision'!$B$25)</f>
        <v>624753.202247195</v>
      </c>
      <c r="P656" s="31" t="n">
        <f aca="false">N656-O656</f>
        <v>343661.457044409</v>
      </c>
    </row>
    <row r="657" customFormat="false" ht="15" hidden="false" customHeight="false" outlineLevel="0" collapsed="false">
      <c r="A657" s="27" t="n">
        <f aca="false">74*0.0025</f>
        <v>0.185</v>
      </c>
      <c r="B657" s="27" t="n">
        <f aca="false">IF(A657&gt;0,MIN('3. The decision'!$B$15,'3. The decision'!$B$29*(A657/'3. The decision'!$B$28)^$B$580),0)</f>
        <v>0.56131882623052</v>
      </c>
      <c r="C657" s="15" t="n">
        <f aca="false">(1-'3. The decision'!$B$27-B657)*(1-'3. The decision'!$B$27)^('3. The decision'!$B$12-1)</f>
        <v>0.263831114853019</v>
      </c>
      <c r="D657" s="15" t="n">
        <f aca="false">1+(1-'3. The decision'!$B$27-B657)*(1-(1-'3. The decision'!$B$27)^('3. The decision'!$B$12-1))/'3. The decision'!$B$27</f>
        <v>2.6293241942325</v>
      </c>
      <c r="E657" s="15" t="n">
        <f aca="false">(1-'3. The decision'!$B$14)*(1-'3. The decision'!$B$27)^('3. The decision'!$B$11-1)</f>
        <v>0.690273454655712</v>
      </c>
      <c r="F657" s="15" t="n">
        <f aca="false">1+(1-'3. The decision'!$B$14)*(1-(1-'3. The decision'!$B$27)^('3. The decision'!$B$11-1))/'3. The decision'!$B$27</f>
        <v>4.28912098262087</v>
      </c>
      <c r="G657" s="15" t="n">
        <f aca="false">(1-(1-'3. The decision'!$B$9*MIN(1,('3. The decision'!$B$10/(52/12)))))+(1-(1-'3. The decision'!$B$9*MAX(0,MIN(1,('3. The decision'!$B$10/(52/12))-1))))*(1-'3. The decision'!$B$14)+(1-(1-'3. The decision'!$B$9*MAX(0,MIN(1,('3. The decision'!$B$10/(52/12))-2))))*(1-'3. The decision'!$B$14)*(1-'3. The decision'!$B$27)</f>
        <v>0.884576923076923</v>
      </c>
      <c r="H657" s="15" t="n">
        <f aca="false">IF(A657&lt;=0,0,MAX(0,ROUNDUP(LN('3. The decision'!$B$13)/LN(1+A657)-0.000000000001,0)-1))</f>
        <v>2</v>
      </c>
      <c r="I657" s="15" t="n">
        <f aca="false">IF(A657&lt;=0,1/(1-C657),(1+A657)*(1-(C657*(1+A657))^H657)/(1-C657*(1+A657))+'3. The decision'!$B$13*C657^H657/(1-C657))</f>
        <v>1.708653844433</v>
      </c>
      <c r="J657" s="17" t="n">
        <f aca="false">F657+E657*D657/(1-C657)</f>
        <v>6.75452359821817</v>
      </c>
      <c r="K657" s="15" t="n">
        <f aca="false">F657-G657+E657*D657*I657</f>
        <v>6.50566995925602</v>
      </c>
      <c r="L657" s="17" t="n">
        <f aca="false">'3. The decision'!$B$8*'3. The decision'!$B$5/J657</f>
        <v>69.5297000848276</v>
      </c>
      <c r="M657" s="31" t="n">
        <f aca="false">L657*'3. The decision'!$B$6*'3. The decision'!$B$7*K657</f>
        <v>867593.638611226</v>
      </c>
      <c r="N657" s="31" t="n">
        <f aca="false">M657*(1+'3. The decision'!$B$19+'3. The decision'!$B$20+'3. The decision'!$B$22)</f>
        <v>959558.564304015</v>
      </c>
      <c r="O657" s="31" t="n">
        <f aca="false">'3. The decision'!$B$17+'3. The decision'!$B$18*L657*12+M657*('3. The decision'!$B$20*(1-'3. The decision'!$B$21)+'3. The decision'!$B$23)+N657*('3. The decision'!$B$24+'3. The decision'!$B$25)</f>
        <v>626602.344458238</v>
      </c>
      <c r="P657" s="31" t="n">
        <f aca="false">N657-O657</f>
        <v>332956.219845777</v>
      </c>
    </row>
    <row r="658" customFormat="false" ht="15" hidden="false" customHeight="false" outlineLevel="0" collapsed="false">
      <c r="A658" s="27" t="n">
        <f aca="false">75*0.0025</f>
        <v>0.1875</v>
      </c>
      <c r="B658" s="27" t="n">
        <f aca="false">IF(A658&gt;0,MIN('3. The decision'!$B$15,'3. The decision'!$B$29*(A658/'3. The decision'!$B$28)^$B$580),0)</f>
        <v>0.589109417699381</v>
      </c>
      <c r="C658" s="15" t="n">
        <f aca="false">(1-'3. The decision'!$B$27-B658)*(1-'3. The decision'!$B$27)^('3. The decision'!$B$12-1)</f>
        <v>0.244130970819953</v>
      </c>
      <c r="D658" s="15" t="n">
        <f aca="false">1+(1-'3. The decision'!$B$27-B658)*(1-(1-'3. The decision'!$B$27)^('3. The decision'!$B$12-1))/'3. The decision'!$B$27</f>
        <v>2.50766333053633</v>
      </c>
      <c r="E658" s="15" t="n">
        <f aca="false">(1-'3. The decision'!$B$14)*(1-'3. The decision'!$B$27)^('3. The decision'!$B$11-1)</f>
        <v>0.690273454655712</v>
      </c>
      <c r="F658" s="15" t="n">
        <f aca="false">1+(1-'3. The decision'!$B$14)*(1-(1-'3. The decision'!$B$27)^('3. The decision'!$B$11-1))/'3. The decision'!$B$27</f>
        <v>4.28912098262087</v>
      </c>
      <c r="G658" s="15" t="n">
        <f aca="false">(1-(1-'3. The decision'!$B$9*MIN(1,('3. The decision'!$B$10/(52/12)))))+(1-(1-'3. The decision'!$B$9*MAX(0,MIN(1,('3. The decision'!$B$10/(52/12))-1))))*(1-'3. The decision'!$B$14)+(1-(1-'3. The decision'!$B$9*MAX(0,MIN(1,('3. The decision'!$B$10/(52/12))-2))))*(1-'3. The decision'!$B$14)*(1-'3. The decision'!$B$27)</f>
        <v>0.884576923076923</v>
      </c>
      <c r="H658" s="15" t="n">
        <f aca="false">IF(A658&lt;=0,0,MAX(0,ROUNDUP(LN('3. The decision'!$B$13)/LN(1+A658)-0.000000000001,0)-1))</f>
        <v>2</v>
      </c>
      <c r="I658" s="15" t="n">
        <f aca="false">IF(A658&lt;=0,1/(1-C658),(1+A658)*(1-(C658*(1+A658))^H658)/(1-C658*(1+A658))+'3. The decision'!$B$13*C658^H658/(1-C658))</f>
        <v>1.65949908125614</v>
      </c>
      <c r="J658" s="17" t="n">
        <f aca="false">F658+E658*D658/(1-C658)</f>
        <v>6.57916510859928</v>
      </c>
      <c r="K658" s="15" t="n">
        <f aca="false">F658-G658+E658*D658*I658</f>
        <v>6.27709287677699</v>
      </c>
      <c r="L658" s="17" t="n">
        <f aca="false">'3. The decision'!$B$8*'3. The decision'!$B$5/J658</f>
        <v>71.3829174747657</v>
      </c>
      <c r="M658" s="31" t="n">
        <f aca="false">L658*'3. The decision'!$B$6*'3. The decision'!$B$7*K658</f>
        <v>859422.707319267</v>
      </c>
      <c r="N658" s="31" t="n">
        <f aca="false">M658*(1+'3. The decision'!$B$19+'3. The decision'!$B$20+'3. The decision'!$B$22)</f>
        <v>950521.514295109</v>
      </c>
      <c r="O658" s="31" t="n">
        <f aca="false">'3. The decision'!$B$17+'3. The decision'!$B$18*L658*12+M658*('3. The decision'!$B$20*(1-'3. The decision'!$B$21)+'3. The decision'!$B$23)+N658*('3. The decision'!$B$24+'3. The decision'!$B$25)</f>
        <v>628530.245421638</v>
      </c>
      <c r="P658" s="31" t="n">
        <f aca="false">N658-O658</f>
        <v>321991.268873471</v>
      </c>
    </row>
    <row r="659" customFormat="false" ht="15" hidden="false" customHeight="false" outlineLevel="0" collapsed="false">
      <c r="A659" s="27" t="n">
        <f aca="false">76*0.0025</f>
        <v>0.19</v>
      </c>
      <c r="B659" s="27" t="n">
        <f aca="false">IF(A659&gt;0,MIN('3. The decision'!$B$15,'3. The decision'!$B$29*(A659/'3. The decision'!$B$28)^$B$580),0)</f>
        <v>0.617880301181072</v>
      </c>
      <c r="C659" s="15" t="n">
        <f aca="false">(1-'3. The decision'!$B$27-B659)*(1-'3. The decision'!$B$27)^('3. The decision'!$B$12-1)</f>
        <v>0.223735919164325</v>
      </c>
      <c r="D659" s="15" t="n">
        <f aca="false">1+(1-'3. The decision'!$B$27-B659)*(1-(1-'3. The decision'!$B$27)^('3. The decision'!$B$12-1))/'3. The decision'!$B$27</f>
        <v>2.38171097224967</v>
      </c>
      <c r="E659" s="15" t="n">
        <f aca="false">(1-'3. The decision'!$B$14)*(1-'3. The decision'!$B$27)^('3. The decision'!$B$11-1)</f>
        <v>0.690273454655712</v>
      </c>
      <c r="F659" s="15" t="n">
        <f aca="false">1+(1-'3. The decision'!$B$14)*(1-(1-'3. The decision'!$B$27)^('3. The decision'!$B$11-1))/'3. The decision'!$B$27</f>
        <v>4.28912098262087</v>
      </c>
      <c r="G659" s="15" t="n">
        <f aca="false">(1-(1-'3. The decision'!$B$9*MIN(1,('3. The decision'!$B$10/(52/12)))))+(1-(1-'3. The decision'!$B$9*MAX(0,MIN(1,('3. The decision'!$B$10/(52/12))-1))))*(1-'3. The decision'!$B$14)+(1-(1-'3. The decision'!$B$9*MAX(0,MIN(1,('3. The decision'!$B$10/(52/12))-2))))*(1-'3. The decision'!$B$14)*(1-'3. The decision'!$B$27)</f>
        <v>0.884576923076923</v>
      </c>
      <c r="H659" s="15" t="n">
        <f aca="false">IF(A659&lt;=0,0,MAX(0,ROUNDUP(LN('3. The decision'!$B$13)/LN(1+A659)-0.000000000001,0)-1))</f>
        <v>2</v>
      </c>
      <c r="I659" s="15" t="n">
        <f aca="false">IF(A659&lt;=0,1/(1-C659),(1+A659)*(1-(C659*(1+A659))^H659)/(1-C659*(1+A659))+'3. The decision'!$B$13*C659^H659/(1-C659))</f>
        <v>1.61129891202919</v>
      </c>
      <c r="J659" s="17" t="n">
        <f aca="false">F659+E659*D659/(1-C659)</f>
        <v>6.40699800590957</v>
      </c>
      <c r="K659" s="15" t="n">
        <f aca="false">F659-G659+E659*D659*I659</f>
        <v>6.05357080820229</v>
      </c>
      <c r="L659" s="17" t="n">
        <f aca="false">'3. The decision'!$B$8*'3. The decision'!$B$5/J659</f>
        <v>73.301099761046</v>
      </c>
      <c r="M659" s="31" t="n">
        <f aca="false">L659*'3. The decision'!$B$6*'3. The decision'!$B$7*K659</f>
        <v>851091.186098996</v>
      </c>
      <c r="N659" s="31" t="n">
        <f aca="false">M659*(1+'3. The decision'!$B$19+'3. The decision'!$B$20+'3. The decision'!$B$22)</f>
        <v>941306.851825489</v>
      </c>
      <c r="O659" s="31" t="n">
        <f aca="false">'3. The decision'!$B$17+'3. The decision'!$B$18*L659*12+M659*('3. The decision'!$B$20*(1-'3. The decision'!$B$21)+'3. The decision'!$B$23)+N659*('3. The decision'!$B$24+'3. The decision'!$B$25)</f>
        <v>630539.273504034</v>
      </c>
      <c r="P659" s="31" t="n">
        <f aca="false">N659-O659</f>
        <v>310767.578321455</v>
      </c>
    </row>
    <row r="660" customFormat="false" ht="15" hidden="false" customHeight="false" outlineLevel="0" collapsed="false">
      <c r="A660" s="27" t="n">
        <f aca="false">77*0.0025</f>
        <v>0.1925</v>
      </c>
      <c r="B660" s="27" t="n">
        <f aca="false">IF(A660&gt;0,MIN('3. The decision'!$B$15,'3. The decision'!$B$29*(A660/'3. The decision'!$B$28)^$B$580),0)</f>
        <v>0.647652472703146</v>
      </c>
      <c r="C660" s="15" t="n">
        <f aca="false">(1-'3. The decision'!$B$27-B660)*(1-'3. The decision'!$B$27)^('3. The decision'!$B$12-1)</f>
        <v>0.202631076260236</v>
      </c>
      <c r="D660" s="15" t="n">
        <f aca="false">1+(1-'3. The decision'!$B$27-B660)*(1-(1-'3. The decision'!$B$27)^('3. The decision'!$B$12-1))/'3. The decision'!$B$27</f>
        <v>2.25137520355816</v>
      </c>
      <c r="E660" s="15" t="n">
        <f aca="false">(1-'3. The decision'!$B$14)*(1-'3. The decision'!$B$27)^('3. The decision'!$B$11-1)</f>
        <v>0.690273454655712</v>
      </c>
      <c r="F660" s="15" t="n">
        <f aca="false">1+(1-'3. The decision'!$B$14)*(1-(1-'3. The decision'!$B$27)^('3. The decision'!$B$11-1))/'3. The decision'!$B$27</f>
        <v>4.28912098262087</v>
      </c>
      <c r="G660" s="15" t="n">
        <f aca="false">(1-(1-'3. The decision'!$B$9*MIN(1,('3. The decision'!$B$10/(52/12)))))+(1-(1-'3. The decision'!$B$9*MAX(0,MIN(1,('3. The decision'!$B$10/(52/12))-1))))*(1-'3. The decision'!$B$14)+(1-(1-'3. The decision'!$B$9*MAX(0,MIN(1,('3. The decision'!$B$10/(52/12))-2))))*(1-'3. The decision'!$B$14)*(1-'3. The decision'!$B$27)</f>
        <v>0.884576923076923</v>
      </c>
      <c r="H660" s="15" t="n">
        <f aca="false">IF(A660&lt;=0,0,MAX(0,ROUNDUP(LN('3. The decision'!$B$13)/LN(1+A660)-0.000000000001,0)-1))</f>
        <v>2</v>
      </c>
      <c r="I660" s="15" t="n">
        <f aca="false">IF(A660&lt;=0,1/(1-C660),(1+A660)*(1-(C660*(1+A660))^H660)/(1-C660*(1+A660))+'3. The decision'!$B$13*C660^H660/(1-C660))</f>
        <v>1.56407233237663</v>
      </c>
      <c r="J660" s="17" t="n">
        <f aca="false">F660+E660*D660/(1-C660)</f>
        <v>6.23811158561244</v>
      </c>
      <c r="K660" s="15" t="n">
        <f aca="false">F660-G660+E660*D660*I660</f>
        <v>5.8352134084821</v>
      </c>
      <c r="L660" s="17" t="n">
        <f aca="false">'3. The decision'!$B$8*'3. The decision'!$B$5/J660</f>
        <v>75.2856042336877</v>
      </c>
      <c r="M660" s="31" t="n">
        <f aca="false">L660*'3. The decision'!$B$6*'3. The decision'!$B$7*K660</f>
        <v>842602.338309755</v>
      </c>
      <c r="N660" s="31" t="n">
        <f aca="false">M660*(1+'3. The decision'!$B$19+'3. The decision'!$B$20+'3. The decision'!$B$22)</f>
        <v>931918.186170589</v>
      </c>
      <c r="O660" s="31" t="n">
        <f aca="false">'3. The decision'!$B$17+'3. The decision'!$B$18*L660*12+M660*('3. The decision'!$B$20*(1-'3. The decision'!$B$21)+'3. The decision'!$B$23)+N660*('3. The decision'!$B$24+'3. The decision'!$B$25)</f>
        <v>632631.835997928</v>
      </c>
      <c r="P660" s="31" t="n">
        <f aca="false">N660-O660</f>
        <v>299286.350172661</v>
      </c>
    </row>
    <row r="661" customFormat="false" ht="15" hidden="false" customHeight="false" outlineLevel="0" collapsed="false">
      <c r="A661" s="27" t="n">
        <f aca="false">78*0.0025</f>
        <v>0.195</v>
      </c>
      <c r="B661" s="27" t="n">
        <f aca="false">IF(A661&gt;0,MIN('3. The decision'!$B$15,'3. The decision'!$B$29*(A661/'3. The decision'!$B$28)^$B$580),0)</f>
        <v>0.678447094712602</v>
      </c>
      <c r="C661" s="15" t="n">
        <f aca="false">(1-'3. The decision'!$B$27-B661)*(1-'3. The decision'!$B$27)^('3. The decision'!$B$12-1)</f>
        <v>0.180801440510674</v>
      </c>
      <c r="D661" s="15" t="n">
        <f aca="false">1+(1-'3. The decision'!$B$27-B661)*(1-(1-'3. The decision'!$B$27)^('3. The decision'!$B$12-1))/'3. The decision'!$B$27</f>
        <v>2.1165633801011</v>
      </c>
      <c r="E661" s="15" t="n">
        <f aca="false">(1-'3. The decision'!$B$14)*(1-'3. The decision'!$B$27)^('3. The decision'!$B$11-1)</f>
        <v>0.690273454655712</v>
      </c>
      <c r="F661" s="15" t="n">
        <f aca="false">1+(1-'3. The decision'!$B$14)*(1-(1-'3. The decision'!$B$27)^('3. The decision'!$B$11-1))/'3. The decision'!$B$27</f>
        <v>4.28912098262087</v>
      </c>
      <c r="G661" s="15" t="n">
        <f aca="false">(1-(1-'3. The decision'!$B$9*MIN(1,('3. The decision'!$B$10/(52/12)))))+(1-(1-'3. The decision'!$B$9*MAX(0,MIN(1,('3. The decision'!$B$10/(52/12))-1))))*(1-'3. The decision'!$B$14)+(1-(1-'3. The decision'!$B$9*MAX(0,MIN(1,('3. The decision'!$B$10/(52/12))-2))))*(1-'3. The decision'!$B$14)*(1-'3. The decision'!$B$27)</f>
        <v>0.884576923076923</v>
      </c>
      <c r="H661" s="15" t="n">
        <f aca="false">IF(A661&lt;=0,0,MAX(0,ROUNDUP(LN('3. The decision'!$B$13)/LN(1+A661)-0.000000000001,0)-1))</f>
        <v>2</v>
      </c>
      <c r="I661" s="15" t="n">
        <f aca="false">IF(A661&lt;=0,1/(1-C661),(1+A661)*(1-(C661*(1+A661))^H661)/(1-C661*(1+A661))+'3. The decision'!$B$13*C661^H661/(1-C661))</f>
        <v>1.51783318333972</v>
      </c>
      <c r="J661" s="17" t="n">
        <f aca="false">F661+E661*D661/(1-C661)</f>
        <v>6.07258055961394</v>
      </c>
      <c r="K661" s="15" t="n">
        <f aca="false">F661-G661+E661*D661*I661</f>
        <v>5.62210974901451</v>
      </c>
      <c r="L661" s="17" t="n">
        <f aca="false">'3. The decision'!$B$8*'3. The decision'!$B$5/J661</f>
        <v>77.3377965742224</v>
      </c>
      <c r="M661" s="31" t="n">
        <f aca="false">L661*'3. The decision'!$B$6*'3. The decision'!$B$7*K661</f>
        <v>833959.747932949</v>
      </c>
      <c r="N661" s="31" t="n">
        <f aca="false">M661*(1+'3. The decision'!$B$19+'3. The decision'!$B$20+'3. The decision'!$B$22)</f>
        <v>922359.481213842</v>
      </c>
      <c r="O661" s="31" t="n">
        <f aca="false">'3. The decision'!$B$17+'3. The decision'!$B$18*L661*12+M661*('3. The decision'!$B$20*(1-'3. The decision'!$B$21)+'3. The decision'!$B$23)+N661*('3. The decision'!$B$24+'3. The decision'!$B$25)</f>
        <v>634810.387415147</v>
      </c>
      <c r="P661" s="31" t="n">
        <f aca="false">N661-O661</f>
        <v>287549.093798695</v>
      </c>
    </row>
    <row r="662" customFormat="false" ht="15" hidden="false" customHeight="false" outlineLevel="0" collapsed="false">
      <c r="A662" s="27" t="n">
        <f aca="false">79*0.0025</f>
        <v>0.1975</v>
      </c>
      <c r="B662" s="27" t="n">
        <f aca="false">IF(A662&gt;0,MIN('3. The decision'!$B$15,'3. The decision'!$B$29*(A662/'3. The decision'!$B$28)^$B$580),0)</f>
        <v>0.710285495207915</v>
      </c>
      <c r="C662" s="15" t="n">
        <f aca="false">(1-'3. The decision'!$B$27-B662)*(1-'3. The decision'!$B$27)^('3. The decision'!$B$12-1)</f>
        <v>0.158231892962796</v>
      </c>
      <c r="D662" s="15" t="n">
        <f aca="false">1+(1-'3. The decision'!$B$27-B662)*(1-(1-'3. The decision'!$B$27)^('3. The decision'!$B$12-1))/'3. The decision'!$B$27</f>
        <v>1.97718213277125</v>
      </c>
      <c r="E662" s="15" t="n">
        <f aca="false">(1-'3. The decision'!$B$14)*(1-'3. The decision'!$B$27)^('3. The decision'!$B$11-1)</f>
        <v>0.690273454655712</v>
      </c>
      <c r="F662" s="15" t="n">
        <f aca="false">1+(1-'3. The decision'!$B$14)*(1-(1-'3. The decision'!$B$27)^('3. The decision'!$B$11-1))/'3. The decision'!$B$27</f>
        <v>4.28912098262087</v>
      </c>
      <c r="G662" s="15" t="n">
        <f aca="false">(1-(1-'3. The decision'!$B$9*MIN(1,('3. The decision'!$B$10/(52/12)))))+(1-(1-'3. The decision'!$B$9*MAX(0,MIN(1,('3. The decision'!$B$10/(52/12))-1))))*(1-'3. The decision'!$B$14)+(1-(1-'3. The decision'!$B$9*MAX(0,MIN(1,('3. The decision'!$B$10/(52/12))-2))))*(1-'3. The decision'!$B$14)*(1-'3. The decision'!$B$27)</f>
        <v>0.884576923076923</v>
      </c>
      <c r="H662" s="15" t="n">
        <f aca="false">IF(A662&lt;=0,0,MAX(0,ROUNDUP(LN('3. The decision'!$B$13)/LN(1+A662)-0.000000000001,0)-1))</f>
        <v>2</v>
      </c>
      <c r="I662" s="15" t="n">
        <f aca="false">IF(A662&lt;=0,1/(1-C662),(1+A662)*(1-(C662*(1+A662))^H662)/(1-C662*(1+A662))+'3. The decision'!$B$13*C662^H662/(1-C662))</f>
        <v>1.47259038270944</v>
      </c>
      <c r="J662" s="17" t="n">
        <f aca="false">F662+E662*D662/(1-C662)</f>
        <v>5.91046578038861</v>
      </c>
      <c r="K662" s="15" t="n">
        <f aca="false">F662-G662+E662*D662*I662</f>
        <v>5.41433002605749</v>
      </c>
      <c r="L662" s="17" t="n">
        <f aca="false">'3. The decision'!$B$8*'3. The decision'!$B$5/J662</f>
        <v>79.4590506823172</v>
      </c>
      <c r="M662" s="31" t="n">
        <f aca="false">L662*'3. The decision'!$B$6*'3. The decision'!$B$7*K662</f>
        <v>825167.419489997</v>
      </c>
      <c r="N662" s="31" t="n">
        <f aca="false">M662*(1+'3. The decision'!$B$19+'3. The decision'!$B$20+'3. The decision'!$B$22)</f>
        <v>912635.165955937</v>
      </c>
      <c r="O662" s="31" t="n">
        <f aca="false">'3. The decision'!$B$17+'3. The decision'!$B$18*L662*12+M662*('3. The decision'!$B$20*(1-'3. The decision'!$B$21)+'3. The decision'!$B$23)+N662*('3. The decision'!$B$24+'3. The decision'!$B$25)</f>
        <v>637077.439978077</v>
      </c>
      <c r="P662" s="31" t="n">
        <f aca="false">N662-O662</f>
        <v>275557.72597786</v>
      </c>
    </row>
    <row r="663" customFormat="false" ht="15" hidden="false" customHeight="false" outlineLevel="0" collapsed="false">
      <c r="A663" s="27" t="n">
        <f aca="false">80*0.0025</f>
        <v>0.2</v>
      </c>
      <c r="B663" s="27" t="n">
        <f aca="false">IF(A663&gt;0,MIN('3. The decision'!$B$15,'3. The decision'!$B$29*(A663/'3. The decision'!$B$28)^$B$580),0)</f>
        <v>0.743189166886692</v>
      </c>
      <c r="C663" s="15" t="n">
        <f aca="false">(1-'3. The decision'!$B$27-B663)*(1-'3. The decision'!$B$27)^('3. The decision'!$B$12-1)</f>
        <v>0.134907197912137</v>
      </c>
      <c r="D663" s="15" t="n">
        <f aca="false">1+(1-'3. The decision'!$B$27-B663)*(1-(1-'3. The decision'!$B$27)^('3. The decision'!$B$12-1))/'3. The decision'!$B$27</f>
        <v>1.83313737144617</v>
      </c>
      <c r="E663" s="15" t="n">
        <f aca="false">(1-'3. The decision'!$B$14)*(1-'3. The decision'!$B$27)^('3. The decision'!$B$11-1)</f>
        <v>0.690273454655712</v>
      </c>
      <c r="F663" s="15" t="n">
        <f aca="false">1+(1-'3. The decision'!$B$14)*(1-(1-'3. The decision'!$B$27)^('3. The decision'!$B$11-1))/'3. The decision'!$B$27</f>
        <v>4.28912098262087</v>
      </c>
      <c r="G663" s="15" t="n">
        <f aca="false">(1-(1-'3. The decision'!$B$9*MIN(1,('3. The decision'!$B$10/(52/12)))))+(1-(1-'3. The decision'!$B$9*MAX(0,MIN(1,('3. The decision'!$B$10/(52/12))-1))))*(1-'3. The decision'!$B$14)+(1-(1-'3. The decision'!$B$9*MAX(0,MIN(1,('3. The decision'!$B$10/(52/12))-2))))*(1-'3. The decision'!$B$14)*(1-'3. The decision'!$B$27)</f>
        <v>0.884576923076923</v>
      </c>
      <c r="H663" s="15" t="n">
        <f aca="false">IF(A663&lt;=0,0,MAX(0,ROUNDUP(LN('3. The decision'!$B$13)/LN(1+A663)-0.000000000001,0)-1))</f>
        <v>2</v>
      </c>
      <c r="I663" s="15" t="n">
        <f aca="false">IF(A663&lt;=0,1/(1-C663),(1+A663)*(1-(C663*(1+A663))^H663)/(1-C663*(1+A663))+'3. The decision'!$B$13*C663^H663/(1-C663))</f>
        <v>1.42834816783292</v>
      </c>
      <c r="J663" s="17" t="n">
        <f aca="false">F663+E663*D663/(1-C663)</f>
        <v>5.75181500017915</v>
      </c>
      <c r="K663" s="15" t="n">
        <f aca="false">F663-G663+E663*D663*I663</f>
        <v>5.21192736190529</v>
      </c>
      <c r="L663" s="17" t="n">
        <f aca="false">'3. The decision'!$B$8*'3. The decision'!$B$5/J663</f>
        <v>81.6507485003208</v>
      </c>
      <c r="M663" s="31" t="n">
        <f aca="false">L663*'3. The decision'!$B$6*'3. The decision'!$B$7*K663</f>
        <v>816229.901279959</v>
      </c>
      <c r="N663" s="31" t="n">
        <f aca="false">M663*(1+'3. The decision'!$B$19+'3. The decision'!$B$20+'3. The decision'!$B$22)</f>
        <v>902750.270815635</v>
      </c>
      <c r="O663" s="31" t="n">
        <f aca="false">'3. The decision'!$B$17+'3. The decision'!$B$18*L663*12+M663*('3. The decision'!$B$20*(1-'3. The decision'!$B$21)+'3. The decision'!$B$23)+N663*('3. The decision'!$B$24+'3. The decision'!$B$25)</f>
        <v>639435.576617574</v>
      </c>
      <c r="P663" s="31" t="n">
        <f aca="false">N663-O663</f>
        <v>263314.694198061</v>
      </c>
    </row>
    <row r="664" customFormat="false" ht="15" hidden="false" customHeight="false" outlineLevel="0" collapsed="false">
      <c r="A664" s="27" t="n">
        <f aca="false">81*0.0025</f>
        <v>0.2025</v>
      </c>
      <c r="B664" s="27" t="n">
        <f aca="false">IF(A664&gt;0,MIN('3. The decision'!$B$15,'3. The decision'!$B$29*(A664/'3. The decision'!$B$28)^$B$580),0)</f>
        <v>0.75</v>
      </c>
      <c r="C664" s="15" t="n">
        <f aca="false">(1-'3. The decision'!$B$27-B664)*(1-'3. The decision'!$B$27)^('3. The decision'!$B$12-1)</f>
        <v>0.130079146898265</v>
      </c>
      <c r="D664" s="15" t="n">
        <f aca="false">1+(1-'3. The decision'!$B$27-B664)*(1-(1-'3. The decision'!$B$27)^('3. The decision'!$B$12-1))/'3. The decision'!$B$27</f>
        <v>1.80332109927421</v>
      </c>
      <c r="E664" s="15" t="n">
        <f aca="false">(1-'3. The decision'!$B$14)*(1-'3. The decision'!$B$27)^('3. The decision'!$B$11-1)</f>
        <v>0.690273454655712</v>
      </c>
      <c r="F664" s="15" t="n">
        <f aca="false">1+(1-'3. The decision'!$B$14)*(1-(1-'3. The decision'!$B$27)^('3. The decision'!$B$11-1))/'3. The decision'!$B$27</f>
        <v>4.28912098262087</v>
      </c>
      <c r="G664" s="15" t="n">
        <f aca="false">(1-(1-'3. The decision'!$B$9*MIN(1,('3. The decision'!$B$10/(52/12)))))+(1-(1-'3. The decision'!$B$9*MAX(0,MIN(1,('3. The decision'!$B$10/(52/12))-1))))*(1-'3. The decision'!$B$14)+(1-(1-'3. The decision'!$B$9*MAX(0,MIN(1,('3. The decision'!$B$10/(52/12))-2))))*(1-'3. The decision'!$B$14)*(1-'3. The decision'!$B$27)</f>
        <v>0.884576923076923</v>
      </c>
      <c r="H664" s="15" t="n">
        <f aca="false">IF(A664&lt;=0,0,MAX(0,ROUNDUP(LN('3. The decision'!$B$13)/LN(1+A664)-0.000000000001,0)-1))</f>
        <v>2</v>
      </c>
      <c r="I664" s="15" t="n">
        <f aca="false">IF(A664&lt;=0,1/(1-C664),(1+A664)*(1-(C664*(1+A664))^H664)/(1-C664*(1+A664))+'3. The decision'!$B$13*C664^H664/(1-C664))</f>
        <v>1.42210542119482</v>
      </c>
      <c r="J664" s="17" t="n">
        <f aca="false">F664+E664*D664/(1-C664)</f>
        <v>5.72003815239697</v>
      </c>
      <c r="K664" s="15" t="n">
        <f aca="false">F664-G664+E664*D664*I664</f>
        <v>5.17475910837319</v>
      </c>
      <c r="L664" s="17" t="n">
        <f aca="false">'3. The decision'!$B$8*'3. The decision'!$B$5/J664</f>
        <v>82.104347468941</v>
      </c>
      <c r="M664" s="31" t="n">
        <f aca="false">L664*'3. The decision'!$B$6*'3. The decision'!$B$7*K664</f>
        <v>814911.163438155</v>
      </c>
      <c r="N664" s="31" t="n">
        <f aca="false">M664*(1+'3. The decision'!$B$19+'3. The decision'!$B$20+'3. The decision'!$B$22)</f>
        <v>901291.746762599</v>
      </c>
      <c r="O664" s="31" t="n">
        <f aca="false">'3. The decision'!$B$17+'3. The decision'!$B$18*L664*12+M664*('3. The decision'!$B$20*(1-'3. The decision'!$B$21)+'3. The decision'!$B$23)+N664*('3. The decision'!$B$24+'3. The decision'!$B$25)</f>
        <v>639980.771243702</v>
      </c>
      <c r="P664" s="31" t="n">
        <f aca="false">N664-O664</f>
        <v>261310.975518897</v>
      </c>
    </row>
    <row r="665" customFormat="false" ht="15" hidden="false" customHeight="false" outlineLevel="0" collapsed="false">
      <c r="A665" s="27" t="n">
        <f aca="false">82*0.0025</f>
        <v>0.205</v>
      </c>
      <c r="B665" s="27" t="n">
        <f aca="false">IF(A665&gt;0,MIN('3. The decision'!$B$15,'3. The decision'!$B$29*(A665/'3. The decision'!$B$28)^$B$580),0)</f>
        <v>0.75</v>
      </c>
      <c r="C665" s="15" t="n">
        <f aca="false">(1-'3. The decision'!$B$27-B665)*(1-'3. The decision'!$B$27)^('3. The decision'!$B$12-1)</f>
        <v>0.130079146898265</v>
      </c>
      <c r="D665" s="15" t="n">
        <f aca="false">1+(1-'3. The decision'!$B$27-B665)*(1-(1-'3. The decision'!$B$27)^('3. The decision'!$B$12-1))/'3. The decision'!$B$27</f>
        <v>1.80332109927421</v>
      </c>
      <c r="E665" s="15" t="n">
        <f aca="false">(1-'3. The decision'!$B$14)*(1-'3. The decision'!$B$27)^('3. The decision'!$B$11-1)</f>
        <v>0.690273454655712</v>
      </c>
      <c r="F665" s="15" t="n">
        <f aca="false">1+(1-'3. The decision'!$B$14)*(1-(1-'3. The decision'!$B$27)^('3. The decision'!$B$11-1))/'3. The decision'!$B$27</f>
        <v>4.28912098262087</v>
      </c>
      <c r="G665" s="15" t="n">
        <f aca="false">(1-(1-'3. The decision'!$B$9*MIN(1,('3. The decision'!$B$10/(52/12)))))+(1-(1-'3. The decision'!$B$9*MAX(0,MIN(1,('3. The decision'!$B$10/(52/12))-1))))*(1-'3. The decision'!$B$14)+(1-(1-'3. The decision'!$B$9*MAX(0,MIN(1,('3. The decision'!$B$10/(52/12))-2))))*(1-'3. The decision'!$B$14)*(1-'3. The decision'!$B$27)</f>
        <v>0.884576923076923</v>
      </c>
      <c r="H665" s="15" t="n">
        <f aca="false">IF(A665&lt;=0,0,MAX(0,ROUNDUP(LN('3. The decision'!$B$13)/LN(1+A665)-0.000000000001,0)-1))</f>
        <v>2</v>
      </c>
      <c r="I665" s="15" t="n">
        <f aca="false">IF(A665&lt;=0,1/(1-C665),(1+A665)*(1-(C665*(1+A665))^H665)/(1-C665*(1+A665))+'3. The decision'!$B$13*C665^H665/(1-C665))</f>
        <v>1.42538833506021</v>
      </c>
      <c r="J665" s="17" t="n">
        <f aca="false">F665+E665*D665/(1-C665)</f>
        <v>5.72003815239697</v>
      </c>
      <c r="K665" s="15" t="n">
        <f aca="false">F665-G665+E665*D665*I665</f>
        <v>5.17884562927517</v>
      </c>
      <c r="L665" s="17" t="n">
        <f aca="false">'3. The decision'!$B$8*'3. The decision'!$B$5/J665</f>
        <v>82.104347468941</v>
      </c>
      <c r="M665" s="31" t="n">
        <f aca="false">L665*'3. The decision'!$B$6*'3. The decision'!$B$7*K665</f>
        <v>815554.700930993</v>
      </c>
      <c r="N665" s="31" t="n">
        <f aca="false">M665*(1+'3. The decision'!$B$19+'3. The decision'!$B$20+'3. The decision'!$B$22)</f>
        <v>902003.499229679</v>
      </c>
      <c r="O665" s="31" t="n">
        <f aca="false">'3. The decision'!$B$17+'3. The decision'!$B$18*L665*12+M665*('3. The decision'!$B$20*(1-'3. The decision'!$B$21)+'3. The decision'!$B$23)+N665*('3. The decision'!$B$24+'3. The decision'!$B$25)</f>
        <v>640050.033253444</v>
      </c>
      <c r="P665" s="31" t="n">
        <f aca="false">N665-O665</f>
        <v>261953.465976235</v>
      </c>
    </row>
    <row r="666" customFormat="false" ht="15" hidden="false" customHeight="false" outlineLevel="0" collapsed="false">
      <c r="A666" s="27" t="n">
        <f aca="false">83*0.0025</f>
        <v>0.2075</v>
      </c>
      <c r="B666" s="27" t="n">
        <f aca="false">IF(A666&gt;0,MIN('3. The decision'!$B$15,'3. The decision'!$B$29*(A666/'3. The decision'!$B$28)^$B$580),0)</f>
        <v>0.75</v>
      </c>
      <c r="C666" s="15" t="n">
        <f aca="false">(1-'3. The decision'!$B$27-B666)*(1-'3. The decision'!$B$27)^('3. The decision'!$B$12-1)</f>
        <v>0.130079146898265</v>
      </c>
      <c r="D666" s="15" t="n">
        <f aca="false">1+(1-'3. The decision'!$B$27-B666)*(1-(1-'3. The decision'!$B$27)^('3. The decision'!$B$12-1))/'3. The decision'!$B$27</f>
        <v>1.80332109927421</v>
      </c>
      <c r="E666" s="15" t="n">
        <f aca="false">(1-'3. The decision'!$B$14)*(1-'3. The decision'!$B$27)^('3. The decision'!$B$11-1)</f>
        <v>0.690273454655712</v>
      </c>
      <c r="F666" s="15" t="n">
        <f aca="false">1+(1-'3. The decision'!$B$14)*(1-(1-'3. The decision'!$B$27)^('3. The decision'!$B$11-1))/'3. The decision'!$B$27</f>
        <v>4.28912098262087</v>
      </c>
      <c r="G666" s="15" t="n">
        <f aca="false">(1-(1-'3. The decision'!$B$9*MIN(1,('3. The decision'!$B$10/(52/12)))))+(1-(1-'3. The decision'!$B$9*MAX(0,MIN(1,('3. The decision'!$B$10/(52/12))-1))))*(1-'3. The decision'!$B$14)+(1-(1-'3. The decision'!$B$9*MAX(0,MIN(1,('3. The decision'!$B$10/(52/12))-2))))*(1-'3. The decision'!$B$14)*(1-'3. The decision'!$B$27)</f>
        <v>0.884576923076923</v>
      </c>
      <c r="H666" s="15" t="n">
        <f aca="false">IF(A666&lt;=0,0,MAX(0,ROUNDUP(LN('3. The decision'!$B$13)/LN(1+A666)-0.000000000001,0)-1))</f>
        <v>2</v>
      </c>
      <c r="I666" s="15" t="n">
        <f aca="false">IF(A666&lt;=0,1/(1-C666),(1+A666)*(1-(C666*(1+A666))^H666)/(1-C666*(1+A666))+'3. The decision'!$B$13*C666^H666/(1-C666))</f>
        <v>1.42867287491494</v>
      </c>
      <c r="J666" s="17" t="n">
        <f aca="false">F666+E666*D666/(1-C666)</f>
        <v>5.72003815239697</v>
      </c>
      <c r="K666" s="15" t="n">
        <f aca="false">F666-G666+E666*D666*I666</f>
        <v>5.18293417418377</v>
      </c>
      <c r="L666" s="17" t="n">
        <f aca="false">'3. The decision'!$B$8*'3. The decision'!$B$5/J666</f>
        <v>82.104347468941</v>
      </c>
      <c r="M666" s="31" t="n">
        <f aca="false">L666*'3. The decision'!$B$6*'3. The decision'!$B$7*K666</f>
        <v>816198.557160523</v>
      </c>
      <c r="N666" s="31" t="n">
        <f aca="false">M666*(1+'3. The decision'!$B$19+'3. The decision'!$B$20+'3. The decision'!$B$22)</f>
        <v>902715.604219538</v>
      </c>
      <c r="O666" s="31" t="n">
        <f aca="false">'3. The decision'!$B$17+'3. The decision'!$B$18*L666*12+M666*('3. The decision'!$B$20*(1-'3. The decision'!$B$21)+'3. The decision'!$B$23)+N666*('3. The decision'!$B$24+'3. The decision'!$B$25)</f>
        <v>640119.329567859</v>
      </c>
      <c r="P666" s="31" t="n">
        <f aca="false">N666-O666</f>
        <v>262596.274651679</v>
      </c>
    </row>
    <row r="667" customFormat="false" ht="15" hidden="false" customHeight="false" outlineLevel="0" collapsed="false">
      <c r="A667" s="27" t="n">
        <f aca="false">84*0.0025</f>
        <v>0.21</v>
      </c>
      <c r="B667" s="27" t="n">
        <f aca="false">IF(A667&gt;0,MIN('3. The decision'!$B$15,'3. The decision'!$B$29*(A667/'3. The decision'!$B$28)^$B$580),0)</f>
        <v>0.75</v>
      </c>
      <c r="C667" s="15" t="n">
        <f aca="false">(1-'3. The decision'!$B$27-B667)*(1-'3. The decision'!$B$27)^('3. The decision'!$B$12-1)</f>
        <v>0.130079146898265</v>
      </c>
      <c r="D667" s="15" t="n">
        <f aca="false">1+(1-'3. The decision'!$B$27-B667)*(1-(1-'3. The decision'!$B$27)^('3. The decision'!$B$12-1))/'3. The decision'!$B$27</f>
        <v>1.80332109927421</v>
      </c>
      <c r="E667" s="15" t="n">
        <f aca="false">(1-'3. The decision'!$B$14)*(1-'3. The decision'!$B$27)^('3. The decision'!$B$11-1)</f>
        <v>0.690273454655712</v>
      </c>
      <c r="F667" s="15" t="n">
        <f aca="false">1+(1-'3. The decision'!$B$14)*(1-(1-'3. The decision'!$B$27)^('3. The decision'!$B$11-1))/'3. The decision'!$B$27</f>
        <v>4.28912098262087</v>
      </c>
      <c r="G667" s="15" t="n">
        <f aca="false">(1-(1-'3. The decision'!$B$9*MIN(1,('3. The decision'!$B$10/(52/12)))))+(1-(1-'3. The decision'!$B$9*MAX(0,MIN(1,('3. The decision'!$B$10/(52/12))-1))))*(1-'3. The decision'!$B$14)+(1-(1-'3. The decision'!$B$9*MAX(0,MIN(1,('3. The decision'!$B$10/(52/12))-2))))*(1-'3. The decision'!$B$14)*(1-'3. The decision'!$B$27)</f>
        <v>0.884576923076923</v>
      </c>
      <c r="H667" s="15" t="n">
        <f aca="false">IF(A667&lt;=0,0,MAX(0,ROUNDUP(LN('3. The decision'!$B$13)/LN(1+A667)-0.000000000001,0)-1))</f>
        <v>2</v>
      </c>
      <c r="I667" s="15" t="n">
        <f aca="false">IF(A667&lt;=0,1/(1-C667),(1+A667)*(1-(C667*(1+A667))^H667)/(1-C667*(1+A667))+'3. The decision'!$B$13*C667^H667/(1-C667))</f>
        <v>1.43195904075901</v>
      </c>
      <c r="J667" s="17" t="n">
        <f aca="false">F667+E667*D667/(1-C667)</f>
        <v>5.72003815239697</v>
      </c>
      <c r="K667" s="15" t="n">
        <f aca="false">F667-G667+E667*D667*I667</f>
        <v>5.187024743099</v>
      </c>
      <c r="L667" s="17" t="n">
        <f aca="false">'3. The decision'!$B$8*'3. The decision'!$B$5/J667</f>
        <v>82.104347468941</v>
      </c>
      <c r="M667" s="31" t="n">
        <f aca="false">L667*'3. The decision'!$B$6*'3. The decision'!$B$7*K667</f>
        <v>816842.732126742</v>
      </c>
      <c r="N667" s="31" t="n">
        <f aca="false">M667*(1+'3. The decision'!$B$19+'3. The decision'!$B$20+'3. The decision'!$B$22)</f>
        <v>903428.061732177</v>
      </c>
      <c r="O667" s="31" t="n">
        <f aca="false">'3. The decision'!$B$17+'3. The decision'!$B$18*L667*12+M667*('3. The decision'!$B$20*(1-'3. The decision'!$B$21)+'3. The decision'!$B$23)+N667*('3. The decision'!$B$24+'3. The decision'!$B$25)</f>
        <v>640188.660186948</v>
      </c>
      <c r="P667" s="31" t="n">
        <f aca="false">N667-O667</f>
        <v>263239.401545228</v>
      </c>
    </row>
    <row r="668" customFormat="false" ht="15" hidden="false" customHeight="false" outlineLevel="0" collapsed="false">
      <c r="A668" s="27" t="n">
        <f aca="false">85*0.0025</f>
        <v>0.2125</v>
      </c>
      <c r="B668" s="27" t="n">
        <f aca="false">IF(A668&gt;0,MIN('3. The decision'!$B$15,'3. The decision'!$B$29*(A668/'3. The decision'!$B$28)^$B$580),0)</f>
        <v>0.75</v>
      </c>
      <c r="C668" s="15" t="n">
        <f aca="false">(1-'3. The decision'!$B$27-B668)*(1-'3. The decision'!$B$27)^('3. The decision'!$B$12-1)</f>
        <v>0.130079146898265</v>
      </c>
      <c r="D668" s="15" t="n">
        <f aca="false">1+(1-'3. The decision'!$B$27-B668)*(1-(1-'3. The decision'!$B$27)^('3. The decision'!$B$12-1))/'3. The decision'!$B$27</f>
        <v>1.80332109927421</v>
      </c>
      <c r="E668" s="15" t="n">
        <f aca="false">(1-'3. The decision'!$B$14)*(1-'3. The decision'!$B$27)^('3. The decision'!$B$11-1)</f>
        <v>0.690273454655712</v>
      </c>
      <c r="F668" s="15" t="n">
        <f aca="false">1+(1-'3. The decision'!$B$14)*(1-(1-'3. The decision'!$B$27)^('3. The decision'!$B$11-1))/'3. The decision'!$B$27</f>
        <v>4.28912098262087</v>
      </c>
      <c r="G668" s="15" t="n">
        <f aca="false">(1-(1-'3. The decision'!$B$9*MIN(1,('3. The decision'!$B$10/(52/12)))))+(1-(1-'3. The decision'!$B$9*MAX(0,MIN(1,('3. The decision'!$B$10/(52/12))-1))))*(1-'3. The decision'!$B$14)+(1-(1-'3. The decision'!$B$9*MAX(0,MIN(1,('3. The decision'!$B$10/(52/12))-2))))*(1-'3. The decision'!$B$14)*(1-'3. The decision'!$B$27)</f>
        <v>0.884576923076923</v>
      </c>
      <c r="H668" s="15" t="n">
        <f aca="false">IF(A668&lt;=0,0,MAX(0,ROUNDUP(LN('3. The decision'!$B$13)/LN(1+A668)-0.000000000001,0)-1))</f>
        <v>2</v>
      </c>
      <c r="I668" s="15" t="n">
        <f aca="false">IF(A668&lt;=0,1/(1-C668),(1+A668)*(1-(C668*(1+A668))^H668)/(1-C668*(1+A668))+'3. The decision'!$B$13*C668^H668/(1-C668))</f>
        <v>1.43524683259241</v>
      </c>
      <c r="J668" s="17" t="n">
        <f aca="false">F668+E668*D668/(1-C668)</f>
        <v>5.72003815239697</v>
      </c>
      <c r="K668" s="15" t="n">
        <f aca="false">F668-G668+E668*D668*I668</f>
        <v>5.19111733602085</v>
      </c>
      <c r="L668" s="17" t="n">
        <f aca="false">'3. The decision'!$B$8*'3. The decision'!$B$5/J668</f>
        <v>82.104347468941</v>
      </c>
      <c r="M668" s="31" t="n">
        <f aca="false">L668*'3. The decision'!$B$6*'3. The decision'!$B$7*K668</f>
        <v>817487.225829653</v>
      </c>
      <c r="N668" s="31" t="n">
        <f aca="false">M668*(1+'3. The decision'!$B$19+'3. The decision'!$B$20+'3. The decision'!$B$22)</f>
        <v>904140.871767596</v>
      </c>
      <c r="O668" s="31" t="n">
        <f aca="false">'3. The decision'!$B$17+'3. The decision'!$B$18*L668*12+M668*('3. The decision'!$B$20*(1-'3. The decision'!$B$21)+'3. The decision'!$B$23)+N668*('3. The decision'!$B$24+'3. The decision'!$B$25)</f>
        <v>640258.025110712</v>
      </c>
      <c r="P668" s="31" t="n">
        <f aca="false">N668-O668</f>
        <v>263882.846656884</v>
      </c>
    </row>
    <row r="669" customFormat="false" ht="15" hidden="false" customHeight="false" outlineLevel="0" collapsed="false">
      <c r="A669" s="27" t="n">
        <f aca="false">86*0.0025</f>
        <v>0.215</v>
      </c>
      <c r="B669" s="27" t="n">
        <f aca="false">IF(A669&gt;0,MIN('3. The decision'!$B$15,'3. The decision'!$B$29*(A669/'3. The decision'!$B$28)^$B$580),0)</f>
        <v>0.75</v>
      </c>
      <c r="C669" s="15" t="n">
        <f aca="false">(1-'3. The decision'!$B$27-B669)*(1-'3. The decision'!$B$27)^('3. The decision'!$B$12-1)</f>
        <v>0.130079146898265</v>
      </c>
      <c r="D669" s="15" t="n">
        <f aca="false">1+(1-'3. The decision'!$B$27-B669)*(1-(1-'3. The decision'!$B$27)^('3. The decision'!$B$12-1))/'3. The decision'!$B$27</f>
        <v>1.80332109927421</v>
      </c>
      <c r="E669" s="15" t="n">
        <f aca="false">(1-'3. The decision'!$B$14)*(1-'3. The decision'!$B$27)^('3. The decision'!$B$11-1)</f>
        <v>0.690273454655712</v>
      </c>
      <c r="F669" s="15" t="n">
        <f aca="false">1+(1-'3. The decision'!$B$14)*(1-(1-'3. The decision'!$B$27)^('3. The decision'!$B$11-1))/'3. The decision'!$B$27</f>
        <v>4.28912098262087</v>
      </c>
      <c r="G669" s="15" t="n">
        <f aca="false">(1-(1-'3. The decision'!$B$9*MIN(1,('3. The decision'!$B$10/(52/12)))))+(1-(1-'3. The decision'!$B$9*MAX(0,MIN(1,('3. The decision'!$B$10/(52/12))-1))))*(1-'3. The decision'!$B$14)+(1-(1-'3. The decision'!$B$9*MAX(0,MIN(1,('3. The decision'!$B$10/(52/12))-2))))*(1-'3. The decision'!$B$14)*(1-'3. The decision'!$B$27)</f>
        <v>0.884576923076923</v>
      </c>
      <c r="H669" s="15" t="n">
        <f aca="false">IF(A669&lt;=0,0,MAX(0,ROUNDUP(LN('3. The decision'!$B$13)/LN(1+A669)-0.000000000001,0)-1))</f>
        <v>2</v>
      </c>
      <c r="I669" s="15" t="n">
        <f aca="false">IF(A669&lt;=0,1/(1-C669),(1+A669)*(1-(C669*(1+A669))^H669)/(1-C669*(1+A669))+'3. The decision'!$B$13*C669^H669/(1-C669))</f>
        <v>1.43853625041515</v>
      </c>
      <c r="J669" s="17" t="n">
        <f aca="false">F669+E669*D669/(1-C669)</f>
        <v>5.72003815239697</v>
      </c>
      <c r="K669" s="15" t="n">
        <f aca="false">F669-G669+E669*D669*I669</f>
        <v>5.19521195294932</v>
      </c>
      <c r="L669" s="17" t="n">
        <f aca="false">'3. The decision'!$B$8*'3. The decision'!$B$5/J669</f>
        <v>82.104347468941</v>
      </c>
      <c r="M669" s="31" t="n">
        <f aca="false">L669*'3. The decision'!$B$6*'3. The decision'!$B$7*K669</f>
        <v>818132.038269254</v>
      </c>
      <c r="N669" s="31" t="n">
        <f aca="false">M669*(1+'3. The decision'!$B$19+'3. The decision'!$B$20+'3. The decision'!$B$22)</f>
        <v>904854.034325794</v>
      </c>
      <c r="O669" s="31" t="n">
        <f aca="false">'3. The decision'!$B$17+'3. The decision'!$B$18*L669*12+M669*('3. The decision'!$B$20*(1-'3. The decision'!$B$21)+'3. The decision'!$B$23)+N669*('3. The decision'!$B$24+'3. The decision'!$B$25)</f>
        <v>640327.424339149</v>
      </c>
      <c r="P669" s="31" t="n">
        <f aca="false">N669-O669</f>
        <v>264526.609986646</v>
      </c>
    </row>
    <row r="670" customFormat="false" ht="15" hidden="false" customHeight="false" outlineLevel="0" collapsed="false">
      <c r="A670" s="27" t="n">
        <f aca="false">87*0.0025</f>
        <v>0.2175</v>
      </c>
      <c r="B670" s="27" t="n">
        <f aca="false">IF(A670&gt;0,MIN('3. The decision'!$B$15,'3. The decision'!$B$29*(A670/'3. The decision'!$B$28)^$B$580),0)</f>
        <v>0.75</v>
      </c>
      <c r="C670" s="15" t="n">
        <f aca="false">(1-'3. The decision'!$B$27-B670)*(1-'3. The decision'!$B$27)^('3. The decision'!$B$12-1)</f>
        <v>0.130079146898265</v>
      </c>
      <c r="D670" s="15" t="n">
        <f aca="false">1+(1-'3. The decision'!$B$27-B670)*(1-(1-'3. The decision'!$B$27)^('3. The decision'!$B$12-1))/'3. The decision'!$B$27</f>
        <v>1.80332109927421</v>
      </c>
      <c r="E670" s="15" t="n">
        <f aca="false">(1-'3. The decision'!$B$14)*(1-'3. The decision'!$B$27)^('3. The decision'!$B$11-1)</f>
        <v>0.690273454655712</v>
      </c>
      <c r="F670" s="15" t="n">
        <f aca="false">1+(1-'3. The decision'!$B$14)*(1-(1-'3. The decision'!$B$27)^('3. The decision'!$B$11-1))/'3. The decision'!$B$27</f>
        <v>4.28912098262087</v>
      </c>
      <c r="G670" s="15" t="n">
        <f aca="false">(1-(1-'3. The decision'!$B$9*MIN(1,('3. The decision'!$B$10/(52/12)))))+(1-(1-'3. The decision'!$B$9*MAX(0,MIN(1,('3. The decision'!$B$10/(52/12))-1))))*(1-'3. The decision'!$B$14)+(1-(1-'3. The decision'!$B$9*MAX(0,MIN(1,('3. The decision'!$B$10/(52/12))-2))))*(1-'3. The decision'!$B$14)*(1-'3. The decision'!$B$27)</f>
        <v>0.884576923076923</v>
      </c>
      <c r="H670" s="15" t="n">
        <f aca="false">IF(A670&lt;=0,0,MAX(0,ROUNDUP(LN('3. The decision'!$B$13)/LN(1+A670)-0.000000000001,0)-1))</f>
        <v>2</v>
      </c>
      <c r="I670" s="15" t="n">
        <f aca="false">IF(A670&lt;=0,1/(1-C670),(1+A670)*(1-(C670*(1+A670))^H670)/(1-C670*(1+A670))+'3. The decision'!$B$13*C670^H670/(1-C670))</f>
        <v>1.44182729422722</v>
      </c>
      <c r="J670" s="17" t="n">
        <f aca="false">F670+E670*D670/(1-C670)</f>
        <v>5.72003815239697</v>
      </c>
      <c r="K670" s="15" t="n">
        <f aca="false">F670-G670+E670*D670*I670</f>
        <v>5.19930859388442</v>
      </c>
      <c r="L670" s="17" t="n">
        <f aca="false">'3. The decision'!$B$8*'3. The decision'!$B$5/J670</f>
        <v>82.104347468941</v>
      </c>
      <c r="M670" s="31" t="n">
        <f aca="false">L670*'3. The decision'!$B$6*'3. The decision'!$B$7*K670</f>
        <v>818777.169445545</v>
      </c>
      <c r="N670" s="31" t="n">
        <f aca="false">M670*(1+'3. The decision'!$B$19+'3. The decision'!$B$20+'3. The decision'!$B$22)</f>
        <v>905567.549406773</v>
      </c>
      <c r="O670" s="31" t="n">
        <f aca="false">'3. The decision'!$B$17+'3. The decision'!$B$18*L670*12+M670*('3. The decision'!$B$20*(1-'3. The decision'!$B$21)+'3. The decision'!$B$23)+N670*('3. The decision'!$B$24+'3. The decision'!$B$25)</f>
        <v>640396.857872259</v>
      </c>
      <c r="P670" s="31" t="n">
        <f aca="false">N670-O670</f>
        <v>265170.691534513</v>
      </c>
    </row>
    <row r="671" customFormat="false" ht="15" hidden="false" customHeight="false" outlineLevel="0" collapsed="false">
      <c r="A671" s="27" t="n">
        <f aca="false">88*0.0025</f>
        <v>0.22</v>
      </c>
      <c r="B671" s="27" t="n">
        <f aca="false">IF(A671&gt;0,MIN('3. The decision'!$B$15,'3. The decision'!$B$29*(A671/'3. The decision'!$B$28)^$B$580),0)</f>
        <v>0.75</v>
      </c>
      <c r="C671" s="15" t="n">
        <f aca="false">(1-'3. The decision'!$B$27-B671)*(1-'3. The decision'!$B$27)^('3. The decision'!$B$12-1)</f>
        <v>0.130079146898265</v>
      </c>
      <c r="D671" s="15" t="n">
        <f aca="false">1+(1-'3. The decision'!$B$27-B671)*(1-(1-'3. The decision'!$B$27)^('3. The decision'!$B$12-1))/'3. The decision'!$B$27</f>
        <v>1.80332109927421</v>
      </c>
      <c r="E671" s="15" t="n">
        <f aca="false">(1-'3. The decision'!$B$14)*(1-'3. The decision'!$B$27)^('3. The decision'!$B$11-1)</f>
        <v>0.690273454655712</v>
      </c>
      <c r="F671" s="15" t="n">
        <f aca="false">1+(1-'3. The decision'!$B$14)*(1-(1-'3. The decision'!$B$27)^('3. The decision'!$B$11-1))/'3. The decision'!$B$27</f>
        <v>4.28912098262087</v>
      </c>
      <c r="G671" s="15" t="n">
        <f aca="false">(1-(1-'3. The decision'!$B$9*MIN(1,('3. The decision'!$B$10/(52/12)))))+(1-(1-'3. The decision'!$B$9*MAX(0,MIN(1,('3. The decision'!$B$10/(52/12))-1))))*(1-'3. The decision'!$B$14)+(1-(1-'3. The decision'!$B$9*MAX(0,MIN(1,('3. The decision'!$B$10/(52/12))-2))))*(1-'3. The decision'!$B$14)*(1-'3. The decision'!$B$27)</f>
        <v>0.884576923076923</v>
      </c>
      <c r="H671" s="15" t="n">
        <f aca="false">IF(A671&lt;=0,0,MAX(0,ROUNDUP(LN('3. The decision'!$B$13)/LN(1+A671)-0.000000000001,0)-1))</f>
        <v>2</v>
      </c>
      <c r="I671" s="15" t="n">
        <f aca="false">IF(A671&lt;=0,1/(1-C671),(1+A671)*(1-(C671*(1+A671))^H671)/(1-C671*(1+A671))+'3. The decision'!$B$13*C671^H671/(1-C671))</f>
        <v>1.44511996402864</v>
      </c>
      <c r="J671" s="17" t="n">
        <f aca="false">F671+E671*D671/(1-C671)</f>
        <v>5.72003815239697</v>
      </c>
      <c r="K671" s="15" t="n">
        <f aca="false">F671-G671+E671*D671*I671</f>
        <v>5.20340725882614</v>
      </c>
      <c r="L671" s="17" t="n">
        <f aca="false">'3. The decision'!$B$8*'3. The decision'!$B$5/J671</f>
        <v>82.104347468941</v>
      </c>
      <c r="M671" s="31" t="n">
        <f aca="false">L671*'3. The decision'!$B$6*'3. The decision'!$B$7*K671</f>
        <v>819422.619358527</v>
      </c>
      <c r="N671" s="31" t="n">
        <f aca="false">M671*(1+'3. The decision'!$B$19+'3. The decision'!$B$20+'3. The decision'!$B$22)</f>
        <v>906281.41701053</v>
      </c>
      <c r="O671" s="31" t="n">
        <f aca="false">'3. The decision'!$B$17+'3. The decision'!$B$18*L671*12+M671*('3. The decision'!$B$20*(1-'3. The decision'!$B$21)+'3. The decision'!$B$23)+N671*('3. The decision'!$B$24+'3. The decision'!$B$25)</f>
        <v>640466.325710044</v>
      </c>
      <c r="P671" s="31" t="n">
        <f aca="false">N671-O671</f>
        <v>265815.091300487</v>
      </c>
    </row>
    <row r="672" customFormat="false" ht="15" hidden="false" customHeight="false" outlineLevel="0" collapsed="false">
      <c r="A672" s="27" t="n">
        <f aca="false">89*0.0025</f>
        <v>0.2225</v>
      </c>
      <c r="B672" s="27" t="n">
        <f aca="false">IF(A672&gt;0,MIN('3. The decision'!$B$15,'3. The decision'!$B$29*(A672/'3. The decision'!$B$28)^$B$580),0)</f>
        <v>0.75</v>
      </c>
      <c r="C672" s="15" t="n">
        <f aca="false">(1-'3. The decision'!$B$27-B672)*(1-'3. The decision'!$B$27)^('3. The decision'!$B$12-1)</f>
        <v>0.130079146898265</v>
      </c>
      <c r="D672" s="15" t="n">
        <f aca="false">1+(1-'3. The decision'!$B$27-B672)*(1-(1-'3. The decision'!$B$27)^('3. The decision'!$B$12-1))/'3. The decision'!$B$27</f>
        <v>1.80332109927421</v>
      </c>
      <c r="E672" s="15" t="n">
        <f aca="false">(1-'3. The decision'!$B$14)*(1-'3. The decision'!$B$27)^('3. The decision'!$B$11-1)</f>
        <v>0.690273454655712</v>
      </c>
      <c r="F672" s="15" t="n">
        <f aca="false">1+(1-'3. The decision'!$B$14)*(1-(1-'3. The decision'!$B$27)^('3. The decision'!$B$11-1))/'3. The decision'!$B$27</f>
        <v>4.28912098262087</v>
      </c>
      <c r="G672" s="15" t="n">
        <f aca="false">(1-(1-'3. The decision'!$B$9*MIN(1,('3. The decision'!$B$10/(52/12)))))+(1-(1-'3. The decision'!$B$9*MAX(0,MIN(1,('3. The decision'!$B$10/(52/12))-1))))*(1-'3. The decision'!$B$14)+(1-(1-'3. The decision'!$B$9*MAX(0,MIN(1,('3. The decision'!$B$10/(52/12))-2))))*(1-'3. The decision'!$B$14)*(1-'3. The decision'!$B$27)</f>
        <v>0.884576923076923</v>
      </c>
      <c r="H672" s="15" t="n">
        <f aca="false">IF(A672&lt;=0,0,MAX(0,ROUNDUP(LN('3. The decision'!$B$13)/LN(1+A672)-0.000000000001,0)-1))</f>
        <v>2</v>
      </c>
      <c r="I672" s="15" t="n">
        <f aca="false">IF(A672&lt;=0,1/(1-C672),(1+A672)*(1-(C672*(1+A672))^H672)/(1-C672*(1+A672))+'3. The decision'!$B$13*C672^H672/(1-C672))</f>
        <v>1.44841425981938</v>
      </c>
      <c r="J672" s="17" t="n">
        <f aca="false">F672+E672*D672/(1-C672)</f>
        <v>5.72003815239697</v>
      </c>
      <c r="K672" s="15" t="n">
        <f aca="false">F672-G672+E672*D672*I672</f>
        <v>5.20750794777449</v>
      </c>
      <c r="L672" s="17" t="n">
        <f aca="false">'3. The decision'!$B$8*'3. The decision'!$B$5/J672</f>
        <v>82.104347468941</v>
      </c>
      <c r="M672" s="31" t="n">
        <f aca="false">L672*'3. The decision'!$B$6*'3. The decision'!$B$7*K672</f>
        <v>820068.388008199</v>
      </c>
      <c r="N672" s="31" t="n">
        <f aca="false">M672*(1+'3. The decision'!$B$19+'3. The decision'!$B$20+'3. The decision'!$B$22)</f>
        <v>906995.637137068</v>
      </c>
      <c r="O672" s="31" t="n">
        <f aca="false">'3. The decision'!$B$17+'3. The decision'!$B$18*L672*12+M672*('3. The decision'!$B$20*(1-'3. The decision'!$B$21)+'3. The decision'!$B$23)+N672*('3. The decision'!$B$24+'3. The decision'!$B$25)</f>
        <v>640535.827852502</v>
      </c>
      <c r="P672" s="31" t="n">
        <f aca="false">N672-O672</f>
        <v>266459.809284566</v>
      </c>
    </row>
    <row r="673" customFormat="false" ht="15" hidden="false" customHeight="false" outlineLevel="0" collapsed="false">
      <c r="A673" s="27" t="n">
        <f aca="false">90*0.0025</f>
        <v>0.225</v>
      </c>
      <c r="B673" s="27" t="n">
        <f aca="false">IF(A673&gt;0,MIN('3. The decision'!$B$15,'3. The decision'!$B$29*(A673/'3. The decision'!$B$28)^$B$580),0)</f>
        <v>0.75</v>
      </c>
      <c r="C673" s="15" t="n">
        <f aca="false">(1-'3. The decision'!$B$27-B673)*(1-'3. The decision'!$B$27)^('3. The decision'!$B$12-1)</f>
        <v>0.130079146898265</v>
      </c>
      <c r="D673" s="15" t="n">
        <f aca="false">1+(1-'3. The decision'!$B$27-B673)*(1-(1-'3. The decision'!$B$27)^('3. The decision'!$B$12-1))/'3. The decision'!$B$27</f>
        <v>1.80332109927421</v>
      </c>
      <c r="E673" s="15" t="n">
        <f aca="false">(1-'3. The decision'!$B$14)*(1-'3. The decision'!$B$27)^('3. The decision'!$B$11-1)</f>
        <v>0.690273454655712</v>
      </c>
      <c r="F673" s="15" t="n">
        <f aca="false">1+(1-'3. The decision'!$B$14)*(1-(1-'3. The decision'!$B$27)^('3. The decision'!$B$11-1))/'3. The decision'!$B$27</f>
        <v>4.28912098262087</v>
      </c>
      <c r="G673" s="15" t="n">
        <f aca="false">(1-(1-'3. The decision'!$B$9*MIN(1,('3. The decision'!$B$10/(52/12)))))+(1-(1-'3. The decision'!$B$9*MAX(0,MIN(1,('3. The decision'!$B$10/(52/12))-1))))*(1-'3. The decision'!$B$14)+(1-(1-'3. The decision'!$B$9*MAX(0,MIN(1,('3. The decision'!$B$10/(52/12))-2))))*(1-'3. The decision'!$B$14)*(1-'3. The decision'!$B$27)</f>
        <v>0.884576923076923</v>
      </c>
      <c r="H673" s="15" t="n">
        <f aca="false">IF(A673&lt;=0,0,MAX(0,ROUNDUP(LN('3. The decision'!$B$13)/LN(1+A673)-0.000000000001,0)-1))</f>
        <v>2</v>
      </c>
      <c r="I673" s="15" t="n">
        <f aca="false">IF(A673&lt;=0,1/(1-C673),(1+A673)*(1-(C673*(1+A673))^H673)/(1-C673*(1+A673))+'3. The decision'!$B$13*C673^H673/(1-C673))</f>
        <v>1.45171018159947</v>
      </c>
      <c r="J673" s="17" t="n">
        <f aca="false">F673+E673*D673/(1-C673)</f>
        <v>5.72003815239697</v>
      </c>
      <c r="K673" s="15" t="n">
        <f aca="false">F673-G673+E673*D673*I673</f>
        <v>5.21161066072946</v>
      </c>
      <c r="L673" s="17" t="n">
        <f aca="false">'3. The decision'!$B$8*'3. The decision'!$B$5/J673</f>
        <v>82.104347468941</v>
      </c>
      <c r="M673" s="31" t="n">
        <f aca="false">L673*'3. The decision'!$B$6*'3. The decision'!$B$7*K673</f>
        <v>820714.475394562</v>
      </c>
      <c r="N673" s="31" t="n">
        <f aca="false">M673*(1+'3. The decision'!$B$19+'3. The decision'!$B$20+'3. The decision'!$B$22)</f>
        <v>907710.209786386</v>
      </c>
      <c r="O673" s="31" t="n">
        <f aca="false">'3. The decision'!$B$17+'3. The decision'!$B$18*L673*12+M673*('3. The decision'!$B$20*(1-'3. The decision'!$B$21)+'3. The decision'!$B$23)+N673*('3. The decision'!$B$24+'3. The decision'!$B$25)</f>
        <v>640605.364299634</v>
      </c>
      <c r="P673" s="31" t="n">
        <f aca="false">N673-O673</f>
        <v>267104.845486752</v>
      </c>
    </row>
    <row r="674" customFormat="false" ht="15" hidden="false" customHeight="false" outlineLevel="0" collapsed="false">
      <c r="A674" s="27" t="n">
        <f aca="false">91*0.0025</f>
        <v>0.2275</v>
      </c>
      <c r="B674" s="27" t="n">
        <f aca="false">IF(A674&gt;0,MIN('3. The decision'!$B$15,'3. The decision'!$B$29*(A674/'3. The decision'!$B$28)^$B$580),0)</f>
        <v>0.75</v>
      </c>
      <c r="C674" s="15" t="n">
        <f aca="false">(1-'3. The decision'!$B$27-B674)*(1-'3. The decision'!$B$27)^('3. The decision'!$B$12-1)</f>
        <v>0.130079146898265</v>
      </c>
      <c r="D674" s="15" t="n">
        <f aca="false">1+(1-'3. The decision'!$B$27-B674)*(1-(1-'3. The decision'!$B$27)^('3. The decision'!$B$12-1))/'3. The decision'!$B$27</f>
        <v>1.80332109927421</v>
      </c>
      <c r="E674" s="15" t="n">
        <f aca="false">(1-'3. The decision'!$B$14)*(1-'3. The decision'!$B$27)^('3. The decision'!$B$11-1)</f>
        <v>0.690273454655712</v>
      </c>
      <c r="F674" s="15" t="n">
        <f aca="false">1+(1-'3. The decision'!$B$14)*(1-(1-'3. The decision'!$B$27)^('3. The decision'!$B$11-1))/'3. The decision'!$B$27</f>
        <v>4.28912098262087</v>
      </c>
      <c r="G674" s="15" t="n">
        <f aca="false">(1-(1-'3. The decision'!$B$9*MIN(1,('3. The decision'!$B$10/(52/12)))))+(1-(1-'3. The decision'!$B$9*MAX(0,MIN(1,('3. The decision'!$B$10/(52/12))-1))))*(1-'3. The decision'!$B$14)+(1-(1-'3. The decision'!$B$9*MAX(0,MIN(1,('3. The decision'!$B$10/(52/12))-2))))*(1-'3. The decision'!$B$14)*(1-'3. The decision'!$B$27)</f>
        <v>0.884576923076923</v>
      </c>
      <c r="H674" s="15" t="n">
        <f aca="false">IF(A674&lt;=0,0,MAX(0,ROUNDUP(LN('3. The decision'!$B$13)/LN(1+A674)-0.000000000001,0)-1))</f>
        <v>2</v>
      </c>
      <c r="I674" s="15" t="n">
        <f aca="false">IF(A674&lt;=0,1/(1-C674),(1+A674)*(1-(C674*(1+A674))^H674)/(1-C674*(1+A674))+'3. The decision'!$B$13*C674^H674/(1-C674))</f>
        <v>1.45500772936889</v>
      </c>
      <c r="J674" s="17" t="n">
        <f aca="false">F674+E674*D674/(1-C674)</f>
        <v>5.72003815239697</v>
      </c>
      <c r="K674" s="15" t="n">
        <f aca="false">F674-G674+E674*D674*I674</f>
        <v>5.21571539769105</v>
      </c>
      <c r="L674" s="17" t="n">
        <f aca="false">'3. The decision'!$B$8*'3. The decision'!$B$5/J674</f>
        <v>82.104347468941</v>
      </c>
      <c r="M674" s="31" t="n">
        <f aca="false">L674*'3. The decision'!$B$6*'3. The decision'!$B$7*K674</f>
        <v>821360.881517616</v>
      </c>
      <c r="N674" s="31" t="n">
        <f aca="false">M674*(1+'3. The decision'!$B$19+'3. The decision'!$B$20+'3. The decision'!$B$22)</f>
        <v>908425.134958483</v>
      </c>
      <c r="O674" s="31" t="n">
        <f aca="false">'3. The decision'!$B$17+'3. The decision'!$B$18*L674*12+M674*('3. The decision'!$B$20*(1-'3. The decision'!$B$21)+'3. The decision'!$B$23)+N674*('3. The decision'!$B$24+'3. The decision'!$B$25)</f>
        <v>640674.93505144</v>
      </c>
      <c r="P674" s="31" t="n">
        <f aca="false">N674-O674</f>
        <v>267750.199907043</v>
      </c>
    </row>
    <row r="675" customFormat="false" ht="15" hidden="false" customHeight="false" outlineLevel="0" collapsed="false">
      <c r="A675" s="27" t="n">
        <f aca="false">92*0.0025</f>
        <v>0.23</v>
      </c>
      <c r="B675" s="27" t="n">
        <f aca="false">IF(A675&gt;0,MIN('3. The decision'!$B$15,'3. The decision'!$B$29*(A675/'3. The decision'!$B$28)^$B$580),0)</f>
        <v>0.75</v>
      </c>
      <c r="C675" s="15" t="n">
        <f aca="false">(1-'3. The decision'!$B$27-B675)*(1-'3. The decision'!$B$27)^('3. The decision'!$B$12-1)</f>
        <v>0.130079146898265</v>
      </c>
      <c r="D675" s="15" t="n">
        <f aca="false">1+(1-'3. The decision'!$B$27-B675)*(1-(1-'3. The decision'!$B$27)^('3. The decision'!$B$12-1))/'3. The decision'!$B$27</f>
        <v>1.80332109927421</v>
      </c>
      <c r="E675" s="15" t="n">
        <f aca="false">(1-'3. The decision'!$B$14)*(1-'3. The decision'!$B$27)^('3. The decision'!$B$11-1)</f>
        <v>0.690273454655712</v>
      </c>
      <c r="F675" s="15" t="n">
        <f aca="false">1+(1-'3. The decision'!$B$14)*(1-(1-'3. The decision'!$B$27)^('3. The decision'!$B$11-1))/'3. The decision'!$B$27</f>
        <v>4.28912098262087</v>
      </c>
      <c r="G675" s="15" t="n">
        <f aca="false">(1-(1-'3. The decision'!$B$9*MIN(1,('3. The decision'!$B$10/(52/12)))))+(1-(1-'3. The decision'!$B$9*MAX(0,MIN(1,('3. The decision'!$B$10/(52/12))-1))))*(1-'3. The decision'!$B$14)+(1-(1-'3. The decision'!$B$9*MAX(0,MIN(1,('3. The decision'!$B$10/(52/12))-2))))*(1-'3. The decision'!$B$14)*(1-'3. The decision'!$B$27)</f>
        <v>0.884576923076923</v>
      </c>
      <c r="H675" s="15" t="n">
        <f aca="false">IF(A675&lt;=0,0,MAX(0,ROUNDUP(LN('3. The decision'!$B$13)/LN(1+A675)-0.000000000001,0)-1))</f>
        <v>2</v>
      </c>
      <c r="I675" s="15" t="n">
        <f aca="false">IF(A675&lt;=0,1/(1-C675),(1+A675)*(1-(C675*(1+A675))^H675)/(1-C675*(1+A675))+'3. The decision'!$B$13*C675^H675/(1-C675))</f>
        <v>1.45830690312764</v>
      </c>
      <c r="J675" s="17" t="n">
        <f aca="false">F675+E675*D675/(1-C675)</f>
        <v>5.72003815239697</v>
      </c>
      <c r="K675" s="15" t="n">
        <f aca="false">F675-G675+E675*D675*I675</f>
        <v>5.21982215865927</v>
      </c>
      <c r="L675" s="17" t="n">
        <f aca="false">'3. The decision'!$B$8*'3. The decision'!$B$5/J675</f>
        <v>82.104347468941</v>
      </c>
      <c r="M675" s="31" t="n">
        <f aca="false">L675*'3. The decision'!$B$6*'3. The decision'!$B$7*K675</f>
        <v>822007.60637736</v>
      </c>
      <c r="N675" s="31" t="n">
        <f aca="false">M675*(1+'3. The decision'!$B$19+'3. The decision'!$B$20+'3. The decision'!$B$22)</f>
        <v>909140.41265336</v>
      </c>
      <c r="O675" s="31" t="n">
        <f aca="false">'3. The decision'!$B$17+'3. The decision'!$B$18*L675*12+M675*('3. The decision'!$B$20*(1-'3. The decision'!$B$21)+'3. The decision'!$B$23)+N675*('3. The decision'!$B$24+'3. The decision'!$B$25)</f>
        <v>640744.54010792</v>
      </c>
      <c r="P675" s="31" t="n">
        <f aca="false">N675-O675</f>
        <v>268395.87254544</v>
      </c>
    </row>
    <row r="676" customFormat="false" ht="15" hidden="false" customHeight="false" outlineLevel="0" collapsed="false">
      <c r="A676" s="27" t="n">
        <f aca="false">93*0.0025</f>
        <v>0.2325</v>
      </c>
      <c r="B676" s="27" t="n">
        <f aca="false">IF(A676&gt;0,MIN('3. The decision'!$B$15,'3. The decision'!$B$29*(A676/'3. The decision'!$B$28)^$B$580),0)</f>
        <v>0.75</v>
      </c>
      <c r="C676" s="15" t="n">
        <f aca="false">(1-'3. The decision'!$B$27-B676)*(1-'3. The decision'!$B$27)^('3. The decision'!$B$12-1)</f>
        <v>0.130079146898265</v>
      </c>
      <c r="D676" s="15" t="n">
        <f aca="false">1+(1-'3. The decision'!$B$27-B676)*(1-(1-'3. The decision'!$B$27)^('3. The decision'!$B$12-1))/'3. The decision'!$B$27</f>
        <v>1.80332109927421</v>
      </c>
      <c r="E676" s="15" t="n">
        <f aca="false">(1-'3. The decision'!$B$14)*(1-'3. The decision'!$B$27)^('3. The decision'!$B$11-1)</f>
        <v>0.690273454655712</v>
      </c>
      <c r="F676" s="15" t="n">
        <f aca="false">1+(1-'3. The decision'!$B$14)*(1-(1-'3. The decision'!$B$27)^('3. The decision'!$B$11-1))/'3. The decision'!$B$27</f>
        <v>4.28912098262087</v>
      </c>
      <c r="G676" s="15" t="n">
        <f aca="false">(1-(1-'3. The decision'!$B$9*MIN(1,('3. The decision'!$B$10/(52/12)))))+(1-(1-'3. The decision'!$B$9*MAX(0,MIN(1,('3. The decision'!$B$10/(52/12))-1))))*(1-'3. The decision'!$B$14)+(1-(1-'3. The decision'!$B$9*MAX(0,MIN(1,('3. The decision'!$B$10/(52/12))-2))))*(1-'3. The decision'!$B$14)*(1-'3. The decision'!$B$27)</f>
        <v>0.884576923076923</v>
      </c>
      <c r="H676" s="15" t="n">
        <f aca="false">IF(A676&lt;=0,0,MAX(0,ROUNDUP(LN('3. The decision'!$B$13)/LN(1+A676)-0.000000000001,0)-1))</f>
        <v>2</v>
      </c>
      <c r="I676" s="15" t="n">
        <f aca="false">IF(A676&lt;=0,1/(1-C676),(1+A676)*(1-(C676*(1+A676))^H676)/(1-C676*(1+A676))+'3. The decision'!$B$13*C676^H676/(1-C676))</f>
        <v>1.46160770287573</v>
      </c>
      <c r="J676" s="17" t="n">
        <f aca="false">F676+E676*D676/(1-C676)</f>
        <v>5.72003815239697</v>
      </c>
      <c r="K676" s="15" t="n">
        <f aca="false">F676-G676+E676*D676*I676</f>
        <v>5.22393094363411</v>
      </c>
      <c r="L676" s="17" t="n">
        <f aca="false">'3. The decision'!$B$8*'3. The decision'!$B$5/J676</f>
        <v>82.104347468941</v>
      </c>
      <c r="M676" s="31" t="n">
        <f aca="false">L676*'3. The decision'!$B$6*'3. The decision'!$B$7*K676</f>
        <v>822654.649973794</v>
      </c>
      <c r="N676" s="31" t="n">
        <f aca="false">M676*(1+'3. The decision'!$B$19+'3. The decision'!$B$20+'3. The decision'!$B$22)</f>
        <v>909856.042871016</v>
      </c>
      <c r="O676" s="31" t="n">
        <f aca="false">'3. The decision'!$B$17+'3. The decision'!$B$18*L676*12+M676*('3. The decision'!$B$20*(1-'3. The decision'!$B$21)+'3. The decision'!$B$23)+N676*('3. The decision'!$B$24+'3. The decision'!$B$25)</f>
        <v>640814.179469073</v>
      </c>
      <c r="P676" s="31" t="n">
        <f aca="false">N676-O676</f>
        <v>269041.863401943</v>
      </c>
    </row>
    <row r="677" customFormat="false" ht="15" hidden="false" customHeight="false" outlineLevel="0" collapsed="false">
      <c r="A677" s="27" t="n">
        <f aca="false">94*0.0025</f>
        <v>0.235</v>
      </c>
      <c r="B677" s="27" t="n">
        <f aca="false">IF(A677&gt;0,MIN('3. The decision'!$B$15,'3. The decision'!$B$29*(A677/'3. The decision'!$B$28)^$B$580),0)</f>
        <v>0.75</v>
      </c>
      <c r="C677" s="15" t="n">
        <f aca="false">(1-'3. The decision'!$B$27-B677)*(1-'3. The decision'!$B$27)^('3. The decision'!$B$12-1)</f>
        <v>0.130079146898265</v>
      </c>
      <c r="D677" s="15" t="n">
        <f aca="false">1+(1-'3. The decision'!$B$27-B677)*(1-(1-'3. The decision'!$B$27)^('3. The decision'!$B$12-1))/'3. The decision'!$B$27</f>
        <v>1.80332109927421</v>
      </c>
      <c r="E677" s="15" t="n">
        <f aca="false">(1-'3. The decision'!$B$14)*(1-'3. The decision'!$B$27)^('3. The decision'!$B$11-1)</f>
        <v>0.690273454655712</v>
      </c>
      <c r="F677" s="15" t="n">
        <f aca="false">1+(1-'3. The decision'!$B$14)*(1-(1-'3. The decision'!$B$27)^('3. The decision'!$B$11-1))/'3. The decision'!$B$27</f>
        <v>4.28912098262087</v>
      </c>
      <c r="G677" s="15" t="n">
        <f aca="false">(1-(1-'3. The decision'!$B$9*MIN(1,('3. The decision'!$B$10/(52/12)))))+(1-(1-'3. The decision'!$B$9*MAX(0,MIN(1,('3. The decision'!$B$10/(52/12))-1))))*(1-'3. The decision'!$B$14)+(1-(1-'3. The decision'!$B$9*MAX(0,MIN(1,('3. The decision'!$B$10/(52/12))-2))))*(1-'3. The decision'!$B$14)*(1-'3. The decision'!$B$27)</f>
        <v>0.884576923076923</v>
      </c>
      <c r="H677" s="15" t="n">
        <f aca="false">IF(A677&lt;=0,0,MAX(0,ROUNDUP(LN('3. The decision'!$B$13)/LN(1+A677)-0.000000000001,0)-1))</f>
        <v>2</v>
      </c>
      <c r="I677" s="15" t="n">
        <f aca="false">IF(A677&lt;=0,1/(1-C677),(1+A677)*(1-(C677*(1+A677))^H677)/(1-C677*(1+A677))+'3. The decision'!$B$13*C677^H677/(1-C677))</f>
        <v>1.46491012861316</v>
      </c>
      <c r="J677" s="17" t="n">
        <f aca="false">F677+E677*D677/(1-C677)</f>
        <v>5.72003815239697</v>
      </c>
      <c r="K677" s="15" t="n">
        <f aca="false">F677-G677+E677*D677*I677</f>
        <v>5.22804175261557</v>
      </c>
      <c r="L677" s="17" t="n">
        <f aca="false">'3. The decision'!$B$8*'3. The decision'!$B$5/J677</f>
        <v>82.104347468941</v>
      </c>
      <c r="M677" s="31" t="n">
        <f aca="false">L677*'3. The decision'!$B$6*'3. The decision'!$B$7*K677</f>
        <v>823302.01230692</v>
      </c>
      <c r="N677" s="31" t="n">
        <f aca="false">M677*(1+'3. The decision'!$B$19+'3. The decision'!$B$20+'3. The decision'!$B$22)</f>
        <v>910572.025611453</v>
      </c>
      <c r="O677" s="31" t="n">
        <f aca="false">'3. The decision'!$B$17+'3. The decision'!$B$18*L677*12+M677*('3. The decision'!$B$20*(1-'3. The decision'!$B$21)+'3. The decision'!$B$23)+N677*('3. The decision'!$B$24+'3. The decision'!$B$25)</f>
        <v>640883.8531349</v>
      </c>
      <c r="P677" s="31" t="n">
        <f aca="false">N677-O677</f>
        <v>269688.172476553</v>
      </c>
    </row>
    <row r="678" customFormat="false" ht="15" hidden="false" customHeight="false" outlineLevel="0" collapsed="false">
      <c r="A678" s="27" t="n">
        <f aca="false">95*0.0025</f>
        <v>0.2375</v>
      </c>
      <c r="B678" s="27" t="n">
        <f aca="false">IF(A678&gt;0,MIN('3. The decision'!$B$15,'3. The decision'!$B$29*(A678/'3. The decision'!$B$28)^$B$580),0)</f>
        <v>0.75</v>
      </c>
      <c r="C678" s="15" t="n">
        <f aca="false">(1-'3. The decision'!$B$27-B678)*(1-'3. The decision'!$B$27)^('3. The decision'!$B$12-1)</f>
        <v>0.130079146898265</v>
      </c>
      <c r="D678" s="15" t="n">
        <f aca="false">1+(1-'3. The decision'!$B$27-B678)*(1-(1-'3. The decision'!$B$27)^('3. The decision'!$B$12-1))/'3. The decision'!$B$27</f>
        <v>1.80332109927421</v>
      </c>
      <c r="E678" s="15" t="n">
        <f aca="false">(1-'3. The decision'!$B$14)*(1-'3. The decision'!$B$27)^('3. The decision'!$B$11-1)</f>
        <v>0.690273454655712</v>
      </c>
      <c r="F678" s="15" t="n">
        <f aca="false">1+(1-'3. The decision'!$B$14)*(1-(1-'3. The decision'!$B$27)^('3. The decision'!$B$11-1))/'3. The decision'!$B$27</f>
        <v>4.28912098262087</v>
      </c>
      <c r="G678" s="15" t="n">
        <f aca="false">(1-(1-'3. The decision'!$B$9*MIN(1,('3. The decision'!$B$10/(52/12)))))+(1-(1-'3. The decision'!$B$9*MAX(0,MIN(1,('3. The decision'!$B$10/(52/12))-1))))*(1-'3. The decision'!$B$14)+(1-(1-'3. The decision'!$B$9*MAX(0,MIN(1,('3. The decision'!$B$10/(52/12))-2))))*(1-'3. The decision'!$B$14)*(1-'3. The decision'!$B$27)</f>
        <v>0.884576923076923</v>
      </c>
      <c r="H678" s="15" t="n">
        <f aca="false">IF(A678&lt;=0,0,MAX(0,ROUNDUP(LN('3. The decision'!$B$13)/LN(1+A678)-0.000000000001,0)-1))</f>
        <v>2</v>
      </c>
      <c r="I678" s="15" t="n">
        <f aca="false">IF(A678&lt;=0,1/(1-C678),(1+A678)*(1-(C678*(1+A678))^H678)/(1-C678*(1+A678))+'3. The decision'!$B$13*C678^H678/(1-C678))</f>
        <v>1.46821418033993</v>
      </c>
      <c r="J678" s="17" t="n">
        <f aca="false">F678+E678*D678/(1-C678)</f>
        <v>5.72003815239697</v>
      </c>
      <c r="K678" s="15" t="n">
        <f aca="false">F678-G678+E678*D678*I678</f>
        <v>5.23215458560366</v>
      </c>
      <c r="L678" s="17" t="n">
        <f aca="false">'3. The decision'!$B$8*'3. The decision'!$B$5/J678</f>
        <v>82.104347468941</v>
      </c>
      <c r="M678" s="31" t="n">
        <f aca="false">L678*'3. The decision'!$B$6*'3. The decision'!$B$7*K678</f>
        <v>823949.693376735</v>
      </c>
      <c r="N678" s="31" t="n">
        <f aca="false">M678*(1+'3. The decision'!$B$19+'3. The decision'!$B$20+'3. The decision'!$B$22)</f>
        <v>911288.360874669</v>
      </c>
      <c r="O678" s="31" t="n">
        <f aca="false">'3. The decision'!$B$17+'3. The decision'!$B$18*L678*12+M678*('3. The decision'!$B$20*(1-'3. The decision'!$B$21)+'3. The decision'!$B$23)+N678*('3. The decision'!$B$24+'3. The decision'!$B$25)</f>
        <v>640953.561105402</v>
      </c>
      <c r="P678" s="31" t="n">
        <f aca="false">N678-O678</f>
        <v>270334.799769268</v>
      </c>
    </row>
    <row r="679" customFormat="false" ht="15" hidden="false" customHeight="false" outlineLevel="0" collapsed="false">
      <c r="A679" s="27" t="n">
        <f aca="false">96*0.0025</f>
        <v>0.24</v>
      </c>
      <c r="B679" s="27" t="n">
        <f aca="false">IF(A679&gt;0,MIN('3. The decision'!$B$15,'3. The decision'!$B$29*(A679/'3. The decision'!$B$28)^$B$580),0)</f>
        <v>0.75</v>
      </c>
      <c r="C679" s="15" t="n">
        <f aca="false">(1-'3. The decision'!$B$27-B679)*(1-'3. The decision'!$B$27)^('3. The decision'!$B$12-1)</f>
        <v>0.130079146898265</v>
      </c>
      <c r="D679" s="15" t="n">
        <f aca="false">1+(1-'3. The decision'!$B$27-B679)*(1-(1-'3. The decision'!$B$27)^('3. The decision'!$B$12-1))/'3. The decision'!$B$27</f>
        <v>1.80332109927421</v>
      </c>
      <c r="E679" s="15" t="n">
        <f aca="false">(1-'3. The decision'!$B$14)*(1-'3. The decision'!$B$27)^('3. The decision'!$B$11-1)</f>
        <v>0.690273454655712</v>
      </c>
      <c r="F679" s="15" t="n">
        <f aca="false">1+(1-'3. The decision'!$B$14)*(1-(1-'3. The decision'!$B$27)^('3. The decision'!$B$11-1))/'3. The decision'!$B$27</f>
        <v>4.28912098262087</v>
      </c>
      <c r="G679" s="15" t="n">
        <f aca="false">(1-(1-'3. The decision'!$B$9*MIN(1,('3. The decision'!$B$10/(52/12)))))+(1-(1-'3. The decision'!$B$9*MAX(0,MIN(1,('3. The decision'!$B$10/(52/12))-1))))*(1-'3. The decision'!$B$14)+(1-(1-'3. The decision'!$B$9*MAX(0,MIN(1,('3. The decision'!$B$10/(52/12))-2))))*(1-'3. The decision'!$B$14)*(1-'3. The decision'!$B$27)</f>
        <v>0.884576923076923</v>
      </c>
      <c r="H679" s="15" t="n">
        <f aca="false">IF(A679&lt;=0,0,MAX(0,ROUNDUP(LN('3. The decision'!$B$13)/LN(1+A679)-0.000000000001,0)-1))</f>
        <v>2</v>
      </c>
      <c r="I679" s="15" t="n">
        <f aca="false">IF(A679&lt;=0,1/(1-C679),(1+A679)*(1-(C679*(1+A679))^H679)/(1-C679*(1+A679))+'3. The decision'!$B$13*C679^H679/(1-C679))</f>
        <v>1.47151985805603</v>
      </c>
      <c r="J679" s="17" t="n">
        <f aca="false">F679+E679*D679/(1-C679)</f>
        <v>5.72003815239697</v>
      </c>
      <c r="K679" s="15" t="n">
        <f aca="false">F679-G679+E679*D679*I679</f>
        <v>5.23626944259837</v>
      </c>
      <c r="L679" s="17" t="n">
        <f aca="false">'3. The decision'!$B$8*'3. The decision'!$B$5/J679</f>
        <v>82.104347468941</v>
      </c>
      <c r="M679" s="31" t="n">
        <f aca="false">L679*'3. The decision'!$B$6*'3. The decision'!$B$7*K679</f>
        <v>824597.693183242</v>
      </c>
      <c r="N679" s="31" t="n">
        <f aca="false">M679*(1+'3. The decision'!$B$19+'3. The decision'!$B$20+'3. The decision'!$B$22)</f>
        <v>912005.048660665</v>
      </c>
      <c r="O679" s="31" t="n">
        <f aca="false">'3. The decision'!$B$17+'3. The decision'!$B$18*L679*12+M679*('3. The decision'!$B$20*(1-'3. The decision'!$B$21)+'3. The decision'!$B$23)+N679*('3. The decision'!$B$24+'3. The decision'!$B$25)</f>
        <v>641023.303380576</v>
      </c>
      <c r="P679" s="31" t="n">
        <f aca="false">N679-O679</f>
        <v>270981.745280089</v>
      </c>
    </row>
    <row r="680" customFormat="false" ht="15" hidden="false" customHeight="false" outlineLevel="0" collapsed="false">
      <c r="A680" s="27" t="n">
        <f aca="false">97*0.0025</f>
        <v>0.2425</v>
      </c>
      <c r="B680" s="27" t="n">
        <f aca="false">IF(A680&gt;0,MIN('3. The decision'!$B$15,'3. The decision'!$B$29*(A680/'3. The decision'!$B$28)^$B$580),0)</f>
        <v>0.75</v>
      </c>
      <c r="C680" s="15" t="n">
        <f aca="false">(1-'3. The decision'!$B$27-B680)*(1-'3. The decision'!$B$27)^('3. The decision'!$B$12-1)</f>
        <v>0.130079146898265</v>
      </c>
      <c r="D680" s="15" t="n">
        <f aca="false">1+(1-'3. The decision'!$B$27-B680)*(1-(1-'3. The decision'!$B$27)^('3. The decision'!$B$12-1))/'3. The decision'!$B$27</f>
        <v>1.80332109927421</v>
      </c>
      <c r="E680" s="15" t="n">
        <f aca="false">(1-'3. The decision'!$B$14)*(1-'3. The decision'!$B$27)^('3. The decision'!$B$11-1)</f>
        <v>0.690273454655712</v>
      </c>
      <c r="F680" s="15" t="n">
        <f aca="false">1+(1-'3. The decision'!$B$14)*(1-(1-'3. The decision'!$B$27)^('3. The decision'!$B$11-1))/'3. The decision'!$B$27</f>
        <v>4.28912098262087</v>
      </c>
      <c r="G680" s="15" t="n">
        <f aca="false">(1-(1-'3. The decision'!$B$9*MIN(1,('3. The decision'!$B$10/(52/12)))))+(1-(1-'3. The decision'!$B$9*MAX(0,MIN(1,('3. The decision'!$B$10/(52/12))-1))))*(1-'3. The decision'!$B$14)+(1-(1-'3. The decision'!$B$9*MAX(0,MIN(1,('3. The decision'!$B$10/(52/12))-2))))*(1-'3. The decision'!$B$14)*(1-'3. The decision'!$B$27)</f>
        <v>0.884576923076923</v>
      </c>
      <c r="H680" s="15" t="n">
        <f aca="false">IF(A680&lt;=0,0,MAX(0,ROUNDUP(LN('3. The decision'!$B$13)/LN(1+A680)-0.000000000001,0)-1))</f>
        <v>2</v>
      </c>
      <c r="I680" s="15" t="n">
        <f aca="false">IF(A680&lt;=0,1/(1-C680),(1+A680)*(1-(C680*(1+A680))^H680)/(1-C680*(1+A680))+'3. The decision'!$B$13*C680^H680/(1-C680))</f>
        <v>1.47482716176147</v>
      </c>
      <c r="J680" s="17" t="n">
        <f aca="false">F680+E680*D680/(1-C680)</f>
        <v>5.72003815239697</v>
      </c>
      <c r="K680" s="15" t="n">
        <f aca="false">F680-G680+E680*D680*I680</f>
        <v>5.24038632359971</v>
      </c>
      <c r="L680" s="17" t="n">
        <f aca="false">'3. The decision'!$B$8*'3. The decision'!$B$5/J680</f>
        <v>82.104347468941</v>
      </c>
      <c r="M680" s="31" t="n">
        <f aca="false">L680*'3. The decision'!$B$6*'3. The decision'!$B$7*K680</f>
        <v>825246.011726439</v>
      </c>
      <c r="N680" s="31" t="n">
        <f aca="false">M680*(1+'3. The decision'!$B$19+'3. The decision'!$B$20+'3. The decision'!$B$22)</f>
        <v>912722.088969441</v>
      </c>
      <c r="O680" s="31" t="n">
        <f aca="false">'3. The decision'!$B$17+'3. The decision'!$B$18*L680*12+M680*('3. The decision'!$B$20*(1-'3. The decision'!$B$21)+'3. The decision'!$B$23)+N680*('3. The decision'!$B$24+'3. The decision'!$B$25)</f>
        <v>641093.079960425</v>
      </c>
      <c r="P680" s="31" t="n">
        <f aca="false">N680-O680</f>
        <v>271629.009009016</v>
      </c>
    </row>
    <row r="681" customFormat="false" ht="15" hidden="false" customHeight="false" outlineLevel="0" collapsed="false">
      <c r="A681" s="27" t="n">
        <f aca="false">98*0.0025</f>
        <v>0.245</v>
      </c>
      <c r="B681" s="27" t="n">
        <f aca="false">IF(A681&gt;0,MIN('3. The decision'!$B$15,'3. The decision'!$B$29*(A681/'3. The decision'!$B$28)^$B$580),0)</f>
        <v>0.75</v>
      </c>
      <c r="C681" s="15" t="n">
        <f aca="false">(1-'3. The decision'!$B$27-B681)*(1-'3. The decision'!$B$27)^('3. The decision'!$B$12-1)</f>
        <v>0.130079146898265</v>
      </c>
      <c r="D681" s="15" t="n">
        <f aca="false">1+(1-'3. The decision'!$B$27-B681)*(1-(1-'3. The decision'!$B$27)^('3. The decision'!$B$12-1))/'3. The decision'!$B$27</f>
        <v>1.80332109927421</v>
      </c>
      <c r="E681" s="15" t="n">
        <f aca="false">(1-'3. The decision'!$B$14)*(1-'3. The decision'!$B$27)^('3. The decision'!$B$11-1)</f>
        <v>0.690273454655712</v>
      </c>
      <c r="F681" s="15" t="n">
        <f aca="false">1+(1-'3. The decision'!$B$14)*(1-(1-'3. The decision'!$B$27)^('3. The decision'!$B$11-1))/'3. The decision'!$B$27</f>
        <v>4.28912098262087</v>
      </c>
      <c r="G681" s="15" t="n">
        <f aca="false">(1-(1-'3. The decision'!$B$9*MIN(1,('3. The decision'!$B$10/(52/12)))))+(1-(1-'3. The decision'!$B$9*MAX(0,MIN(1,('3. The decision'!$B$10/(52/12))-1))))*(1-'3. The decision'!$B$14)+(1-(1-'3. The decision'!$B$9*MAX(0,MIN(1,('3. The decision'!$B$10/(52/12))-2))))*(1-'3. The decision'!$B$14)*(1-'3. The decision'!$B$27)</f>
        <v>0.884576923076923</v>
      </c>
      <c r="H681" s="15" t="n">
        <f aca="false">IF(A681&lt;=0,0,MAX(0,ROUNDUP(LN('3. The decision'!$B$13)/LN(1+A681)-0.000000000001,0)-1))</f>
        <v>2</v>
      </c>
      <c r="I681" s="15" t="n">
        <f aca="false">IF(A681&lt;=0,1/(1-C681),(1+A681)*(1-(C681*(1+A681))^H681)/(1-C681*(1+A681))+'3. The decision'!$B$13*C681^H681/(1-C681))</f>
        <v>1.47813609145624</v>
      </c>
      <c r="J681" s="17" t="n">
        <f aca="false">F681+E681*D681/(1-C681)</f>
        <v>5.72003815239697</v>
      </c>
      <c r="K681" s="15" t="n">
        <f aca="false">F681-G681+E681*D681*I681</f>
        <v>5.24450522860767</v>
      </c>
      <c r="L681" s="17" t="n">
        <f aca="false">'3. The decision'!$B$8*'3. The decision'!$B$5/J681</f>
        <v>82.104347468941</v>
      </c>
      <c r="M681" s="31" t="n">
        <f aca="false">L681*'3. The decision'!$B$6*'3. The decision'!$B$7*K681</f>
        <v>825894.649006326</v>
      </c>
      <c r="N681" s="31" t="n">
        <f aca="false">M681*(1+'3. The decision'!$B$19+'3. The decision'!$B$20+'3. The decision'!$B$22)</f>
        <v>913439.481800997</v>
      </c>
      <c r="O681" s="31" t="n">
        <f aca="false">'3. The decision'!$B$17+'3. The decision'!$B$18*L681*12+M681*('3. The decision'!$B$20*(1-'3. The decision'!$B$21)+'3. The decision'!$B$23)+N681*('3. The decision'!$B$24+'3. The decision'!$B$25)</f>
        <v>641162.890844947</v>
      </c>
      <c r="P681" s="31" t="n">
        <f aca="false">N681-O681</f>
        <v>272276.590956049</v>
      </c>
    </row>
    <row r="682" customFormat="false" ht="15" hidden="false" customHeight="false" outlineLevel="0" collapsed="false">
      <c r="A682" s="27" t="n">
        <f aca="false">99*0.0025</f>
        <v>0.2475</v>
      </c>
      <c r="B682" s="27" t="n">
        <f aca="false">IF(A682&gt;0,MIN('3. The decision'!$B$15,'3. The decision'!$B$29*(A682/'3. The decision'!$B$28)^$B$580),0)</f>
        <v>0.75</v>
      </c>
      <c r="C682" s="15" t="n">
        <f aca="false">(1-'3. The decision'!$B$27-B682)*(1-'3. The decision'!$B$27)^('3. The decision'!$B$12-1)</f>
        <v>0.130079146898265</v>
      </c>
      <c r="D682" s="15" t="n">
        <f aca="false">1+(1-'3. The decision'!$B$27-B682)*(1-(1-'3. The decision'!$B$27)^('3. The decision'!$B$12-1))/'3. The decision'!$B$27</f>
        <v>1.80332109927421</v>
      </c>
      <c r="E682" s="15" t="n">
        <f aca="false">(1-'3. The decision'!$B$14)*(1-'3. The decision'!$B$27)^('3. The decision'!$B$11-1)</f>
        <v>0.690273454655712</v>
      </c>
      <c r="F682" s="15" t="n">
        <f aca="false">1+(1-'3. The decision'!$B$14)*(1-(1-'3. The decision'!$B$27)^('3. The decision'!$B$11-1))/'3. The decision'!$B$27</f>
        <v>4.28912098262087</v>
      </c>
      <c r="G682" s="15" t="n">
        <f aca="false">(1-(1-'3. The decision'!$B$9*MIN(1,('3. The decision'!$B$10/(52/12)))))+(1-(1-'3. The decision'!$B$9*MAX(0,MIN(1,('3. The decision'!$B$10/(52/12))-1))))*(1-'3. The decision'!$B$14)+(1-(1-'3. The decision'!$B$9*MAX(0,MIN(1,('3. The decision'!$B$10/(52/12))-2))))*(1-'3. The decision'!$B$14)*(1-'3. The decision'!$B$27)</f>
        <v>0.884576923076923</v>
      </c>
      <c r="H682" s="15" t="n">
        <f aca="false">IF(A682&lt;=0,0,MAX(0,ROUNDUP(LN('3. The decision'!$B$13)/LN(1+A682)-0.000000000001,0)-1))</f>
        <v>2</v>
      </c>
      <c r="I682" s="15" t="n">
        <f aca="false">IF(A682&lt;=0,1/(1-C682),(1+A682)*(1-(C682*(1+A682))^H682)/(1-C682*(1+A682))+'3. The decision'!$B$13*C682^H682/(1-C682))</f>
        <v>1.48144664714035</v>
      </c>
      <c r="J682" s="17" t="n">
        <f aca="false">F682+E682*D682/(1-C682)</f>
        <v>5.72003815239697</v>
      </c>
      <c r="K682" s="15" t="n">
        <f aca="false">F682-G682+E682*D682*I682</f>
        <v>5.24862615762225</v>
      </c>
      <c r="L682" s="17" t="n">
        <f aca="false">'3. The decision'!$B$8*'3. The decision'!$B$5/J682</f>
        <v>82.104347468941</v>
      </c>
      <c r="M682" s="31" t="n">
        <f aca="false">L682*'3. The decision'!$B$6*'3. The decision'!$B$7*K682</f>
        <v>826543.605022904</v>
      </c>
      <c r="N682" s="31" t="n">
        <f aca="false">M682*(1+'3. The decision'!$B$19+'3. The decision'!$B$20+'3. The decision'!$B$22)</f>
        <v>914157.227155332</v>
      </c>
      <c r="O682" s="31" t="n">
        <f aca="false">'3. The decision'!$B$17+'3. The decision'!$B$18*L682*12+M682*('3. The decision'!$B$20*(1-'3. The decision'!$B$21)+'3. The decision'!$B$23)+N682*('3. The decision'!$B$24+'3. The decision'!$B$25)</f>
        <v>641232.736034144</v>
      </c>
      <c r="P682" s="31" t="n">
        <f aca="false">N682-O682</f>
        <v>272924.491121188</v>
      </c>
    </row>
    <row r="683" customFormat="false" ht="15" hidden="false" customHeight="false" outlineLevel="0" collapsed="false">
      <c r="A683" s="27" t="n">
        <f aca="false">100*0.0025</f>
        <v>0.25</v>
      </c>
      <c r="B683" s="27" t="n">
        <f aca="false">IF(A683&gt;0,MIN('3. The decision'!$B$15,'3. The decision'!$B$29*(A683/'3. The decision'!$B$28)^$B$580),0)</f>
        <v>0.75</v>
      </c>
      <c r="C683" s="15" t="n">
        <f aca="false">(1-'3. The decision'!$B$27-B683)*(1-'3. The decision'!$B$27)^('3. The decision'!$B$12-1)</f>
        <v>0.130079146898265</v>
      </c>
      <c r="D683" s="15" t="n">
        <f aca="false">1+(1-'3. The decision'!$B$27-B683)*(1-(1-'3. The decision'!$B$27)^('3. The decision'!$B$12-1))/'3. The decision'!$B$27</f>
        <v>1.80332109927421</v>
      </c>
      <c r="E683" s="15" t="n">
        <f aca="false">(1-'3. The decision'!$B$14)*(1-'3. The decision'!$B$27)^('3. The decision'!$B$11-1)</f>
        <v>0.690273454655712</v>
      </c>
      <c r="F683" s="15" t="n">
        <f aca="false">1+(1-'3. The decision'!$B$14)*(1-(1-'3. The decision'!$B$27)^('3. The decision'!$B$11-1))/'3. The decision'!$B$27</f>
        <v>4.28912098262087</v>
      </c>
      <c r="G683" s="15" t="n">
        <f aca="false">(1-(1-'3. The decision'!$B$9*MIN(1,('3. The decision'!$B$10/(52/12)))))+(1-(1-'3. The decision'!$B$9*MAX(0,MIN(1,('3. The decision'!$B$10/(52/12))-1))))*(1-'3. The decision'!$B$14)+(1-(1-'3. The decision'!$B$9*MAX(0,MIN(1,('3. The decision'!$B$10/(52/12))-2))))*(1-'3. The decision'!$B$14)*(1-'3. The decision'!$B$27)</f>
        <v>0.884576923076923</v>
      </c>
      <c r="H683" s="15" t="n">
        <f aca="false">IF(A683&lt;=0,0,MAX(0,ROUNDUP(LN('3. The decision'!$B$13)/LN(1+A683)-0.000000000001,0)-1))</f>
        <v>2</v>
      </c>
      <c r="I683" s="15" t="n">
        <f aca="false">IF(A683&lt;=0,1/(1-C683),(1+A683)*(1-(C683*(1+A683))^H683)/(1-C683*(1+A683))+'3. The decision'!$B$13*C683^H683/(1-C683))</f>
        <v>1.4847588288138</v>
      </c>
      <c r="J683" s="17" t="n">
        <f aca="false">F683+E683*D683/(1-C683)</f>
        <v>5.72003815239697</v>
      </c>
      <c r="K683" s="15" t="n">
        <f aca="false">F683-G683+E683*D683*I683</f>
        <v>5.25274911064346</v>
      </c>
      <c r="L683" s="17" t="n">
        <f aca="false">'3. The decision'!$B$8*'3. The decision'!$B$5/J683</f>
        <v>82.104347468941</v>
      </c>
      <c r="M683" s="31" t="n">
        <f aca="false">L683*'3. The decision'!$B$6*'3. The decision'!$B$7*K683</f>
        <v>827192.879776173</v>
      </c>
      <c r="N683" s="31" t="n">
        <f aca="false">M683*(1+'3. The decision'!$B$19+'3. The decision'!$B$20+'3. The decision'!$B$22)</f>
        <v>914875.325032447</v>
      </c>
      <c r="O683" s="31" t="n">
        <f aca="false">'3. The decision'!$B$17+'3. The decision'!$B$18*L683*12+M683*('3. The decision'!$B$20*(1-'3. The decision'!$B$21)+'3. The decision'!$B$23)+N683*('3. The decision'!$B$24+'3. The decision'!$B$25)</f>
        <v>641302.615528014</v>
      </c>
      <c r="P683" s="31" t="n">
        <f aca="false">N683-O683</f>
        <v>273572.709504433</v>
      </c>
    </row>
    <row r="684" customFormat="false" ht="15" hidden="false" customHeight="false" outlineLevel="0" collapsed="false">
      <c r="A684" s="27" t="n">
        <f aca="false">101*0.0025</f>
        <v>0.2525</v>
      </c>
      <c r="B684" s="27" t="n">
        <f aca="false">IF(A684&gt;0,MIN('3. The decision'!$B$15,'3. The decision'!$B$29*(A684/'3. The decision'!$B$28)^$B$580),0)</f>
        <v>0.75</v>
      </c>
      <c r="C684" s="15" t="n">
        <f aca="false">(1-'3. The decision'!$B$27-B684)*(1-'3. The decision'!$B$27)^('3. The decision'!$B$12-1)</f>
        <v>0.130079146898265</v>
      </c>
      <c r="D684" s="15" t="n">
        <f aca="false">1+(1-'3. The decision'!$B$27-B684)*(1-(1-'3. The decision'!$B$27)^('3. The decision'!$B$12-1))/'3. The decision'!$B$27</f>
        <v>1.80332109927421</v>
      </c>
      <c r="E684" s="15" t="n">
        <f aca="false">(1-'3. The decision'!$B$14)*(1-'3. The decision'!$B$27)^('3. The decision'!$B$11-1)</f>
        <v>0.690273454655712</v>
      </c>
      <c r="F684" s="15" t="n">
        <f aca="false">1+(1-'3. The decision'!$B$14)*(1-(1-'3. The decision'!$B$27)^('3. The decision'!$B$11-1))/'3. The decision'!$B$27</f>
        <v>4.28912098262087</v>
      </c>
      <c r="G684" s="15" t="n">
        <f aca="false">(1-(1-'3. The decision'!$B$9*MIN(1,('3. The decision'!$B$10/(52/12)))))+(1-(1-'3. The decision'!$B$9*MAX(0,MIN(1,('3. The decision'!$B$10/(52/12))-1))))*(1-'3. The decision'!$B$14)+(1-(1-'3. The decision'!$B$9*MAX(0,MIN(1,('3. The decision'!$B$10/(52/12))-2))))*(1-'3. The decision'!$B$14)*(1-'3. The decision'!$B$27)</f>
        <v>0.884576923076923</v>
      </c>
      <c r="H684" s="15" t="n">
        <f aca="false">IF(A684&lt;=0,0,MAX(0,ROUNDUP(LN('3. The decision'!$B$13)/LN(1+A684)-0.000000000001,0)-1))</f>
        <v>2</v>
      </c>
      <c r="I684" s="15" t="n">
        <f aca="false">IF(A684&lt;=0,1/(1-C684),(1+A684)*(1-(C684*(1+A684))^H684)/(1-C684*(1+A684))+'3. The decision'!$B$13*C684^H684/(1-C684))</f>
        <v>1.48807263647658</v>
      </c>
      <c r="J684" s="17" t="n">
        <f aca="false">F684+E684*D684/(1-C684)</f>
        <v>5.72003815239697</v>
      </c>
      <c r="K684" s="15" t="n">
        <f aca="false">F684-G684+E684*D684*I684</f>
        <v>5.25687408767129</v>
      </c>
      <c r="L684" s="17" t="n">
        <f aca="false">'3. The decision'!$B$8*'3. The decision'!$B$5/J684</f>
        <v>82.104347468941</v>
      </c>
      <c r="M684" s="31" t="n">
        <f aca="false">L684*'3. The decision'!$B$6*'3. The decision'!$B$7*K684</f>
        <v>827842.473266132</v>
      </c>
      <c r="N684" s="31" t="n">
        <f aca="false">M684*(1+'3. The decision'!$B$19+'3. The decision'!$B$20+'3. The decision'!$B$22)</f>
        <v>915593.775432341</v>
      </c>
      <c r="O684" s="31" t="n">
        <f aca="false">'3. The decision'!$B$17+'3. The decision'!$B$18*L684*12+M684*('3. The decision'!$B$20*(1-'3. The decision'!$B$21)+'3. The decision'!$B$23)+N684*('3. The decision'!$B$24+'3. The decision'!$B$25)</f>
        <v>641372.529326557</v>
      </c>
      <c r="P684" s="31" t="n">
        <f aca="false">N684-O684</f>
        <v>274221.246105784</v>
      </c>
    </row>
    <row r="685" customFormat="false" ht="15" hidden="false" customHeight="false" outlineLevel="0" collapsed="false">
      <c r="A685" s="27" t="n">
        <f aca="false">102*0.0025</f>
        <v>0.255</v>
      </c>
      <c r="B685" s="27" t="n">
        <f aca="false">IF(A685&gt;0,MIN('3. The decision'!$B$15,'3. The decision'!$B$29*(A685/'3. The decision'!$B$28)^$B$580),0)</f>
        <v>0.75</v>
      </c>
      <c r="C685" s="15" t="n">
        <f aca="false">(1-'3. The decision'!$B$27-B685)*(1-'3. The decision'!$B$27)^('3. The decision'!$B$12-1)</f>
        <v>0.130079146898265</v>
      </c>
      <c r="D685" s="15" t="n">
        <f aca="false">1+(1-'3. The decision'!$B$27-B685)*(1-(1-'3. The decision'!$B$27)^('3. The decision'!$B$12-1))/'3. The decision'!$B$27</f>
        <v>1.80332109927421</v>
      </c>
      <c r="E685" s="15" t="n">
        <f aca="false">(1-'3. The decision'!$B$14)*(1-'3. The decision'!$B$27)^('3. The decision'!$B$11-1)</f>
        <v>0.690273454655712</v>
      </c>
      <c r="F685" s="15" t="n">
        <f aca="false">1+(1-'3. The decision'!$B$14)*(1-(1-'3. The decision'!$B$27)^('3. The decision'!$B$11-1))/'3. The decision'!$B$27</f>
        <v>4.28912098262087</v>
      </c>
      <c r="G685" s="15" t="n">
        <f aca="false">(1-(1-'3. The decision'!$B$9*MIN(1,('3. The decision'!$B$10/(52/12)))))+(1-(1-'3. The decision'!$B$9*MAX(0,MIN(1,('3. The decision'!$B$10/(52/12))-1))))*(1-'3. The decision'!$B$14)+(1-(1-'3. The decision'!$B$9*MAX(0,MIN(1,('3. The decision'!$B$10/(52/12))-2))))*(1-'3. The decision'!$B$14)*(1-'3. The decision'!$B$27)</f>
        <v>0.884576923076923</v>
      </c>
      <c r="H685" s="15" t="n">
        <f aca="false">IF(A685&lt;=0,0,MAX(0,ROUNDUP(LN('3. The decision'!$B$13)/LN(1+A685)-0.000000000001,0)-1))</f>
        <v>2</v>
      </c>
      <c r="I685" s="15" t="n">
        <f aca="false">IF(A685&lt;=0,1/(1-C685),(1+A685)*(1-(C685*(1+A685))^H685)/(1-C685*(1+A685))+'3. The decision'!$B$13*C685^H685/(1-C685))</f>
        <v>1.4913880701287</v>
      </c>
      <c r="J685" s="17" t="n">
        <f aca="false">F685+E685*D685/(1-C685)</f>
        <v>5.72003815239697</v>
      </c>
      <c r="K685" s="15" t="n">
        <f aca="false">F685-G685+E685*D685*I685</f>
        <v>5.26100108870575</v>
      </c>
      <c r="L685" s="17" t="n">
        <f aca="false">'3. The decision'!$B$8*'3. The decision'!$B$5/J685</f>
        <v>82.104347468941</v>
      </c>
      <c r="M685" s="31" t="n">
        <f aca="false">L685*'3. The decision'!$B$6*'3. The decision'!$B$7*K685</f>
        <v>828492.385492781</v>
      </c>
      <c r="N685" s="31" t="n">
        <f aca="false">M685*(1+'3. The decision'!$B$19+'3. The decision'!$B$20+'3. The decision'!$B$22)</f>
        <v>916312.578355016</v>
      </c>
      <c r="O685" s="31" t="n">
        <f aca="false">'3. The decision'!$B$17+'3. The decision'!$B$18*L685*12+M685*('3. The decision'!$B$20*(1-'3. The decision'!$B$21)+'3. The decision'!$B$23)+N685*('3. The decision'!$B$24+'3. The decision'!$B$25)</f>
        <v>641442.477429775</v>
      </c>
      <c r="P685" s="31" t="n">
        <f aca="false">N685-O685</f>
        <v>274870.100925241</v>
      </c>
    </row>
    <row r="686" customFormat="false" ht="15" hidden="false" customHeight="false" outlineLevel="0" collapsed="false">
      <c r="A686" s="27" t="n">
        <f aca="false">103*0.0025</f>
        <v>0.2575</v>
      </c>
      <c r="B686" s="27" t="n">
        <f aca="false">IF(A686&gt;0,MIN('3. The decision'!$B$15,'3. The decision'!$B$29*(A686/'3. The decision'!$B$28)^$B$580),0)</f>
        <v>0.75</v>
      </c>
      <c r="C686" s="15" t="n">
        <f aca="false">(1-'3. The decision'!$B$27-B686)*(1-'3. The decision'!$B$27)^('3. The decision'!$B$12-1)</f>
        <v>0.130079146898265</v>
      </c>
      <c r="D686" s="15" t="n">
        <f aca="false">1+(1-'3. The decision'!$B$27-B686)*(1-(1-'3. The decision'!$B$27)^('3. The decision'!$B$12-1))/'3. The decision'!$B$27</f>
        <v>1.80332109927421</v>
      </c>
      <c r="E686" s="15" t="n">
        <f aca="false">(1-'3. The decision'!$B$14)*(1-'3. The decision'!$B$27)^('3. The decision'!$B$11-1)</f>
        <v>0.690273454655712</v>
      </c>
      <c r="F686" s="15" t="n">
        <f aca="false">1+(1-'3. The decision'!$B$14)*(1-(1-'3. The decision'!$B$27)^('3. The decision'!$B$11-1))/'3. The decision'!$B$27</f>
        <v>4.28912098262087</v>
      </c>
      <c r="G686" s="15" t="n">
        <f aca="false">(1-(1-'3. The decision'!$B$9*MIN(1,('3. The decision'!$B$10/(52/12)))))+(1-(1-'3. The decision'!$B$9*MAX(0,MIN(1,('3. The decision'!$B$10/(52/12))-1))))*(1-'3. The decision'!$B$14)+(1-(1-'3. The decision'!$B$9*MAX(0,MIN(1,('3. The decision'!$B$10/(52/12))-2))))*(1-'3. The decision'!$B$14)*(1-'3. The decision'!$B$27)</f>
        <v>0.884576923076923</v>
      </c>
      <c r="H686" s="15" t="n">
        <f aca="false">IF(A686&lt;=0,0,MAX(0,ROUNDUP(LN('3. The decision'!$B$13)/LN(1+A686)-0.000000000001,0)-1))</f>
        <v>2</v>
      </c>
      <c r="I686" s="15" t="n">
        <f aca="false">IF(A686&lt;=0,1/(1-C686),(1+A686)*(1-(C686*(1+A686))^H686)/(1-C686*(1+A686))+'3. The decision'!$B$13*C686^H686/(1-C686))</f>
        <v>1.49470512977015</v>
      </c>
      <c r="J686" s="17" t="n">
        <f aca="false">F686+E686*D686/(1-C686)</f>
        <v>5.72003815239697</v>
      </c>
      <c r="K686" s="15" t="n">
        <f aca="false">F686-G686+E686*D686*I686</f>
        <v>5.26513011374682</v>
      </c>
      <c r="L686" s="17" t="n">
        <f aca="false">'3. The decision'!$B$8*'3. The decision'!$B$5/J686</f>
        <v>82.104347468941</v>
      </c>
      <c r="M686" s="31" t="n">
        <f aca="false">L686*'3. The decision'!$B$6*'3. The decision'!$B$7*K686</f>
        <v>829142.616456121</v>
      </c>
      <c r="N686" s="31" t="n">
        <f aca="false">M686*(1+'3. The decision'!$B$19+'3. The decision'!$B$20+'3. The decision'!$B$22)</f>
        <v>917031.73380047</v>
      </c>
      <c r="O686" s="31" t="n">
        <f aca="false">'3. The decision'!$B$17+'3. The decision'!$B$18*L686*12+M686*('3. The decision'!$B$20*(1-'3. The decision'!$B$21)+'3. The decision'!$B$23)+N686*('3. The decision'!$B$24+'3. The decision'!$B$25)</f>
        <v>641512.459837667</v>
      </c>
      <c r="P686" s="31" t="n">
        <f aca="false">N686-O686</f>
        <v>275519.273962804</v>
      </c>
    </row>
    <row r="687" customFormat="false" ht="15" hidden="false" customHeight="false" outlineLevel="0" collapsed="false">
      <c r="A687" s="27" t="n">
        <f aca="false">104*0.0025</f>
        <v>0.26</v>
      </c>
      <c r="B687" s="27" t="n">
        <f aca="false">IF(A687&gt;0,MIN('3. The decision'!$B$15,'3. The decision'!$B$29*(A687/'3. The decision'!$B$28)^$B$580),0)</f>
        <v>0.75</v>
      </c>
      <c r="C687" s="15" t="n">
        <f aca="false">(1-'3. The decision'!$B$27-B687)*(1-'3. The decision'!$B$27)^('3. The decision'!$B$12-1)</f>
        <v>0.130079146898265</v>
      </c>
      <c r="D687" s="15" t="n">
        <f aca="false">1+(1-'3. The decision'!$B$27-B687)*(1-(1-'3. The decision'!$B$27)^('3. The decision'!$B$12-1))/'3. The decision'!$B$27</f>
        <v>1.80332109927421</v>
      </c>
      <c r="E687" s="15" t="n">
        <f aca="false">(1-'3. The decision'!$B$14)*(1-'3. The decision'!$B$27)^('3. The decision'!$B$11-1)</f>
        <v>0.690273454655712</v>
      </c>
      <c r="F687" s="15" t="n">
        <f aca="false">1+(1-'3. The decision'!$B$14)*(1-(1-'3. The decision'!$B$27)^('3. The decision'!$B$11-1))/'3. The decision'!$B$27</f>
        <v>4.28912098262087</v>
      </c>
      <c r="G687" s="15" t="n">
        <f aca="false">(1-(1-'3. The decision'!$B$9*MIN(1,('3. The decision'!$B$10/(52/12)))))+(1-(1-'3. The decision'!$B$9*MAX(0,MIN(1,('3. The decision'!$B$10/(52/12))-1))))*(1-'3. The decision'!$B$14)+(1-(1-'3. The decision'!$B$9*MAX(0,MIN(1,('3. The decision'!$B$10/(52/12))-2))))*(1-'3. The decision'!$B$14)*(1-'3. The decision'!$B$27)</f>
        <v>0.884576923076923</v>
      </c>
      <c r="H687" s="15" t="n">
        <f aca="false">IF(A687&lt;=0,0,MAX(0,ROUNDUP(LN('3. The decision'!$B$13)/LN(1+A687)-0.000000000001,0)-1))</f>
        <v>2</v>
      </c>
      <c r="I687" s="15" t="n">
        <f aca="false">IF(A687&lt;=0,1/(1-C687),(1+A687)*(1-(C687*(1+A687))^H687)/(1-C687*(1+A687))+'3. The decision'!$B$13*C687^H687/(1-C687))</f>
        <v>1.49802381540094</v>
      </c>
      <c r="J687" s="17" t="n">
        <f aca="false">F687+E687*D687/(1-C687)</f>
        <v>5.72003815239697</v>
      </c>
      <c r="K687" s="15" t="n">
        <f aca="false">F687-G687+E687*D687*I687</f>
        <v>5.26926116279453</v>
      </c>
      <c r="L687" s="17" t="n">
        <f aca="false">'3. The decision'!$B$8*'3. The decision'!$B$5/J687</f>
        <v>82.104347468941</v>
      </c>
      <c r="M687" s="31" t="n">
        <f aca="false">L687*'3. The decision'!$B$6*'3. The decision'!$B$7*K687</f>
        <v>829793.166156152</v>
      </c>
      <c r="N687" s="31" t="n">
        <f aca="false">M687*(1+'3. The decision'!$B$19+'3. The decision'!$B$20+'3. The decision'!$B$22)</f>
        <v>917751.241768704</v>
      </c>
      <c r="O687" s="31" t="n">
        <f aca="false">'3. The decision'!$B$17+'3. The decision'!$B$18*L687*12+M687*('3. The decision'!$B$20*(1-'3. The decision'!$B$21)+'3. The decision'!$B$23)+N687*('3. The decision'!$B$24+'3. The decision'!$B$25)</f>
        <v>641582.476550232</v>
      </c>
      <c r="P687" s="31" t="n">
        <f aca="false">N687-O687</f>
        <v>276168.765218472</v>
      </c>
    </row>
    <row r="688" customFormat="false" ht="15" hidden="false" customHeight="false" outlineLevel="0" collapsed="false">
      <c r="A688" s="27" t="n">
        <f aca="false">105*0.0025</f>
        <v>0.2625</v>
      </c>
      <c r="B688" s="27" t="n">
        <f aca="false">IF(A688&gt;0,MIN('3. The decision'!$B$15,'3. The decision'!$B$29*(A688/'3. The decision'!$B$28)^$B$580),0)</f>
        <v>0.75</v>
      </c>
      <c r="C688" s="15" t="n">
        <f aca="false">(1-'3. The decision'!$B$27-B688)*(1-'3. The decision'!$B$27)^('3. The decision'!$B$12-1)</f>
        <v>0.130079146898265</v>
      </c>
      <c r="D688" s="15" t="n">
        <f aca="false">1+(1-'3. The decision'!$B$27-B688)*(1-(1-'3. The decision'!$B$27)^('3. The decision'!$B$12-1))/'3. The decision'!$B$27</f>
        <v>1.80332109927421</v>
      </c>
      <c r="E688" s="15" t="n">
        <f aca="false">(1-'3. The decision'!$B$14)*(1-'3. The decision'!$B$27)^('3. The decision'!$B$11-1)</f>
        <v>0.690273454655712</v>
      </c>
      <c r="F688" s="15" t="n">
        <f aca="false">1+(1-'3. The decision'!$B$14)*(1-(1-'3. The decision'!$B$27)^('3. The decision'!$B$11-1))/'3. The decision'!$B$27</f>
        <v>4.28912098262087</v>
      </c>
      <c r="G688" s="15" t="n">
        <f aca="false">(1-(1-'3. The decision'!$B$9*MIN(1,('3. The decision'!$B$10/(52/12)))))+(1-(1-'3. The decision'!$B$9*MAX(0,MIN(1,('3. The decision'!$B$10/(52/12))-1))))*(1-'3. The decision'!$B$14)+(1-(1-'3. The decision'!$B$9*MAX(0,MIN(1,('3. The decision'!$B$10/(52/12))-2))))*(1-'3. The decision'!$B$14)*(1-'3. The decision'!$B$27)</f>
        <v>0.884576923076923</v>
      </c>
      <c r="H688" s="15" t="n">
        <f aca="false">IF(A688&lt;=0,0,MAX(0,ROUNDUP(LN('3. The decision'!$B$13)/LN(1+A688)-0.000000000001,0)-1))</f>
        <v>2</v>
      </c>
      <c r="I688" s="15" t="n">
        <f aca="false">IF(A688&lt;=0,1/(1-C688),(1+A688)*(1-(C688*(1+A688))^H688)/(1-C688*(1+A688))+'3. The decision'!$B$13*C688^H688/(1-C688))</f>
        <v>1.50134412702107</v>
      </c>
      <c r="J688" s="17" t="n">
        <f aca="false">F688+E688*D688/(1-C688)</f>
        <v>5.72003815239697</v>
      </c>
      <c r="K688" s="15" t="n">
        <f aca="false">F688-G688+E688*D688*I688</f>
        <v>5.27339423584885</v>
      </c>
      <c r="L688" s="17" t="n">
        <f aca="false">'3. The decision'!$B$8*'3. The decision'!$B$5/J688</f>
        <v>82.104347468941</v>
      </c>
      <c r="M688" s="31" t="n">
        <f aca="false">L688*'3. The decision'!$B$6*'3. The decision'!$B$7*K688</f>
        <v>830444.034592873</v>
      </c>
      <c r="N688" s="31" t="n">
        <f aca="false">M688*(1+'3. The decision'!$B$19+'3. The decision'!$B$20+'3. The decision'!$B$22)</f>
        <v>918471.102259718</v>
      </c>
      <c r="O688" s="31" t="n">
        <f aca="false">'3. The decision'!$B$17+'3. The decision'!$B$18*L688*12+M688*('3. The decision'!$B$20*(1-'3. The decision'!$B$21)+'3. The decision'!$B$23)+N688*('3. The decision'!$B$24+'3. The decision'!$B$25)</f>
        <v>641652.527567471</v>
      </c>
      <c r="P688" s="31" t="n">
        <f aca="false">N688-O688</f>
        <v>276818.574692247</v>
      </c>
    </row>
    <row r="689" customFormat="false" ht="15" hidden="false" customHeight="false" outlineLevel="0" collapsed="false">
      <c r="A689" s="27" t="n">
        <f aca="false">106*0.0025</f>
        <v>0.265</v>
      </c>
      <c r="B689" s="27" t="n">
        <f aca="false">IF(A689&gt;0,MIN('3. The decision'!$B$15,'3. The decision'!$B$29*(A689/'3. The decision'!$B$28)^$B$580),0)</f>
        <v>0.75</v>
      </c>
      <c r="C689" s="15" t="n">
        <f aca="false">(1-'3. The decision'!$B$27-B689)*(1-'3. The decision'!$B$27)^('3. The decision'!$B$12-1)</f>
        <v>0.130079146898265</v>
      </c>
      <c r="D689" s="15" t="n">
        <f aca="false">1+(1-'3. The decision'!$B$27-B689)*(1-(1-'3. The decision'!$B$27)^('3. The decision'!$B$12-1))/'3. The decision'!$B$27</f>
        <v>1.80332109927421</v>
      </c>
      <c r="E689" s="15" t="n">
        <f aca="false">(1-'3. The decision'!$B$14)*(1-'3. The decision'!$B$27)^('3. The decision'!$B$11-1)</f>
        <v>0.690273454655712</v>
      </c>
      <c r="F689" s="15" t="n">
        <f aca="false">1+(1-'3. The decision'!$B$14)*(1-(1-'3. The decision'!$B$27)^('3. The decision'!$B$11-1))/'3. The decision'!$B$27</f>
        <v>4.28912098262087</v>
      </c>
      <c r="G689" s="15" t="n">
        <f aca="false">(1-(1-'3. The decision'!$B$9*MIN(1,('3. The decision'!$B$10/(52/12)))))+(1-(1-'3. The decision'!$B$9*MAX(0,MIN(1,('3. The decision'!$B$10/(52/12))-1))))*(1-'3. The decision'!$B$14)+(1-(1-'3. The decision'!$B$9*MAX(0,MIN(1,('3. The decision'!$B$10/(52/12))-2))))*(1-'3. The decision'!$B$14)*(1-'3. The decision'!$B$27)</f>
        <v>0.884576923076923</v>
      </c>
      <c r="H689" s="15" t="n">
        <f aca="false">IF(A689&lt;=0,0,MAX(0,ROUNDUP(LN('3. The decision'!$B$13)/LN(1+A689)-0.000000000001,0)-1))</f>
        <v>2</v>
      </c>
      <c r="I689" s="15" t="n">
        <f aca="false">IF(A689&lt;=0,1/(1-C689),(1+A689)*(1-(C689*(1+A689))^H689)/(1-C689*(1+A689))+'3. The decision'!$B$13*C689^H689/(1-C689))</f>
        <v>1.50466606463053</v>
      </c>
      <c r="J689" s="17" t="n">
        <f aca="false">F689+E689*D689/(1-C689)</f>
        <v>5.72003815239697</v>
      </c>
      <c r="K689" s="15" t="n">
        <f aca="false">F689-G689+E689*D689*I689</f>
        <v>5.2775293329098</v>
      </c>
      <c r="L689" s="17" t="n">
        <f aca="false">'3. The decision'!$B$8*'3. The decision'!$B$5/J689</f>
        <v>82.104347468941</v>
      </c>
      <c r="M689" s="31" t="n">
        <f aca="false">L689*'3. The decision'!$B$6*'3. The decision'!$B$7*K689</f>
        <v>831095.221766285</v>
      </c>
      <c r="N689" s="31" t="n">
        <f aca="false">M689*(1+'3. The decision'!$B$19+'3. The decision'!$B$20+'3. The decision'!$B$22)</f>
        <v>919191.315273511</v>
      </c>
      <c r="O689" s="31" t="n">
        <f aca="false">'3. The decision'!$B$17+'3. The decision'!$B$18*L689*12+M689*('3. The decision'!$B$20*(1-'3. The decision'!$B$21)+'3. The decision'!$B$23)+N689*('3. The decision'!$B$24+'3. The decision'!$B$25)</f>
        <v>641722.612889384</v>
      </c>
      <c r="P689" s="31" t="n">
        <f aca="false">N689-O689</f>
        <v>277468.702384128</v>
      </c>
    </row>
    <row r="690" customFormat="false" ht="15" hidden="false" customHeight="false" outlineLevel="0" collapsed="false">
      <c r="A690" s="27" t="n">
        <f aca="false">107*0.0025</f>
        <v>0.2675</v>
      </c>
      <c r="B690" s="27" t="n">
        <f aca="false">IF(A690&gt;0,MIN('3. The decision'!$B$15,'3. The decision'!$B$29*(A690/'3. The decision'!$B$28)^$B$580),0)</f>
        <v>0.75</v>
      </c>
      <c r="C690" s="15" t="n">
        <f aca="false">(1-'3. The decision'!$B$27-B690)*(1-'3. The decision'!$B$27)^('3. The decision'!$B$12-1)</f>
        <v>0.130079146898265</v>
      </c>
      <c r="D690" s="15" t="n">
        <f aca="false">1+(1-'3. The decision'!$B$27-B690)*(1-(1-'3. The decision'!$B$27)^('3. The decision'!$B$12-1))/'3. The decision'!$B$27</f>
        <v>1.80332109927421</v>
      </c>
      <c r="E690" s="15" t="n">
        <f aca="false">(1-'3. The decision'!$B$14)*(1-'3. The decision'!$B$27)^('3. The decision'!$B$11-1)</f>
        <v>0.690273454655712</v>
      </c>
      <c r="F690" s="15" t="n">
        <f aca="false">1+(1-'3. The decision'!$B$14)*(1-(1-'3. The decision'!$B$27)^('3. The decision'!$B$11-1))/'3. The decision'!$B$27</f>
        <v>4.28912098262087</v>
      </c>
      <c r="G690" s="15" t="n">
        <f aca="false">(1-(1-'3. The decision'!$B$9*MIN(1,('3. The decision'!$B$10/(52/12)))))+(1-(1-'3. The decision'!$B$9*MAX(0,MIN(1,('3. The decision'!$B$10/(52/12))-1))))*(1-'3. The decision'!$B$14)+(1-(1-'3. The decision'!$B$9*MAX(0,MIN(1,('3. The decision'!$B$10/(52/12))-2))))*(1-'3. The decision'!$B$14)*(1-'3. The decision'!$B$27)</f>
        <v>0.884576923076923</v>
      </c>
      <c r="H690" s="15" t="n">
        <f aca="false">IF(A690&lt;=0,0,MAX(0,ROUNDUP(LN('3. The decision'!$B$13)/LN(1+A690)-0.000000000001,0)-1))</f>
        <v>2</v>
      </c>
      <c r="I690" s="15" t="n">
        <f aca="false">IF(A690&lt;=0,1/(1-C690),(1+A690)*(1-(C690*(1+A690))^H690)/(1-C690*(1+A690))+'3. The decision'!$B$13*C690^H690/(1-C690))</f>
        <v>1.50798962822933</v>
      </c>
      <c r="J690" s="17" t="n">
        <f aca="false">F690+E690*D690/(1-C690)</f>
        <v>5.72003815239697</v>
      </c>
      <c r="K690" s="15" t="n">
        <f aca="false">F690-G690+E690*D690*I690</f>
        <v>5.28166645397738</v>
      </c>
      <c r="L690" s="17" t="n">
        <f aca="false">'3. The decision'!$B$8*'3. The decision'!$B$5/J690</f>
        <v>82.104347468941</v>
      </c>
      <c r="M690" s="31" t="n">
        <f aca="false">L690*'3. The decision'!$B$6*'3. The decision'!$B$7*K690</f>
        <v>831746.727676388</v>
      </c>
      <c r="N690" s="31" t="n">
        <f aca="false">M690*(1+'3. The decision'!$B$19+'3. The decision'!$B$20+'3. The decision'!$B$22)</f>
        <v>919911.880810085</v>
      </c>
      <c r="O690" s="31" t="n">
        <f aca="false">'3. The decision'!$B$17+'3. The decision'!$B$18*L690*12+M690*('3. The decision'!$B$20*(1-'3. The decision'!$B$21)+'3. The decision'!$B$23)+N690*('3. The decision'!$B$24+'3. The decision'!$B$25)</f>
        <v>641792.73251597</v>
      </c>
      <c r="P690" s="31" t="n">
        <f aca="false">N690-O690</f>
        <v>278119.148294114</v>
      </c>
    </row>
    <row r="691" customFormat="false" ht="15" hidden="false" customHeight="false" outlineLevel="0" collapsed="false">
      <c r="A691" s="27" t="n">
        <f aca="false">108*0.0025</f>
        <v>0.27</v>
      </c>
      <c r="B691" s="27" t="n">
        <f aca="false">IF(A691&gt;0,MIN('3. The decision'!$B$15,'3. The decision'!$B$29*(A691/'3. The decision'!$B$28)^$B$580),0)</f>
        <v>0.75</v>
      </c>
      <c r="C691" s="15" t="n">
        <f aca="false">(1-'3. The decision'!$B$27-B691)*(1-'3. The decision'!$B$27)^('3. The decision'!$B$12-1)</f>
        <v>0.130079146898265</v>
      </c>
      <c r="D691" s="15" t="n">
        <f aca="false">1+(1-'3. The decision'!$B$27-B691)*(1-(1-'3. The decision'!$B$27)^('3. The decision'!$B$12-1))/'3. The decision'!$B$27</f>
        <v>1.80332109927421</v>
      </c>
      <c r="E691" s="15" t="n">
        <f aca="false">(1-'3. The decision'!$B$14)*(1-'3. The decision'!$B$27)^('3. The decision'!$B$11-1)</f>
        <v>0.690273454655712</v>
      </c>
      <c r="F691" s="15" t="n">
        <f aca="false">1+(1-'3. The decision'!$B$14)*(1-(1-'3. The decision'!$B$27)^('3. The decision'!$B$11-1))/'3. The decision'!$B$27</f>
        <v>4.28912098262087</v>
      </c>
      <c r="G691" s="15" t="n">
        <f aca="false">(1-(1-'3. The decision'!$B$9*MIN(1,('3. The decision'!$B$10/(52/12)))))+(1-(1-'3. The decision'!$B$9*MAX(0,MIN(1,('3. The decision'!$B$10/(52/12))-1))))*(1-'3. The decision'!$B$14)+(1-(1-'3. The decision'!$B$9*MAX(0,MIN(1,('3. The decision'!$B$10/(52/12))-2))))*(1-'3. The decision'!$B$14)*(1-'3. The decision'!$B$27)</f>
        <v>0.884576923076923</v>
      </c>
      <c r="H691" s="15" t="n">
        <f aca="false">IF(A691&lt;=0,0,MAX(0,ROUNDUP(LN('3. The decision'!$B$13)/LN(1+A691)-0.000000000001,0)-1))</f>
        <v>2</v>
      </c>
      <c r="I691" s="15" t="n">
        <f aca="false">IF(A691&lt;=0,1/(1-C691),(1+A691)*(1-(C691*(1+A691))^H691)/(1-C691*(1+A691))+'3. The decision'!$B$13*C691^H691/(1-C691))</f>
        <v>1.51131481781747</v>
      </c>
      <c r="J691" s="17" t="n">
        <f aca="false">F691+E691*D691/(1-C691)</f>
        <v>5.72003815239697</v>
      </c>
      <c r="K691" s="15" t="n">
        <f aca="false">F691-G691+E691*D691*I691</f>
        <v>5.28580559905158</v>
      </c>
      <c r="L691" s="17" t="n">
        <f aca="false">'3. The decision'!$B$8*'3. The decision'!$B$5/J691</f>
        <v>82.104347468941</v>
      </c>
      <c r="M691" s="31" t="n">
        <f aca="false">L691*'3. The decision'!$B$6*'3. The decision'!$B$7*K691</f>
        <v>832398.55232318</v>
      </c>
      <c r="N691" s="31" t="n">
        <f aca="false">M691*(1+'3. The decision'!$B$19+'3. The decision'!$B$20+'3. The decision'!$B$22)</f>
        <v>920632.798869437</v>
      </c>
      <c r="O691" s="31" t="n">
        <f aca="false">'3. The decision'!$B$17+'3. The decision'!$B$18*L691*12+M691*('3. The decision'!$B$20*(1-'3. The decision'!$B$21)+'3. The decision'!$B$23)+N691*('3. The decision'!$B$24+'3. The decision'!$B$25)</f>
        <v>641862.886447231</v>
      </c>
      <c r="P691" s="31" t="n">
        <f aca="false">N691-O691</f>
        <v>278769.912422207</v>
      </c>
    </row>
    <row r="692" customFormat="false" ht="15" hidden="false" customHeight="false" outlineLevel="0" collapsed="false">
      <c r="A692" s="27" t="n">
        <f aca="false">109*0.0025</f>
        <v>0.2725</v>
      </c>
      <c r="B692" s="27" t="n">
        <f aca="false">IF(A692&gt;0,MIN('3. The decision'!$B$15,'3. The decision'!$B$29*(A692/'3. The decision'!$B$28)^$B$580),0)</f>
        <v>0.75</v>
      </c>
      <c r="C692" s="15" t="n">
        <f aca="false">(1-'3. The decision'!$B$27-B692)*(1-'3. The decision'!$B$27)^('3. The decision'!$B$12-1)</f>
        <v>0.130079146898265</v>
      </c>
      <c r="D692" s="15" t="n">
        <f aca="false">1+(1-'3. The decision'!$B$27-B692)*(1-(1-'3. The decision'!$B$27)^('3. The decision'!$B$12-1))/'3. The decision'!$B$27</f>
        <v>1.80332109927421</v>
      </c>
      <c r="E692" s="15" t="n">
        <f aca="false">(1-'3. The decision'!$B$14)*(1-'3. The decision'!$B$27)^('3. The decision'!$B$11-1)</f>
        <v>0.690273454655712</v>
      </c>
      <c r="F692" s="15" t="n">
        <f aca="false">1+(1-'3. The decision'!$B$14)*(1-(1-'3. The decision'!$B$27)^('3. The decision'!$B$11-1))/'3. The decision'!$B$27</f>
        <v>4.28912098262087</v>
      </c>
      <c r="G692" s="15" t="n">
        <f aca="false">(1-(1-'3. The decision'!$B$9*MIN(1,('3. The decision'!$B$10/(52/12)))))+(1-(1-'3. The decision'!$B$9*MAX(0,MIN(1,('3. The decision'!$B$10/(52/12))-1))))*(1-'3. The decision'!$B$14)+(1-(1-'3. The decision'!$B$9*MAX(0,MIN(1,('3. The decision'!$B$10/(52/12))-2))))*(1-'3. The decision'!$B$14)*(1-'3. The decision'!$B$27)</f>
        <v>0.884576923076923</v>
      </c>
      <c r="H692" s="15" t="n">
        <f aca="false">IF(A692&lt;=0,0,MAX(0,ROUNDUP(LN('3. The decision'!$B$13)/LN(1+A692)-0.000000000001,0)-1))</f>
        <v>2</v>
      </c>
      <c r="I692" s="15" t="n">
        <f aca="false">IF(A692&lt;=0,1/(1-C692),(1+A692)*(1-(C692*(1+A692))^H692)/(1-C692*(1+A692))+'3. The decision'!$B$13*C692^H692/(1-C692))</f>
        <v>1.51464163339494</v>
      </c>
      <c r="J692" s="17" t="n">
        <f aca="false">F692+E692*D692/(1-C692)</f>
        <v>5.72003815239697</v>
      </c>
      <c r="K692" s="15" t="n">
        <f aca="false">F692-G692+E692*D692*I692</f>
        <v>5.2899467681324</v>
      </c>
      <c r="L692" s="17" t="n">
        <f aca="false">'3. The decision'!$B$8*'3. The decision'!$B$5/J692</f>
        <v>82.104347468941</v>
      </c>
      <c r="M692" s="31" t="n">
        <f aca="false">L692*'3. The decision'!$B$6*'3. The decision'!$B$7*K692</f>
        <v>833050.695706664</v>
      </c>
      <c r="N692" s="31" t="n">
        <f aca="false">M692*(1+'3. The decision'!$B$19+'3. The decision'!$B$20+'3. The decision'!$B$22)</f>
        <v>921354.06945157</v>
      </c>
      <c r="O692" s="31" t="n">
        <f aca="false">'3. The decision'!$B$17+'3. The decision'!$B$18*L692*12+M692*('3. The decision'!$B$20*(1-'3. The decision'!$B$21)+'3. The decision'!$B$23)+N692*('3. The decision'!$B$24+'3. The decision'!$B$25)</f>
        <v>641933.074683165</v>
      </c>
      <c r="P692" s="31" t="n">
        <f aca="false">N692-O692</f>
        <v>279420.994768405</v>
      </c>
    </row>
    <row r="693" customFormat="false" ht="15" hidden="false" customHeight="false" outlineLevel="0" collapsed="false">
      <c r="A693" s="27" t="n">
        <f aca="false">110*0.0025</f>
        <v>0.275</v>
      </c>
      <c r="B693" s="27" t="n">
        <f aca="false">IF(A693&gt;0,MIN('3. The decision'!$B$15,'3. The decision'!$B$29*(A693/'3. The decision'!$B$28)^$B$580),0)</f>
        <v>0.75</v>
      </c>
      <c r="C693" s="15" t="n">
        <f aca="false">(1-'3. The decision'!$B$27-B693)*(1-'3. The decision'!$B$27)^('3. The decision'!$B$12-1)</f>
        <v>0.130079146898265</v>
      </c>
      <c r="D693" s="15" t="n">
        <f aca="false">1+(1-'3. The decision'!$B$27-B693)*(1-(1-'3. The decision'!$B$27)^('3. The decision'!$B$12-1))/'3. The decision'!$B$27</f>
        <v>1.80332109927421</v>
      </c>
      <c r="E693" s="15" t="n">
        <f aca="false">(1-'3. The decision'!$B$14)*(1-'3. The decision'!$B$27)^('3. The decision'!$B$11-1)</f>
        <v>0.690273454655712</v>
      </c>
      <c r="F693" s="15" t="n">
        <f aca="false">1+(1-'3. The decision'!$B$14)*(1-(1-'3. The decision'!$B$27)^('3. The decision'!$B$11-1))/'3. The decision'!$B$27</f>
        <v>4.28912098262087</v>
      </c>
      <c r="G693" s="15" t="n">
        <f aca="false">(1-(1-'3. The decision'!$B$9*MIN(1,('3. The decision'!$B$10/(52/12)))))+(1-(1-'3. The decision'!$B$9*MAX(0,MIN(1,('3. The decision'!$B$10/(52/12))-1))))*(1-'3. The decision'!$B$14)+(1-(1-'3. The decision'!$B$9*MAX(0,MIN(1,('3. The decision'!$B$10/(52/12))-2))))*(1-'3. The decision'!$B$14)*(1-'3. The decision'!$B$27)</f>
        <v>0.884576923076923</v>
      </c>
      <c r="H693" s="15" t="n">
        <f aca="false">IF(A693&lt;=0,0,MAX(0,ROUNDUP(LN('3. The decision'!$B$13)/LN(1+A693)-0.000000000001,0)-1))</f>
        <v>1</v>
      </c>
      <c r="I693" s="15" t="n">
        <f aca="false">IF(A693&lt;=0,1/(1-C693),(1+A693)*(1-(C693*(1+A693))^H693)/(1-C693*(1+A693))+'3. The decision'!$B$13*C693^H693/(1-C693))</f>
        <v>1.51723837976045</v>
      </c>
      <c r="J693" s="17" t="n">
        <f aca="false">F693+E693*D693/(1-C693)</f>
        <v>5.72003815239697</v>
      </c>
      <c r="K693" s="15" t="n">
        <f aca="false">F693-G693+E693*D693*I693</f>
        <v>5.29317915823914</v>
      </c>
      <c r="L693" s="17" t="n">
        <f aca="false">'3. The decision'!$B$8*'3. The decision'!$B$5/J693</f>
        <v>82.104347468941</v>
      </c>
      <c r="M693" s="31" t="n">
        <f aca="false">L693*'3. The decision'!$B$6*'3. The decision'!$B$7*K693</f>
        <v>833559.72631609</v>
      </c>
      <c r="N693" s="31" t="n">
        <f aca="false">M693*(1+'3. The decision'!$B$19+'3. The decision'!$B$20+'3. The decision'!$B$22)</f>
        <v>921917.057305595</v>
      </c>
      <c r="O693" s="31" t="n">
        <f aca="false">'3. The decision'!$B$17+'3. The decision'!$B$18*L693*12+M693*('3. The decision'!$B$20*(1-'3. The decision'!$B$21)+'3. The decision'!$B$23)+N693*('3. The decision'!$B$24+'3. The decision'!$B$25)</f>
        <v>641987.860120565</v>
      </c>
      <c r="P693" s="31" t="n">
        <f aca="false">N693-O693</f>
        <v>279929.19718503</v>
      </c>
    </row>
    <row r="694" customFormat="false" ht="15" hidden="false" customHeight="false" outlineLevel="0" collapsed="false">
      <c r="A694" s="27" t="n">
        <f aca="false">111*0.0025</f>
        <v>0.2775</v>
      </c>
      <c r="B694" s="27" t="n">
        <f aca="false">IF(A694&gt;0,MIN('3. The decision'!$B$15,'3. The decision'!$B$29*(A694/'3. The decision'!$B$28)^$B$580),0)</f>
        <v>0.75</v>
      </c>
      <c r="C694" s="15" t="n">
        <f aca="false">(1-'3. The decision'!$B$27-B694)*(1-'3. The decision'!$B$27)^('3. The decision'!$B$12-1)</f>
        <v>0.130079146898265</v>
      </c>
      <c r="D694" s="15" t="n">
        <f aca="false">1+(1-'3. The decision'!$B$27-B694)*(1-(1-'3. The decision'!$B$27)^('3. The decision'!$B$12-1))/'3. The decision'!$B$27</f>
        <v>1.80332109927421</v>
      </c>
      <c r="E694" s="15" t="n">
        <f aca="false">(1-'3. The decision'!$B$14)*(1-'3. The decision'!$B$27)^('3. The decision'!$B$11-1)</f>
        <v>0.690273454655712</v>
      </c>
      <c r="F694" s="15" t="n">
        <f aca="false">1+(1-'3. The decision'!$B$14)*(1-(1-'3. The decision'!$B$27)^('3. The decision'!$B$11-1))/'3. The decision'!$B$27</f>
        <v>4.28912098262087</v>
      </c>
      <c r="G694" s="15" t="n">
        <f aca="false">(1-(1-'3. The decision'!$B$9*MIN(1,('3. The decision'!$B$10/(52/12)))))+(1-(1-'3. The decision'!$B$9*MAX(0,MIN(1,('3. The decision'!$B$10/(52/12))-1))))*(1-'3. The decision'!$B$14)+(1-(1-'3. The decision'!$B$9*MAX(0,MIN(1,('3. The decision'!$B$10/(52/12))-2))))*(1-'3. The decision'!$B$14)*(1-'3. The decision'!$B$27)</f>
        <v>0.884576923076923</v>
      </c>
      <c r="H694" s="15" t="n">
        <f aca="false">IF(A694&lt;=0,0,MAX(0,ROUNDUP(LN('3. The decision'!$B$13)/LN(1+A694)-0.000000000001,0)-1))</f>
        <v>1</v>
      </c>
      <c r="I694" s="15" t="n">
        <f aca="false">IF(A694&lt;=0,1/(1-C694),(1+A694)*(1-(C694*(1+A694))^H694)/(1-C694*(1+A694))+'3. The decision'!$B$13*C694^H694/(1-C694))</f>
        <v>1.51973837976045</v>
      </c>
      <c r="J694" s="17" t="n">
        <f aca="false">F694+E694*D694/(1-C694)</f>
        <v>5.72003815239697</v>
      </c>
      <c r="K694" s="15" t="n">
        <f aca="false">F694-G694+E694*D694*I694</f>
        <v>5.29629111995176</v>
      </c>
      <c r="L694" s="17" t="n">
        <f aca="false">'3. The decision'!$B$8*'3. The decision'!$B$5/J694</f>
        <v>82.104347468941</v>
      </c>
      <c r="M694" s="31" t="n">
        <f aca="false">L694*'3. The decision'!$B$6*'3. The decision'!$B$7*K694</f>
        <v>834049.792092428</v>
      </c>
      <c r="N694" s="31" t="n">
        <f aca="false">M694*(1+'3. The decision'!$B$19+'3. The decision'!$B$20+'3. The decision'!$B$22)</f>
        <v>922459.070054226</v>
      </c>
      <c r="O694" s="31" t="n">
        <f aca="false">'3. The decision'!$B$17+'3. The decision'!$B$18*L694*12+M694*('3. The decision'!$B$20*(1-'3. The decision'!$B$21)+'3. The decision'!$B$23)+N694*('3. The decision'!$B$24+'3. The decision'!$B$25)</f>
        <v>642040.604429875</v>
      </c>
      <c r="P694" s="31" t="n">
        <f aca="false">N694-O694</f>
        <v>280418.46562435</v>
      </c>
    </row>
    <row r="695" customFormat="false" ht="15" hidden="false" customHeight="false" outlineLevel="0" collapsed="false">
      <c r="A695" s="27" t="n">
        <f aca="false">112*0.0025</f>
        <v>0.28</v>
      </c>
      <c r="B695" s="27" t="n">
        <f aca="false">IF(A695&gt;0,MIN('3. The decision'!$B$15,'3. The decision'!$B$29*(A695/'3. The decision'!$B$28)^$B$580),0)</f>
        <v>0.75</v>
      </c>
      <c r="C695" s="15" t="n">
        <f aca="false">(1-'3. The decision'!$B$27-B695)*(1-'3. The decision'!$B$27)^('3. The decision'!$B$12-1)</f>
        <v>0.130079146898265</v>
      </c>
      <c r="D695" s="15" t="n">
        <f aca="false">1+(1-'3. The decision'!$B$27-B695)*(1-(1-'3. The decision'!$B$27)^('3. The decision'!$B$12-1))/'3. The decision'!$B$27</f>
        <v>1.80332109927421</v>
      </c>
      <c r="E695" s="15" t="n">
        <f aca="false">(1-'3. The decision'!$B$14)*(1-'3. The decision'!$B$27)^('3. The decision'!$B$11-1)</f>
        <v>0.690273454655712</v>
      </c>
      <c r="F695" s="15" t="n">
        <f aca="false">1+(1-'3. The decision'!$B$14)*(1-(1-'3. The decision'!$B$27)^('3. The decision'!$B$11-1))/'3. The decision'!$B$27</f>
        <v>4.28912098262087</v>
      </c>
      <c r="G695" s="15" t="n">
        <f aca="false">(1-(1-'3. The decision'!$B$9*MIN(1,('3. The decision'!$B$10/(52/12)))))+(1-(1-'3. The decision'!$B$9*MAX(0,MIN(1,('3. The decision'!$B$10/(52/12))-1))))*(1-'3. The decision'!$B$14)+(1-(1-'3. The decision'!$B$9*MAX(0,MIN(1,('3. The decision'!$B$10/(52/12))-2))))*(1-'3. The decision'!$B$14)*(1-'3. The decision'!$B$27)</f>
        <v>0.884576923076923</v>
      </c>
      <c r="H695" s="15" t="n">
        <f aca="false">IF(A695&lt;=0,0,MAX(0,ROUNDUP(LN('3. The decision'!$B$13)/LN(1+A695)-0.000000000001,0)-1))</f>
        <v>1</v>
      </c>
      <c r="I695" s="15" t="n">
        <f aca="false">IF(A695&lt;=0,1/(1-C695),(1+A695)*(1-(C695*(1+A695))^H695)/(1-C695*(1+A695))+'3. The decision'!$B$13*C695^H695/(1-C695))</f>
        <v>1.52223837976045</v>
      </c>
      <c r="J695" s="17" t="n">
        <f aca="false">F695+E695*D695/(1-C695)</f>
        <v>5.72003815239697</v>
      </c>
      <c r="K695" s="15" t="n">
        <f aca="false">F695-G695+E695*D695*I695</f>
        <v>5.29940308166438</v>
      </c>
      <c r="L695" s="17" t="n">
        <f aca="false">'3. The decision'!$B$8*'3. The decision'!$B$5/J695</f>
        <v>82.104347468941</v>
      </c>
      <c r="M695" s="31" t="n">
        <f aca="false">L695*'3. The decision'!$B$6*'3. The decision'!$B$7*K695</f>
        <v>834539.857868767</v>
      </c>
      <c r="N695" s="31" t="n">
        <f aca="false">M695*(1+'3. The decision'!$B$19+'3. The decision'!$B$20+'3. The decision'!$B$22)</f>
        <v>923001.082802856</v>
      </c>
      <c r="O695" s="31" t="n">
        <f aca="false">'3. The decision'!$B$17+'3. The decision'!$B$18*L695*12+M695*('3. The decision'!$B$20*(1-'3. The decision'!$B$21)+'3. The decision'!$B$23)+N695*('3. The decision'!$B$24+'3. The decision'!$B$25)</f>
        <v>642093.348739185</v>
      </c>
      <c r="P695" s="31" t="n">
        <f aca="false">N695-O695</f>
        <v>280907.734063671</v>
      </c>
    </row>
    <row r="696" customFormat="false" ht="15" hidden="false" customHeight="false" outlineLevel="0" collapsed="false">
      <c r="A696" s="27" t="n">
        <f aca="false">113*0.0025</f>
        <v>0.2825</v>
      </c>
      <c r="B696" s="27" t="n">
        <f aca="false">IF(A696&gt;0,MIN('3. The decision'!$B$15,'3. The decision'!$B$29*(A696/'3. The decision'!$B$28)^$B$580),0)</f>
        <v>0.75</v>
      </c>
      <c r="C696" s="15" t="n">
        <f aca="false">(1-'3. The decision'!$B$27-B696)*(1-'3. The decision'!$B$27)^('3. The decision'!$B$12-1)</f>
        <v>0.130079146898265</v>
      </c>
      <c r="D696" s="15" t="n">
        <f aca="false">1+(1-'3. The decision'!$B$27-B696)*(1-(1-'3. The decision'!$B$27)^('3. The decision'!$B$12-1))/'3. The decision'!$B$27</f>
        <v>1.80332109927421</v>
      </c>
      <c r="E696" s="15" t="n">
        <f aca="false">(1-'3. The decision'!$B$14)*(1-'3. The decision'!$B$27)^('3. The decision'!$B$11-1)</f>
        <v>0.690273454655712</v>
      </c>
      <c r="F696" s="15" t="n">
        <f aca="false">1+(1-'3. The decision'!$B$14)*(1-(1-'3. The decision'!$B$27)^('3. The decision'!$B$11-1))/'3. The decision'!$B$27</f>
        <v>4.28912098262087</v>
      </c>
      <c r="G696" s="15" t="n">
        <f aca="false">(1-(1-'3. The decision'!$B$9*MIN(1,('3. The decision'!$B$10/(52/12)))))+(1-(1-'3. The decision'!$B$9*MAX(0,MIN(1,('3. The decision'!$B$10/(52/12))-1))))*(1-'3. The decision'!$B$14)+(1-(1-'3. The decision'!$B$9*MAX(0,MIN(1,('3. The decision'!$B$10/(52/12))-2))))*(1-'3. The decision'!$B$14)*(1-'3. The decision'!$B$27)</f>
        <v>0.884576923076923</v>
      </c>
      <c r="H696" s="15" t="n">
        <f aca="false">IF(A696&lt;=0,0,MAX(0,ROUNDUP(LN('3. The decision'!$B$13)/LN(1+A696)-0.000000000001,0)-1))</f>
        <v>1</v>
      </c>
      <c r="I696" s="15" t="n">
        <f aca="false">IF(A696&lt;=0,1/(1-C696),(1+A696)*(1-(C696*(1+A696))^H696)/(1-C696*(1+A696))+'3. The decision'!$B$13*C696^H696/(1-C696))</f>
        <v>1.52473837976045</v>
      </c>
      <c r="J696" s="17" t="n">
        <f aca="false">F696+E696*D696/(1-C696)</f>
        <v>5.72003815239697</v>
      </c>
      <c r="K696" s="15" t="n">
        <f aca="false">F696-G696+E696*D696*I696</f>
        <v>5.30251504337701</v>
      </c>
      <c r="L696" s="17" t="n">
        <f aca="false">'3. The decision'!$B$8*'3. The decision'!$B$5/J696</f>
        <v>82.104347468941</v>
      </c>
      <c r="M696" s="31" t="n">
        <f aca="false">L696*'3. The decision'!$B$6*'3. The decision'!$B$7*K696</f>
        <v>835029.923645105</v>
      </c>
      <c r="N696" s="31" t="n">
        <f aca="false">M696*(1+'3. The decision'!$B$19+'3. The decision'!$B$20+'3. The decision'!$B$22)</f>
        <v>923543.095551486</v>
      </c>
      <c r="O696" s="31" t="n">
        <f aca="false">'3. The decision'!$B$17+'3. The decision'!$B$18*L696*12+M696*('3. The decision'!$B$20*(1-'3. The decision'!$B$21)+'3. The decision'!$B$23)+N696*('3. The decision'!$B$24+'3. The decision'!$B$25)</f>
        <v>642146.093048495</v>
      </c>
      <c r="P696" s="31" t="n">
        <f aca="false">N696-O696</f>
        <v>281397.002502991</v>
      </c>
    </row>
    <row r="697" customFormat="false" ht="15" hidden="false" customHeight="false" outlineLevel="0" collapsed="false">
      <c r="A697" s="27" t="n">
        <f aca="false">114*0.0025</f>
        <v>0.285</v>
      </c>
      <c r="B697" s="27" t="n">
        <f aca="false">IF(A697&gt;0,MIN('3. The decision'!$B$15,'3. The decision'!$B$29*(A697/'3. The decision'!$B$28)^$B$580),0)</f>
        <v>0.75</v>
      </c>
      <c r="C697" s="15" t="n">
        <f aca="false">(1-'3. The decision'!$B$27-B697)*(1-'3. The decision'!$B$27)^('3. The decision'!$B$12-1)</f>
        <v>0.130079146898265</v>
      </c>
      <c r="D697" s="15" t="n">
        <f aca="false">1+(1-'3. The decision'!$B$27-B697)*(1-(1-'3. The decision'!$B$27)^('3. The decision'!$B$12-1))/'3. The decision'!$B$27</f>
        <v>1.80332109927421</v>
      </c>
      <c r="E697" s="15" t="n">
        <f aca="false">(1-'3. The decision'!$B$14)*(1-'3. The decision'!$B$27)^('3. The decision'!$B$11-1)</f>
        <v>0.690273454655712</v>
      </c>
      <c r="F697" s="15" t="n">
        <f aca="false">1+(1-'3. The decision'!$B$14)*(1-(1-'3. The decision'!$B$27)^('3. The decision'!$B$11-1))/'3. The decision'!$B$27</f>
        <v>4.28912098262087</v>
      </c>
      <c r="G697" s="15" t="n">
        <f aca="false">(1-(1-'3. The decision'!$B$9*MIN(1,('3. The decision'!$B$10/(52/12)))))+(1-(1-'3. The decision'!$B$9*MAX(0,MIN(1,('3. The decision'!$B$10/(52/12))-1))))*(1-'3. The decision'!$B$14)+(1-(1-'3. The decision'!$B$9*MAX(0,MIN(1,('3. The decision'!$B$10/(52/12))-2))))*(1-'3. The decision'!$B$14)*(1-'3. The decision'!$B$27)</f>
        <v>0.884576923076923</v>
      </c>
      <c r="H697" s="15" t="n">
        <f aca="false">IF(A697&lt;=0,0,MAX(0,ROUNDUP(LN('3. The decision'!$B$13)/LN(1+A697)-0.000000000001,0)-1))</f>
        <v>1</v>
      </c>
      <c r="I697" s="15" t="n">
        <f aca="false">IF(A697&lt;=0,1/(1-C697),(1+A697)*(1-(C697*(1+A697))^H697)/(1-C697*(1+A697))+'3. The decision'!$B$13*C697^H697/(1-C697))</f>
        <v>1.52723837976045</v>
      </c>
      <c r="J697" s="17" t="n">
        <f aca="false">F697+E697*D697/(1-C697)</f>
        <v>5.72003815239697</v>
      </c>
      <c r="K697" s="15" t="n">
        <f aca="false">F697-G697+E697*D697*I697</f>
        <v>5.30562700508963</v>
      </c>
      <c r="L697" s="17" t="n">
        <f aca="false">'3. The decision'!$B$8*'3. The decision'!$B$5/J697</f>
        <v>82.104347468941</v>
      </c>
      <c r="M697" s="31" t="n">
        <f aca="false">L697*'3. The decision'!$B$6*'3. The decision'!$B$7*K697</f>
        <v>835519.989421444</v>
      </c>
      <c r="N697" s="31" t="n">
        <f aca="false">M697*(1+'3. The decision'!$B$19+'3. The decision'!$B$20+'3. The decision'!$B$22)</f>
        <v>924085.108300117</v>
      </c>
      <c r="O697" s="31" t="n">
        <f aca="false">'3. The decision'!$B$17+'3. The decision'!$B$18*L697*12+M697*('3. The decision'!$B$20*(1-'3. The decision'!$B$21)+'3. The decision'!$B$23)+N697*('3. The decision'!$B$24+'3. The decision'!$B$25)</f>
        <v>642198.837357805</v>
      </c>
      <c r="P697" s="31" t="n">
        <f aca="false">N697-O697</f>
        <v>281886.270942311</v>
      </c>
    </row>
    <row r="698" customFormat="false" ht="15" hidden="false" customHeight="false" outlineLevel="0" collapsed="false">
      <c r="A698" s="27" t="n">
        <f aca="false">115*0.0025</f>
        <v>0.2875</v>
      </c>
      <c r="B698" s="27" t="n">
        <f aca="false">IF(A698&gt;0,MIN('3. The decision'!$B$15,'3. The decision'!$B$29*(A698/'3. The decision'!$B$28)^$B$580),0)</f>
        <v>0.75</v>
      </c>
      <c r="C698" s="15" t="n">
        <f aca="false">(1-'3. The decision'!$B$27-B698)*(1-'3. The decision'!$B$27)^('3. The decision'!$B$12-1)</f>
        <v>0.130079146898265</v>
      </c>
      <c r="D698" s="15" t="n">
        <f aca="false">1+(1-'3. The decision'!$B$27-B698)*(1-(1-'3. The decision'!$B$27)^('3. The decision'!$B$12-1))/'3. The decision'!$B$27</f>
        <v>1.80332109927421</v>
      </c>
      <c r="E698" s="15" t="n">
        <f aca="false">(1-'3. The decision'!$B$14)*(1-'3. The decision'!$B$27)^('3. The decision'!$B$11-1)</f>
        <v>0.690273454655712</v>
      </c>
      <c r="F698" s="15" t="n">
        <f aca="false">1+(1-'3. The decision'!$B$14)*(1-(1-'3. The decision'!$B$27)^('3. The decision'!$B$11-1))/'3. The decision'!$B$27</f>
        <v>4.28912098262087</v>
      </c>
      <c r="G698" s="15" t="n">
        <f aca="false">(1-(1-'3. The decision'!$B$9*MIN(1,('3. The decision'!$B$10/(52/12)))))+(1-(1-'3. The decision'!$B$9*MAX(0,MIN(1,('3. The decision'!$B$10/(52/12))-1))))*(1-'3. The decision'!$B$14)+(1-(1-'3. The decision'!$B$9*MAX(0,MIN(1,('3. The decision'!$B$10/(52/12))-2))))*(1-'3. The decision'!$B$14)*(1-'3. The decision'!$B$27)</f>
        <v>0.884576923076923</v>
      </c>
      <c r="H698" s="15" t="n">
        <f aca="false">IF(A698&lt;=0,0,MAX(0,ROUNDUP(LN('3. The decision'!$B$13)/LN(1+A698)-0.000000000001,0)-1))</f>
        <v>1</v>
      </c>
      <c r="I698" s="15" t="n">
        <f aca="false">IF(A698&lt;=0,1/(1-C698),(1+A698)*(1-(C698*(1+A698))^H698)/(1-C698*(1+A698))+'3. The decision'!$B$13*C698^H698/(1-C698))</f>
        <v>1.52973837976045</v>
      </c>
      <c r="J698" s="17" t="n">
        <f aca="false">F698+E698*D698/(1-C698)</f>
        <v>5.72003815239697</v>
      </c>
      <c r="K698" s="15" t="n">
        <f aca="false">F698-G698+E698*D698*I698</f>
        <v>5.30873896680226</v>
      </c>
      <c r="L698" s="17" t="n">
        <f aca="false">'3. The decision'!$B$8*'3. The decision'!$B$5/J698</f>
        <v>82.104347468941</v>
      </c>
      <c r="M698" s="31" t="n">
        <f aca="false">L698*'3. The decision'!$B$6*'3. The decision'!$B$7*K698</f>
        <v>836010.055197782</v>
      </c>
      <c r="N698" s="31" t="n">
        <f aca="false">M698*(1+'3. The decision'!$B$19+'3. The decision'!$B$20+'3. The decision'!$B$22)</f>
        <v>924627.121048747</v>
      </c>
      <c r="O698" s="31" t="n">
        <f aca="false">'3. The decision'!$B$17+'3. The decision'!$B$18*L698*12+M698*('3. The decision'!$B$20*(1-'3. The decision'!$B$21)+'3. The decision'!$B$23)+N698*('3. The decision'!$B$24+'3. The decision'!$B$25)</f>
        <v>642251.581667115</v>
      </c>
      <c r="P698" s="31" t="n">
        <f aca="false">N698-O698</f>
        <v>282375.539381632</v>
      </c>
    </row>
    <row r="699" customFormat="false" ht="15" hidden="false" customHeight="false" outlineLevel="0" collapsed="false">
      <c r="A699" s="27" t="n">
        <f aca="false">116*0.0025</f>
        <v>0.29</v>
      </c>
      <c r="B699" s="27" t="n">
        <f aca="false">IF(A699&gt;0,MIN('3. The decision'!$B$15,'3. The decision'!$B$29*(A699/'3. The decision'!$B$28)^$B$580),0)</f>
        <v>0.75</v>
      </c>
      <c r="C699" s="15" t="n">
        <f aca="false">(1-'3. The decision'!$B$27-B699)*(1-'3. The decision'!$B$27)^('3. The decision'!$B$12-1)</f>
        <v>0.130079146898265</v>
      </c>
      <c r="D699" s="15" t="n">
        <f aca="false">1+(1-'3. The decision'!$B$27-B699)*(1-(1-'3. The decision'!$B$27)^('3. The decision'!$B$12-1))/'3. The decision'!$B$27</f>
        <v>1.80332109927421</v>
      </c>
      <c r="E699" s="15" t="n">
        <f aca="false">(1-'3. The decision'!$B$14)*(1-'3. The decision'!$B$27)^('3. The decision'!$B$11-1)</f>
        <v>0.690273454655712</v>
      </c>
      <c r="F699" s="15" t="n">
        <f aca="false">1+(1-'3. The decision'!$B$14)*(1-(1-'3. The decision'!$B$27)^('3. The decision'!$B$11-1))/'3. The decision'!$B$27</f>
        <v>4.28912098262087</v>
      </c>
      <c r="G699" s="15" t="n">
        <f aca="false">(1-(1-'3. The decision'!$B$9*MIN(1,('3. The decision'!$B$10/(52/12)))))+(1-(1-'3. The decision'!$B$9*MAX(0,MIN(1,('3. The decision'!$B$10/(52/12))-1))))*(1-'3. The decision'!$B$14)+(1-(1-'3. The decision'!$B$9*MAX(0,MIN(1,('3. The decision'!$B$10/(52/12))-2))))*(1-'3. The decision'!$B$14)*(1-'3. The decision'!$B$27)</f>
        <v>0.884576923076923</v>
      </c>
      <c r="H699" s="15" t="n">
        <f aca="false">IF(A699&lt;=0,0,MAX(0,ROUNDUP(LN('3. The decision'!$B$13)/LN(1+A699)-0.000000000001,0)-1))</f>
        <v>1</v>
      </c>
      <c r="I699" s="15" t="n">
        <f aca="false">IF(A699&lt;=0,1/(1-C699),(1+A699)*(1-(C699*(1+A699))^H699)/(1-C699*(1+A699))+'3. The decision'!$B$13*C699^H699/(1-C699))</f>
        <v>1.53223837976045</v>
      </c>
      <c r="J699" s="17" t="n">
        <f aca="false">F699+E699*D699/(1-C699)</f>
        <v>5.72003815239697</v>
      </c>
      <c r="K699" s="15" t="n">
        <f aca="false">F699-G699+E699*D699*I699</f>
        <v>5.31185092851488</v>
      </c>
      <c r="L699" s="17" t="n">
        <f aca="false">'3. The decision'!$B$8*'3. The decision'!$B$5/J699</f>
        <v>82.104347468941</v>
      </c>
      <c r="M699" s="31" t="n">
        <f aca="false">L699*'3. The decision'!$B$6*'3. The decision'!$B$7*K699</f>
        <v>836500.120974121</v>
      </c>
      <c r="N699" s="31" t="n">
        <f aca="false">M699*(1+'3. The decision'!$B$19+'3. The decision'!$B$20+'3. The decision'!$B$22)</f>
        <v>925169.133797377</v>
      </c>
      <c r="O699" s="31" t="n">
        <f aca="false">'3. The decision'!$B$17+'3. The decision'!$B$18*L699*12+M699*('3. The decision'!$B$20*(1-'3. The decision'!$B$21)+'3. The decision'!$B$23)+N699*('3. The decision'!$B$24+'3. The decision'!$B$25)</f>
        <v>642304.325976425</v>
      </c>
      <c r="P699" s="31" t="n">
        <f aca="false">N699-O699</f>
        <v>282864.807820952</v>
      </c>
    </row>
    <row r="700" customFormat="false" ht="15" hidden="false" customHeight="false" outlineLevel="0" collapsed="false">
      <c r="A700" s="27" t="n">
        <f aca="false">117*0.0025</f>
        <v>0.2925</v>
      </c>
      <c r="B700" s="27" t="n">
        <f aca="false">IF(A700&gt;0,MIN('3. The decision'!$B$15,'3. The decision'!$B$29*(A700/'3. The decision'!$B$28)^$B$580),0)</f>
        <v>0.75</v>
      </c>
      <c r="C700" s="15" t="n">
        <f aca="false">(1-'3. The decision'!$B$27-B700)*(1-'3. The decision'!$B$27)^('3. The decision'!$B$12-1)</f>
        <v>0.130079146898265</v>
      </c>
      <c r="D700" s="15" t="n">
        <f aca="false">1+(1-'3. The decision'!$B$27-B700)*(1-(1-'3. The decision'!$B$27)^('3. The decision'!$B$12-1))/'3. The decision'!$B$27</f>
        <v>1.80332109927421</v>
      </c>
      <c r="E700" s="15" t="n">
        <f aca="false">(1-'3. The decision'!$B$14)*(1-'3. The decision'!$B$27)^('3. The decision'!$B$11-1)</f>
        <v>0.690273454655712</v>
      </c>
      <c r="F700" s="15" t="n">
        <f aca="false">1+(1-'3. The decision'!$B$14)*(1-(1-'3. The decision'!$B$27)^('3. The decision'!$B$11-1))/'3. The decision'!$B$27</f>
        <v>4.28912098262087</v>
      </c>
      <c r="G700" s="15" t="n">
        <f aca="false">(1-(1-'3. The decision'!$B$9*MIN(1,('3. The decision'!$B$10/(52/12)))))+(1-(1-'3. The decision'!$B$9*MAX(0,MIN(1,('3. The decision'!$B$10/(52/12))-1))))*(1-'3. The decision'!$B$14)+(1-(1-'3. The decision'!$B$9*MAX(0,MIN(1,('3. The decision'!$B$10/(52/12))-2))))*(1-'3. The decision'!$B$14)*(1-'3. The decision'!$B$27)</f>
        <v>0.884576923076923</v>
      </c>
      <c r="H700" s="15" t="n">
        <f aca="false">IF(A700&lt;=0,0,MAX(0,ROUNDUP(LN('3. The decision'!$B$13)/LN(1+A700)-0.000000000001,0)-1))</f>
        <v>1</v>
      </c>
      <c r="I700" s="15" t="n">
        <f aca="false">IF(A700&lt;=0,1/(1-C700),(1+A700)*(1-(C700*(1+A700))^H700)/(1-C700*(1+A700))+'3. The decision'!$B$13*C700^H700/(1-C700))</f>
        <v>1.53473837976045</v>
      </c>
      <c r="J700" s="17" t="n">
        <f aca="false">F700+E700*D700/(1-C700)</f>
        <v>5.72003815239697</v>
      </c>
      <c r="K700" s="15" t="n">
        <f aca="false">F700-G700+E700*D700*I700</f>
        <v>5.3149628902275</v>
      </c>
      <c r="L700" s="17" t="n">
        <f aca="false">'3. The decision'!$B$8*'3. The decision'!$B$5/J700</f>
        <v>82.104347468941</v>
      </c>
      <c r="M700" s="31" t="n">
        <f aca="false">L700*'3. The decision'!$B$6*'3. The decision'!$B$7*K700</f>
        <v>836990.186750459</v>
      </c>
      <c r="N700" s="31" t="n">
        <f aca="false">M700*(1+'3. The decision'!$B$19+'3. The decision'!$B$20+'3. The decision'!$B$22)</f>
        <v>925711.146546008</v>
      </c>
      <c r="O700" s="31" t="n">
        <f aca="false">'3. The decision'!$B$17+'3. The decision'!$B$18*L700*12+M700*('3. The decision'!$B$20*(1-'3. The decision'!$B$21)+'3. The decision'!$B$23)+N700*('3. The decision'!$B$24+'3. The decision'!$B$25)</f>
        <v>642357.070285735</v>
      </c>
      <c r="P700" s="31" t="n">
        <f aca="false">N700-O700</f>
        <v>283354.076260272</v>
      </c>
    </row>
    <row r="701" customFormat="false" ht="15" hidden="false" customHeight="false" outlineLevel="0" collapsed="false">
      <c r="A701" s="27" t="n">
        <f aca="false">118*0.0025</f>
        <v>0.295</v>
      </c>
      <c r="B701" s="27" t="n">
        <f aca="false">IF(A701&gt;0,MIN('3. The decision'!$B$15,'3. The decision'!$B$29*(A701/'3. The decision'!$B$28)^$B$580),0)</f>
        <v>0.75</v>
      </c>
      <c r="C701" s="15" t="n">
        <f aca="false">(1-'3. The decision'!$B$27-B701)*(1-'3. The decision'!$B$27)^('3. The decision'!$B$12-1)</f>
        <v>0.130079146898265</v>
      </c>
      <c r="D701" s="15" t="n">
        <f aca="false">1+(1-'3. The decision'!$B$27-B701)*(1-(1-'3. The decision'!$B$27)^('3. The decision'!$B$12-1))/'3. The decision'!$B$27</f>
        <v>1.80332109927421</v>
      </c>
      <c r="E701" s="15" t="n">
        <f aca="false">(1-'3. The decision'!$B$14)*(1-'3. The decision'!$B$27)^('3. The decision'!$B$11-1)</f>
        <v>0.690273454655712</v>
      </c>
      <c r="F701" s="15" t="n">
        <f aca="false">1+(1-'3. The decision'!$B$14)*(1-(1-'3. The decision'!$B$27)^('3. The decision'!$B$11-1))/'3. The decision'!$B$27</f>
        <v>4.28912098262087</v>
      </c>
      <c r="G701" s="15" t="n">
        <f aca="false">(1-(1-'3. The decision'!$B$9*MIN(1,('3. The decision'!$B$10/(52/12)))))+(1-(1-'3. The decision'!$B$9*MAX(0,MIN(1,('3. The decision'!$B$10/(52/12))-1))))*(1-'3. The decision'!$B$14)+(1-(1-'3. The decision'!$B$9*MAX(0,MIN(1,('3. The decision'!$B$10/(52/12))-2))))*(1-'3. The decision'!$B$14)*(1-'3. The decision'!$B$27)</f>
        <v>0.884576923076923</v>
      </c>
      <c r="H701" s="15" t="n">
        <f aca="false">IF(A701&lt;=0,0,MAX(0,ROUNDUP(LN('3. The decision'!$B$13)/LN(1+A701)-0.000000000001,0)-1))</f>
        <v>1</v>
      </c>
      <c r="I701" s="15" t="n">
        <f aca="false">IF(A701&lt;=0,1/(1-C701),(1+A701)*(1-(C701*(1+A701))^H701)/(1-C701*(1+A701))+'3. The decision'!$B$13*C701^H701/(1-C701))</f>
        <v>1.53723837976045</v>
      </c>
      <c r="J701" s="17" t="n">
        <f aca="false">F701+E701*D701/(1-C701)</f>
        <v>5.72003815239697</v>
      </c>
      <c r="K701" s="15" t="n">
        <f aca="false">F701-G701+E701*D701*I701</f>
        <v>5.31807485194013</v>
      </c>
      <c r="L701" s="17" t="n">
        <f aca="false">'3. The decision'!$B$8*'3. The decision'!$B$5/J701</f>
        <v>82.104347468941</v>
      </c>
      <c r="M701" s="31" t="n">
        <f aca="false">L701*'3. The decision'!$B$6*'3. The decision'!$B$7*K701</f>
        <v>837480.252526798</v>
      </c>
      <c r="N701" s="31" t="n">
        <f aca="false">M701*(1+'3. The decision'!$B$19+'3. The decision'!$B$20+'3. The decision'!$B$22)</f>
        <v>926253.159294638</v>
      </c>
      <c r="O701" s="31" t="n">
        <f aca="false">'3. The decision'!$B$17+'3. The decision'!$B$18*L701*12+M701*('3. The decision'!$B$20*(1-'3. The decision'!$B$21)+'3. The decision'!$B$23)+N701*('3. The decision'!$B$24+'3. The decision'!$B$25)</f>
        <v>642409.814595045</v>
      </c>
      <c r="P701" s="31" t="n">
        <f aca="false">N701-O701</f>
        <v>283843.344699593</v>
      </c>
    </row>
    <row r="702" customFormat="false" ht="15" hidden="false" customHeight="false" outlineLevel="0" collapsed="false">
      <c r="A702" s="27" t="n">
        <f aca="false">119*0.0025</f>
        <v>0.2975</v>
      </c>
      <c r="B702" s="27" t="n">
        <f aca="false">IF(A702&gt;0,MIN('3. The decision'!$B$15,'3. The decision'!$B$29*(A702/'3. The decision'!$B$28)^$B$580),0)</f>
        <v>0.75</v>
      </c>
      <c r="C702" s="15" t="n">
        <f aca="false">(1-'3. The decision'!$B$27-B702)*(1-'3. The decision'!$B$27)^('3. The decision'!$B$12-1)</f>
        <v>0.130079146898265</v>
      </c>
      <c r="D702" s="15" t="n">
        <f aca="false">1+(1-'3. The decision'!$B$27-B702)*(1-(1-'3. The decision'!$B$27)^('3. The decision'!$B$12-1))/'3. The decision'!$B$27</f>
        <v>1.80332109927421</v>
      </c>
      <c r="E702" s="15" t="n">
        <f aca="false">(1-'3. The decision'!$B$14)*(1-'3. The decision'!$B$27)^('3. The decision'!$B$11-1)</f>
        <v>0.690273454655712</v>
      </c>
      <c r="F702" s="15" t="n">
        <f aca="false">1+(1-'3. The decision'!$B$14)*(1-(1-'3. The decision'!$B$27)^('3. The decision'!$B$11-1))/'3. The decision'!$B$27</f>
        <v>4.28912098262087</v>
      </c>
      <c r="G702" s="15" t="n">
        <f aca="false">(1-(1-'3. The decision'!$B$9*MIN(1,('3. The decision'!$B$10/(52/12)))))+(1-(1-'3. The decision'!$B$9*MAX(0,MIN(1,('3. The decision'!$B$10/(52/12))-1))))*(1-'3. The decision'!$B$14)+(1-(1-'3. The decision'!$B$9*MAX(0,MIN(1,('3. The decision'!$B$10/(52/12))-2))))*(1-'3. The decision'!$B$14)*(1-'3. The decision'!$B$27)</f>
        <v>0.884576923076923</v>
      </c>
      <c r="H702" s="15" t="n">
        <f aca="false">IF(A702&lt;=0,0,MAX(0,ROUNDUP(LN('3. The decision'!$B$13)/LN(1+A702)-0.000000000001,0)-1))</f>
        <v>1</v>
      </c>
      <c r="I702" s="15" t="n">
        <f aca="false">IF(A702&lt;=0,1/(1-C702),(1+A702)*(1-(C702*(1+A702))^H702)/(1-C702*(1+A702))+'3. The decision'!$B$13*C702^H702/(1-C702))</f>
        <v>1.53973837976045</v>
      </c>
      <c r="J702" s="17" t="n">
        <f aca="false">F702+E702*D702/(1-C702)</f>
        <v>5.72003815239697</v>
      </c>
      <c r="K702" s="15" t="n">
        <f aca="false">F702-G702+E702*D702*I702</f>
        <v>5.32118681365275</v>
      </c>
      <c r="L702" s="17" t="n">
        <f aca="false">'3. The decision'!$B$8*'3. The decision'!$B$5/J702</f>
        <v>82.104347468941</v>
      </c>
      <c r="M702" s="31" t="n">
        <f aca="false">L702*'3. The decision'!$B$6*'3. The decision'!$B$7*K702</f>
        <v>837970.318303136</v>
      </c>
      <c r="N702" s="31" t="n">
        <f aca="false">M702*(1+'3. The decision'!$B$19+'3. The decision'!$B$20+'3. The decision'!$B$22)</f>
        <v>926795.172043268</v>
      </c>
      <c r="O702" s="31" t="n">
        <f aca="false">'3. The decision'!$B$17+'3. The decision'!$B$18*L702*12+M702*('3. The decision'!$B$20*(1-'3. The decision'!$B$21)+'3. The decision'!$B$23)+N702*('3. The decision'!$B$24+'3. The decision'!$B$25)</f>
        <v>642462.558904355</v>
      </c>
      <c r="P702" s="31" t="n">
        <f aca="false">N702-O702</f>
        <v>284332.613138913</v>
      </c>
    </row>
    <row r="703" customFormat="false" ht="15" hidden="false" customHeight="false" outlineLevel="0" collapsed="false">
      <c r="A703" s="27" t="n">
        <f aca="false">120*0.0025</f>
        <v>0.3</v>
      </c>
      <c r="B703" s="27" t="n">
        <f aca="false">IF(A703&gt;0,MIN('3. The decision'!$B$15,'3. The decision'!$B$29*(A703/'3. The decision'!$B$28)^$B$580),0)</f>
        <v>0.75</v>
      </c>
      <c r="C703" s="15" t="n">
        <f aca="false">(1-'3. The decision'!$B$27-B703)*(1-'3. The decision'!$B$27)^('3. The decision'!$B$12-1)</f>
        <v>0.130079146898265</v>
      </c>
      <c r="D703" s="15" t="n">
        <f aca="false">1+(1-'3. The decision'!$B$27-B703)*(1-(1-'3. The decision'!$B$27)^('3. The decision'!$B$12-1))/'3. The decision'!$B$27</f>
        <v>1.80332109927421</v>
      </c>
      <c r="E703" s="15" t="n">
        <f aca="false">(1-'3. The decision'!$B$14)*(1-'3. The decision'!$B$27)^('3. The decision'!$B$11-1)</f>
        <v>0.690273454655712</v>
      </c>
      <c r="F703" s="15" t="n">
        <f aca="false">1+(1-'3. The decision'!$B$14)*(1-(1-'3. The decision'!$B$27)^('3. The decision'!$B$11-1))/'3. The decision'!$B$27</f>
        <v>4.28912098262087</v>
      </c>
      <c r="G703" s="15" t="n">
        <f aca="false">(1-(1-'3. The decision'!$B$9*MIN(1,('3. The decision'!$B$10/(52/12)))))+(1-(1-'3. The decision'!$B$9*MAX(0,MIN(1,('3. The decision'!$B$10/(52/12))-1))))*(1-'3. The decision'!$B$14)+(1-(1-'3. The decision'!$B$9*MAX(0,MIN(1,('3. The decision'!$B$10/(52/12))-2))))*(1-'3. The decision'!$B$14)*(1-'3. The decision'!$B$27)</f>
        <v>0.884576923076923</v>
      </c>
      <c r="H703" s="15" t="n">
        <f aca="false">IF(A703&lt;=0,0,MAX(0,ROUNDUP(LN('3. The decision'!$B$13)/LN(1+A703)-0.000000000001,0)-1))</f>
        <v>1</v>
      </c>
      <c r="I703" s="15" t="n">
        <f aca="false">IF(A703&lt;=0,1/(1-C703),(1+A703)*(1-(C703*(1+A703))^H703)/(1-C703*(1+A703))+'3. The decision'!$B$13*C703^H703/(1-C703))</f>
        <v>1.54223837976045</v>
      </c>
      <c r="J703" s="17" t="n">
        <f aca="false">F703+E703*D703/(1-C703)</f>
        <v>5.72003815239697</v>
      </c>
      <c r="K703" s="15" t="n">
        <f aca="false">F703-G703+E703*D703*I703</f>
        <v>5.32429877536537</v>
      </c>
      <c r="L703" s="17" t="n">
        <f aca="false">'3. The decision'!$B$8*'3. The decision'!$B$5/J703</f>
        <v>82.104347468941</v>
      </c>
      <c r="M703" s="31" t="n">
        <f aca="false">L703*'3. The decision'!$B$6*'3. The decision'!$B$7*K703</f>
        <v>838460.384079474</v>
      </c>
      <c r="N703" s="31" t="n">
        <f aca="false">M703*(1+'3. The decision'!$B$19+'3. The decision'!$B$20+'3. The decision'!$B$22)</f>
        <v>927337.184791899</v>
      </c>
      <c r="O703" s="31" t="n">
        <f aca="false">'3. The decision'!$B$17+'3. The decision'!$B$18*L703*12+M703*('3. The decision'!$B$20*(1-'3. The decision'!$B$21)+'3. The decision'!$B$23)+N703*('3. The decision'!$B$24+'3. The decision'!$B$25)</f>
        <v>642515.303213665</v>
      </c>
      <c r="P703" s="31" t="n">
        <f aca="false">N703-O703</f>
        <v>284821.881578233</v>
      </c>
    </row>
    <row r="704" customFormat="false" ht="15" hidden="false" customHeight="false" outlineLevel="0" collapsed="false">
      <c r="A704" s="27" t="n">
        <f aca="false">'3. The decision'!$B$13^(1/1)-1</f>
        <v>0.62</v>
      </c>
      <c r="B704" s="27" t="n">
        <f aca="false">IF(A704&gt;0,MIN('3. The decision'!$B$15,'3. The decision'!$B$29*(A704/'3. The decision'!$B$28)^$B$580),0)</f>
        <v>0.75</v>
      </c>
      <c r="C704" s="15" t="n">
        <f aca="false">(1-'3. The decision'!$B$27-B704)*(1-'3. The decision'!$B$27)^('3. The decision'!$B$12-1)</f>
        <v>0.130079146898265</v>
      </c>
      <c r="D704" s="15" t="n">
        <f aca="false">1+(1-'3. The decision'!$B$27-B704)*(1-(1-'3. The decision'!$B$27)^('3. The decision'!$B$12-1))/'3. The decision'!$B$27</f>
        <v>1.80332109927421</v>
      </c>
      <c r="E704" s="15" t="n">
        <f aca="false">(1-'3. The decision'!$B$14)*(1-'3. The decision'!$B$27)^('3. The decision'!$B$11-1)</f>
        <v>0.690273454655712</v>
      </c>
      <c r="F704" s="15" t="n">
        <f aca="false">1+(1-'3. The decision'!$B$14)*(1-(1-'3. The decision'!$B$27)^('3. The decision'!$B$11-1))/'3. The decision'!$B$27</f>
        <v>4.28912098262087</v>
      </c>
      <c r="G704" s="15" t="n">
        <f aca="false">(1-(1-'3. The decision'!$B$9*MIN(1,('3. The decision'!$B$10/(52/12)))))+(1-(1-'3. The decision'!$B$9*MAX(0,MIN(1,('3. The decision'!$B$10/(52/12))-1))))*(1-'3. The decision'!$B$14)+(1-(1-'3. The decision'!$B$9*MAX(0,MIN(1,('3. The decision'!$B$10/(52/12))-2))))*(1-'3. The decision'!$B$14)*(1-'3. The decision'!$B$27)</f>
        <v>0.884576923076923</v>
      </c>
      <c r="H704" s="15" t="n">
        <f aca="false">IF(A704&lt;=0,0,MAX(0,ROUNDUP(LN('3. The decision'!$B$13)/LN(1+A704)-0.000000000001,0)-1))</f>
        <v>0</v>
      </c>
      <c r="I704" s="15" t="n">
        <f aca="false">IF(A704&lt;=0,1/(1-C704),(1+A704)*(1-(C704*(1+A704))^H704)/(1-C704*(1+A704))+'3. The decision'!$B$13*C704^H704/(1-C704))</f>
        <v>1.86223837976045</v>
      </c>
      <c r="J704" s="17" t="n">
        <f aca="false">F704+E704*D704/(1-C704)</f>
        <v>5.72003815239697</v>
      </c>
      <c r="K704" s="15" t="n">
        <f aca="false">F704-G704+E704*D704*I704</f>
        <v>5.72262987458123</v>
      </c>
      <c r="L704" s="17" t="n">
        <f aca="false">'3. The decision'!$B$8*'3. The decision'!$B$5/J704</f>
        <v>82.104347468941</v>
      </c>
      <c r="M704" s="31" t="n">
        <f aca="false">L704*'3. The decision'!$B$6*'3. The decision'!$B$7*K704</f>
        <v>901188.803450794</v>
      </c>
      <c r="N704" s="31" t="n">
        <f aca="false">M704*(1+'3. The decision'!$B$19+'3. The decision'!$B$20+'3. The decision'!$B$22)</f>
        <v>996714.816616578</v>
      </c>
      <c r="O704" s="31" t="n">
        <f aca="false">'3. The decision'!$B$17+'3. The decision'!$B$18*L704*12+M704*('3. The decision'!$B$20*(1-'3. The decision'!$B$21)+'3. The decision'!$B$23)+N704*('3. The decision'!$B$24+'3. The decision'!$B$25)</f>
        <v>649266.574805342</v>
      </c>
      <c r="P704" s="31" t="n">
        <f aca="false">N704-O704</f>
        <v>347448.241811236</v>
      </c>
    </row>
    <row r="705" customFormat="false" ht="15" hidden="false" customHeight="false" outlineLevel="0" collapsed="false">
      <c r="A705" s="27" t="n">
        <f aca="false">'3. The decision'!$B$13^(1/2)-1</f>
        <v>0.272792206135786</v>
      </c>
      <c r="B705" s="27" t="n">
        <f aca="false">IF(A705&gt;0,MIN('3. The decision'!$B$15,'3. The decision'!$B$29*(A705/'3. The decision'!$B$28)^$B$580),0)</f>
        <v>0.75</v>
      </c>
      <c r="C705" s="15" t="n">
        <f aca="false">(1-'3. The decision'!$B$27-B705)*(1-'3. The decision'!$B$27)^('3. The decision'!$B$12-1)</f>
        <v>0.130079146898265</v>
      </c>
      <c r="D705" s="15" t="n">
        <f aca="false">1+(1-'3. The decision'!$B$27-B705)*(1-(1-'3. The decision'!$B$27)^('3. The decision'!$B$12-1))/'3. The decision'!$B$27</f>
        <v>1.80332109927421</v>
      </c>
      <c r="E705" s="15" t="n">
        <f aca="false">(1-'3. The decision'!$B$14)*(1-'3. The decision'!$B$27)^('3. The decision'!$B$11-1)</f>
        <v>0.690273454655712</v>
      </c>
      <c r="F705" s="15" t="n">
        <f aca="false">1+(1-'3. The decision'!$B$14)*(1-(1-'3. The decision'!$B$27)^('3. The decision'!$B$11-1))/'3. The decision'!$B$27</f>
        <v>4.28912098262087</v>
      </c>
      <c r="G705" s="15" t="n">
        <f aca="false">(1-(1-'3. The decision'!$B$9*MIN(1,('3. The decision'!$B$10/(52/12)))))+(1-(1-'3. The decision'!$B$9*MAX(0,MIN(1,('3. The decision'!$B$10/(52/12))-1))))*(1-'3. The decision'!$B$14)+(1-(1-'3. The decision'!$B$9*MAX(0,MIN(1,('3. The decision'!$B$10/(52/12))-2))))*(1-'3. The decision'!$B$14)*(1-'3. The decision'!$B$27)</f>
        <v>0.884576923076923</v>
      </c>
      <c r="H705" s="15" t="n">
        <f aca="false">IF(A705&lt;=0,0,MAX(0,ROUNDUP(LN('3. The decision'!$B$13)/LN(1+A705)-0.000000000001,0)-1))</f>
        <v>1</v>
      </c>
      <c r="I705" s="15" t="n">
        <f aca="false">IF(A705&lt;=0,1/(1-C705),(1+A705)*(1-(C705*(1+A705))^H705)/(1-C705*(1+A705))+'3. The decision'!$B$13*C705^H705/(1-C705))</f>
        <v>1.51503058589623</v>
      </c>
      <c r="J705" s="17" t="n">
        <f aca="false">F705+E705*D705/(1-C705)</f>
        <v>5.72003815239697</v>
      </c>
      <c r="K705" s="15" t="n">
        <f aca="false">F705-G705+E705*D705*I705</f>
        <v>5.29043093024922</v>
      </c>
      <c r="L705" s="17" t="n">
        <f aca="false">'3. The decision'!$B$8*'3. The decision'!$B$5/J705</f>
        <v>82.104347468941</v>
      </c>
      <c r="M705" s="31" t="n">
        <f aca="false">L705*'3. The decision'!$B$6*'3. The decision'!$B$7*K705</f>
        <v>833126.940630465</v>
      </c>
      <c r="N705" s="31" t="n">
        <f aca="false">M705*(1+'3. The decision'!$B$19+'3. The decision'!$B$20+'3. The decision'!$B$22)</f>
        <v>921438.396337295</v>
      </c>
      <c r="O705" s="31" t="n">
        <f aca="false">'3. The decision'!$B$17+'3. The decision'!$B$18*L705*12+M705*('3. The decision'!$B$20*(1-'3. The decision'!$B$21)+'3. The decision'!$B$23)+N705*('3. The decision'!$B$24+'3. The decision'!$B$25)</f>
        <v>641941.280695579</v>
      </c>
      <c r="P705" s="31" t="n">
        <f aca="false">N705-O705</f>
        <v>279497.115641716</v>
      </c>
    </row>
    <row r="706" customFormat="false" ht="15" hidden="false" customHeight="false" outlineLevel="0" collapsed="false">
      <c r="A706" s="27" t="n">
        <f aca="false">'3. The decision'!$B$13^(1/3)-1</f>
        <v>0.174460292350659</v>
      </c>
      <c r="B706" s="27" t="n">
        <f aca="false">IF(A706&gt;0,MIN('3. The decision'!$B$15,'3. The decision'!$B$29*(A706/'3. The decision'!$B$28)^$B$580),0)</f>
        <v>0.454463628271445</v>
      </c>
      <c r="C706" s="15" t="n">
        <f aca="false">(1-'3. The decision'!$B$27-B706)*(1-'3. The decision'!$B$27)^('3. The decision'!$B$12-1)</f>
        <v>0.339578433611394</v>
      </c>
      <c r="D706" s="15" t="n">
        <f aca="false">1+(1-'3. The decision'!$B$27-B706)*(1-(1-'3. The decision'!$B$27)^('3. The decision'!$B$12-1))/'3. The decision'!$B$27</f>
        <v>3.09711185138589</v>
      </c>
      <c r="E706" s="15" t="n">
        <f aca="false">(1-'3. The decision'!$B$14)*(1-'3. The decision'!$B$27)^('3. The decision'!$B$11-1)</f>
        <v>0.690273454655712</v>
      </c>
      <c r="F706" s="15" t="n">
        <f aca="false">1+(1-'3. The decision'!$B$14)*(1-(1-'3. The decision'!$B$27)^('3. The decision'!$B$11-1))/'3. The decision'!$B$27</f>
        <v>4.28912098262087</v>
      </c>
      <c r="G706" s="15" t="n">
        <f aca="false">(1-(1-'3. The decision'!$B$9*MIN(1,('3. The decision'!$B$10/(52/12)))))+(1-(1-'3. The decision'!$B$9*MAX(0,MIN(1,('3. The decision'!$B$10/(52/12))-1))))*(1-'3. The decision'!$B$14)+(1-(1-'3. The decision'!$B$9*MAX(0,MIN(1,('3. The decision'!$B$10/(52/12))-2))))*(1-'3. The decision'!$B$14)*(1-'3. The decision'!$B$27)</f>
        <v>0.884576923076923</v>
      </c>
      <c r="H706" s="15" t="n">
        <f aca="false">IF(A706&lt;=0,0,MAX(0,ROUNDUP(LN('3. The decision'!$B$13)/LN(1+A706)-0.000000000001,0)-1))</f>
        <v>2</v>
      </c>
      <c r="I706" s="15" t="n">
        <f aca="false">IF(A706&lt;=0,1/(1-C706),(1+A706)*(1-(C706*(1+A706))^H706)/(1-C706*(1+A706))+'3. The decision'!$B$13*C706^H706/(1-C706))</f>
        <v>1.92572175842555</v>
      </c>
      <c r="J706" s="17" t="n">
        <f aca="false">F706+E706*D706/(1-C706)</f>
        <v>7.52622619831173</v>
      </c>
      <c r="K706" s="15" t="n">
        <f aca="false">F706-G706+E706*D706*I706</f>
        <v>7.52145621069037</v>
      </c>
      <c r="L706" s="17" t="n">
        <f aca="false">'3. The decision'!$B$8*'3. The decision'!$B$5/J706</f>
        <v>62.4004630774117</v>
      </c>
      <c r="M706" s="31" t="n">
        <f aca="false">L706*'3. The decision'!$B$6*'3. The decision'!$B$7*K706</f>
        <v>900209.765318028</v>
      </c>
      <c r="N706" s="31" t="n">
        <f aca="false">M706*(1+'3. The decision'!$B$19+'3. The decision'!$B$20+'3. The decision'!$B$22)</f>
        <v>995632.000441738</v>
      </c>
      <c r="O706" s="31" t="n">
        <f aca="false">'3. The decision'!$B$17+'3. The decision'!$B$18*L706*12+M706*('3. The decision'!$B$20*(1-'3. The decision'!$B$21)+'3. The decision'!$B$23)+N706*('3. The decision'!$B$24+'3. The decision'!$B$25)</f>
        <v>619313.12097102</v>
      </c>
      <c r="P706" s="31" t="n">
        <f aca="false">N706-O706</f>
        <v>376318.879470718</v>
      </c>
    </row>
    <row r="707" customFormat="false" ht="15" hidden="false" customHeight="false" outlineLevel="0" collapsed="false">
      <c r="A707" s="27" t="n">
        <f aca="false">'3. The decision'!$B$13^(1/4)-1</f>
        <v>0.128180927925918</v>
      </c>
      <c r="B707" s="27" t="n">
        <f aca="false">IF(A707&gt;0,MIN('3. The decision'!$B$15,'3. The decision'!$B$29*(A707/'3. The decision'!$B$28)^$B$580),0)</f>
        <v>0.149815126889875</v>
      </c>
      <c r="C707" s="15" t="n">
        <f aca="false">(1-'3. The decision'!$B$27-B707)*(1-'3. The decision'!$B$27)^('3. The decision'!$B$12-1)</f>
        <v>0.555537110251991</v>
      </c>
      <c r="D707" s="15" t="n">
        <f aca="false">1+(1-'3. The decision'!$B$27-B707)*(1-(1-'3. The decision'!$B$27)^('3. The decision'!$B$12-1))/'3. The decision'!$B$27</f>
        <v>4.43079342643811</v>
      </c>
      <c r="E707" s="15" t="n">
        <f aca="false">(1-'3. The decision'!$B$14)*(1-'3. The decision'!$B$27)^('3. The decision'!$B$11-1)</f>
        <v>0.690273454655712</v>
      </c>
      <c r="F707" s="15" t="n">
        <f aca="false">1+(1-'3. The decision'!$B$14)*(1-(1-'3. The decision'!$B$27)^('3. The decision'!$B$11-1))/'3. The decision'!$B$27</f>
        <v>4.28912098262087</v>
      </c>
      <c r="G707" s="15" t="n">
        <f aca="false">(1-(1-'3. The decision'!$B$9*MIN(1,('3. The decision'!$B$10/(52/12)))))+(1-(1-'3. The decision'!$B$9*MAX(0,MIN(1,('3. The decision'!$B$10/(52/12))-1))))*(1-'3. The decision'!$B$14)+(1-(1-'3. The decision'!$B$9*MAX(0,MIN(1,('3. The decision'!$B$10/(52/12))-2))))*(1-'3. The decision'!$B$14)*(1-'3. The decision'!$B$27)</f>
        <v>0.884576923076923</v>
      </c>
      <c r="H707" s="15" t="n">
        <f aca="false">IF(A707&lt;=0,0,MAX(0,ROUNDUP(LN('3. The decision'!$B$13)/LN(1+A707)-0.000000000001,0)-1))</f>
        <v>3</v>
      </c>
      <c r="I707" s="15" t="n">
        <f aca="false">IF(A707&lt;=0,1/(1-C707),(1+A707)*(1-(C707*(1+A707))^H707)/(1-C707*(1+A707))+'3. The decision'!$B$13*C707^H707/(1-C707))</f>
        <v>2.90333794215222</v>
      </c>
      <c r="J707" s="17" t="n">
        <f aca="false">F707+E707*D707/(1-C707)</f>
        <v>11.1703683395538</v>
      </c>
      <c r="K707" s="15" t="n">
        <f aca="false">F707-G707+E707*D707*I707</f>
        <v>12.2842843665121</v>
      </c>
      <c r="L707" s="17" t="n">
        <f aca="false">'3. The decision'!$B$8*'3. The decision'!$B$5/J707</f>
        <v>42.0433763439139</v>
      </c>
      <c r="M707" s="31" t="n">
        <f aca="false">L707*'3. The decision'!$B$6*'3. The decision'!$B$7*K707</f>
        <v>990607.067919988</v>
      </c>
      <c r="N707" s="31" t="n">
        <f aca="false">M707*(1+'3. The decision'!$B$19+'3. The decision'!$B$20+'3. The decision'!$B$22)</f>
        <v>1095611.41711951</v>
      </c>
      <c r="O707" s="31" t="n">
        <f aca="false">'3. The decision'!$B$17+'3. The decision'!$B$18*L707*12+M707*('3. The decision'!$B$20*(1-'3. The decision'!$B$21)+'3. The decision'!$B$23)+N707*('3. The decision'!$B$24+'3. The decision'!$B$25)</f>
        <v>598204.736475825</v>
      </c>
      <c r="P707" s="31" t="n">
        <f aca="false">N707-O707</f>
        <v>497406.680643681</v>
      </c>
    </row>
    <row r="708" customFormat="false" ht="15" hidden="false" customHeight="false" outlineLevel="0" collapsed="false">
      <c r="A708" s="27" t="n">
        <f aca="false">'3. The decision'!$B$13^(1/5)-1</f>
        <v>0.101293314754956</v>
      </c>
      <c r="B708" s="27" t="n">
        <f aca="false">IF(A708&gt;0,MIN('3. The decision'!$B$15,'3. The decision'!$B$29*(A708/'3. The decision'!$B$28)^$B$580),0)</f>
        <v>0.064192192035165</v>
      </c>
      <c r="C708" s="15" t="n">
        <f aca="false">(1-'3. The decision'!$B$27-B708)*(1-'3. The decision'!$B$27)^('3. The decision'!$B$12-1)</f>
        <v>0.616233340883198</v>
      </c>
      <c r="D708" s="15" t="n">
        <f aca="false">1+(1-'3. The decision'!$B$27-B708)*(1-(1-'3. The decision'!$B$27)^('3. The decision'!$B$12-1))/'3. The decision'!$B$27</f>
        <v>4.8056310839344</v>
      </c>
      <c r="E708" s="15" t="n">
        <f aca="false">(1-'3. The decision'!$B$14)*(1-'3. The decision'!$B$27)^('3. The decision'!$B$11-1)</f>
        <v>0.690273454655712</v>
      </c>
      <c r="F708" s="15" t="n">
        <f aca="false">1+(1-'3. The decision'!$B$14)*(1-(1-'3. The decision'!$B$27)^('3. The decision'!$B$11-1))/'3. The decision'!$B$27</f>
        <v>4.28912098262087</v>
      </c>
      <c r="G708" s="15" t="n">
        <f aca="false">(1-(1-'3. The decision'!$B$9*MIN(1,('3. The decision'!$B$10/(52/12)))))+(1-(1-'3. The decision'!$B$9*MAX(0,MIN(1,('3. The decision'!$B$10/(52/12))-1))))*(1-'3. The decision'!$B$14)+(1-(1-'3. The decision'!$B$9*MAX(0,MIN(1,('3. The decision'!$B$10/(52/12))-2))))*(1-'3. The decision'!$B$14)*(1-'3. The decision'!$B$27)</f>
        <v>0.884576923076923</v>
      </c>
      <c r="H708" s="15" t="n">
        <f aca="false">IF(A708&lt;=0,0,MAX(0,ROUNDUP(LN('3. The decision'!$B$13)/LN(1+A708)-0.000000000001,0)-1))</f>
        <v>4</v>
      </c>
      <c r="I708" s="15" t="n">
        <f aca="false">IF(A708&lt;=0,1/(1-C708),(1+A708)*(1-(C708*(1+A708))^H708)/(1-C708*(1+A708))+'3. The decision'!$B$13*C708^H708/(1-C708))</f>
        <v>3.30887806196452</v>
      </c>
      <c r="J708" s="17" t="n">
        <f aca="false">F708+E708*D708/(1-C708)</f>
        <v>12.932914004512</v>
      </c>
      <c r="K708" s="15" t="n">
        <f aca="false">F708-G708+E708*D708*I708</f>
        <v>14.3807529442333</v>
      </c>
      <c r="L708" s="17" t="n">
        <f aca="false">'3. The decision'!$B$8*'3. The decision'!$B$5/J708</f>
        <v>36.31354850393</v>
      </c>
      <c r="M708" s="31" t="n">
        <f aca="false">L708*'3. The decision'!$B$6*'3. The decision'!$B$7*K708</f>
        <v>1001623.00479282</v>
      </c>
      <c r="N708" s="31" t="n">
        <f aca="false">M708*(1+'3. The decision'!$B$19+'3. The decision'!$B$20+'3. The decision'!$B$22)</f>
        <v>1107795.04330086</v>
      </c>
      <c r="O708" s="31" t="n">
        <f aca="false">'3. The decision'!$B$17+'3. The decision'!$B$18*L708*12+M708*('3. The decision'!$B$20*(1-'3. The decision'!$B$21)+'3. The decision'!$B$23)+N708*('3. The decision'!$B$24+'3. The decision'!$B$25)</f>
        <v>590710.619734509</v>
      </c>
      <c r="P708" s="31" t="n">
        <f aca="false">N708-O708</f>
        <v>517084.423566354</v>
      </c>
    </row>
    <row r="709" customFormat="false" ht="15" hidden="false" customHeight="false" outlineLevel="0" collapsed="false">
      <c r="A709" s="27" t="n">
        <f aca="false">'3. The decision'!$B$13^(1/6)-1</f>
        <v>0.0837251922653912</v>
      </c>
      <c r="B709" s="27" t="n">
        <f aca="false">IF(A709&gt;0,MIN('3. The decision'!$B$15,'3. The decision'!$B$29*(A709/'3. The decision'!$B$28)^$B$580),0)</f>
        <v>0.0323350501471525</v>
      </c>
      <c r="C709" s="15" t="n">
        <f aca="false">(1-'3. The decision'!$B$27-B709)*(1-'3. The decision'!$B$27)^('3. The decision'!$B$12-1)</f>
        <v>0.638816173795512</v>
      </c>
      <c r="D709" s="15" t="n">
        <f aca="false">1+(1-'3. The decision'!$B$27-B709)*(1-(1-'3. The decision'!$B$27)^('3. The decision'!$B$12-1))/'3. The decision'!$B$27</f>
        <v>4.94509437680204</v>
      </c>
      <c r="E709" s="15" t="n">
        <f aca="false">(1-'3. The decision'!$B$14)*(1-'3. The decision'!$B$27)^('3. The decision'!$B$11-1)</f>
        <v>0.690273454655712</v>
      </c>
      <c r="F709" s="15" t="n">
        <f aca="false">1+(1-'3. The decision'!$B$14)*(1-(1-'3. The decision'!$B$27)^('3. The decision'!$B$11-1))/'3. The decision'!$B$27</f>
        <v>4.28912098262087</v>
      </c>
      <c r="G709" s="15" t="n">
        <f aca="false">(1-(1-'3. The decision'!$B$9*MIN(1,('3. The decision'!$B$10/(52/12)))))+(1-(1-'3. The decision'!$B$9*MAX(0,MIN(1,('3. The decision'!$B$10/(52/12))-1))))*(1-'3. The decision'!$B$14)+(1-(1-'3. The decision'!$B$9*MAX(0,MIN(1,('3. The decision'!$B$10/(52/12))-2))))*(1-'3. The decision'!$B$14)*(1-'3. The decision'!$B$27)</f>
        <v>0.884576923076923</v>
      </c>
      <c r="H709" s="15" t="n">
        <f aca="false">IF(A709&lt;=0,0,MAX(0,ROUNDUP(LN('3. The decision'!$B$13)/LN(1+A709)-0.000000000001,0)-1))</f>
        <v>5</v>
      </c>
      <c r="I709" s="15" t="n">
        <f aca="false">IF(A709&lt;=0,1/(1-C709),(1+A709)*(1-(C709*(1+A709))^H709)/(1-C709*(1+A709))+'3. The decision'!$B$13*C709^H709/(1-C709))</f>
        <v>3.43909072944009</v>
      </c>
      <c r="J709" s="17" t="n">
        <f aca="false">F709+E709*D709/(1-C709)</f>
        <v>13.739896824231</v>
      </c>
      <c r="K709" s="15" t="n">
        <f aca="false">F709-G709+E709*D709*I709</f>
        <v>15.1437680781624</v>
      </c>
      <c r="L709" s="17" t="n">
        <f aca="false">'3. The decision'!$B$8*'3. The decision'!$B$5/J709</f>
        <v>34.1807515738959</v>
      </c>
      <c r="M709" s="31" t="n">
        <f aca="false">L709*'3. The decision'!$B$6*'3. The decision'!$B$7*K709</f>
        <v>992817.751065802</v>
      </c>
      <c r="N709" s="31" t="n">
        <f aca="false">M709*(1+'3. The decision'!$B$19+'3. The decision'!$B$20+'3. The decision'!$B$22)</f>
        <v>1098056.43267878</v>
      </c>
      <c r="O709" s="31" t="n">
        <f aca="false">'3. The decision'!$B$17+'3. The decision'!$B$18*L709*12+M709*('3. The decision'!$B$20*(1-'3. The decision'!$B$21)+'3. The decision'!$B$23)+N709*('3. The decision'!$B$24+'3. The decision'!$B$25)</f>
        <v>586532.106754467</v>
      </c>
      <c r="P709" s="31" t="n">
        <f aca="false">N709-O709</f>
        <v>511524.32592431</v>
      </c>
    </row>
    <row r="710" customFormat="false" ht="15" hidden="false" customHeight="false" outlineLevel="0" collapsed="false">
      <c r="A710" s="27" t="n">
        <f aca="false">'3. The decision'!$B$13^(1/7)-1</f>
        <v>0.0713483778230704</v>
      </c>
      <c r="B710" s="27" t="n">
        <f aca="false">IF(A710&gt;0,MIN('3. The decision'!$B$15,'3. The decision'!$B$29*(A710/'3. The decision'!$B$28)^$B$580),0)</f>
        <v>0.0181791745050024</v>
      </c>
      <c r="C710" s="15" t="n">
        <f aca="false">(1-'3. The decision'!$B$27-B710)*(1-'3. The decision'!$B$27)^('3. The decision'!$B$12-1)</f>
        <v>0.648850965224007</v>
      </c>
      <c r="D710" s="15" t="n">
        <f aca="false">1+(1-'3. The decision'!$B$27-B710)*(1-(1-'3. The decision'!$B$27)^('3. The decision'!$B$12-1))/'3. The decision'!$B$27</f>
        <v>5.00706556798483</v>
      </c>
      <c r="E710" s="15" t="n">
        <f aca="false">(1-'3. The decision'!$B$14)*(1-'3. The decision'!$B$27)^('3. The decision'!$B$11-1)</f>
        <v>0.690273454655712</v>
      </c>
      <c r="F710" s="15" t="n">
        <f aca="false">1+(1-'3. The decision'!$B$14)*(1-(1-'3. The decision'!$B$27)^('3. The decision'!$B$11-1))/'3. The decision'!$B$27</f>
        <v>4.28912098262087</v>
      </c>
      <c r="G710" s="15" t="n">
        <f aca="false">(1-(1-'3. The decision'!$B$9*MIN(1,('3. The decision'!$B$10/(52/12)))))+(1-(1-'3. The decision'!$B$9*MAX(0,MIN(1,('3. The decision'!$B$10/(52/12))-1))))*(1-'3. The decision'!$B$14)+(1-(1-'3. The decision'!$B$9*MAX(0,MIN(1,('3. The decision'!$B$10/(52/12))-2))))*(1-'3. The decision'!$B$14)*(1-'3. The decision'!$B$27)</f>
        <v>0.884576923076923</v>
      </c>
      <c r="H710" s="15" t="n">
        <f aca="false">IF(A710&lt;=0,0,MAX(0,ROUNDUP(LN('3. The decision'!$B$13)/LN(1+A710)-0.000000000001,0)-1))</f>
        <v>6</v>
      </c>
      <c r="I710" s="15" t="n">
        <f aca="false">IF(A710&lt;=0,1/(1-C710),(1+A710)*(1-(C710*(1+A710))^H710)/(1-C710*(1+A710))+'3. The decision'!$B$13*C710^H710/(1-C710))</f>
        <v>3.46201402351383</v>
      </c>
      <c r="J710" s="17" t="n">
        <f aca="false">F710+E710*D710/(1-C710)</f>
        <v>14.1317920567572</v>
      </c>
      <c r="K710" s="15" t="n">
        <f aca="false">F710-G710+E710*D710*I710</f>
        <v>15.3701108047903</v>
      </c>
      <c r="L710" s="17" t="n">
        <f aca="false">'3. The decision'!$B$8*'3. The decision'!$B$5/J710</f>
        <v>33.2328694134329</v>
      </c>
      <c r="M710" s="31" t="n">
        <f aca="false">L710*'3. The decision'!$B$6*'3. The decision'!$B$7*K710</f>
        <v>979712.874410182</v>
      </c>
      <c r="N710" s="31" t="n">
        <f aca="false">M710*(1+'3. The decision'!$B$19+'3. The decision'!$B$20+'3. The decision'!$B$22)</f>
        <v>1083562.43909766</v>
      </c>
      <c r="O710" s="31" t="n">
        <f aca="false">'3. The decision'!$B$17+'3. The decision'!$B$18*L710*12+M710*('3. The decision'!$B$20*(1-'3. The decision'!$B$21)+'3. The decision'!$B$23)+N710*('3. The decision'!$B$24+'3. The decision'!$B$25)</f>
        <v>583685.785566635</v>
      </c>
      <c r="P710" s="31" t="n">
        <f aca="false">N710-O710</f>
        <v>499876.653531027</v>
      </c>
    </row>
    <row r="711" customFormat="false" ht="15" hidden="false" customHeight="false" outlineLevel="0" collapsed="false">
      <c r="A711" s="27" t="n">
        <f aca="false">'3. The decision'!$B$13^(1/8)-1</f>
        <v>0.062158617121717</v>
      </c>
      <c r="B711" s="27" t="n">
        <f aca="false">IF(A711&gt;0,MIN('3. The decision'!$B$15,'3. The decision'!$B$29*(A711/'3. The decision'!$B$28)^$B$580),0)</f>
        <v>0.0110661416289081</v>
      </c>
      <c r="C711" s="15" t="n">
        <f aca="false">(1-'3. The decision'!$B$27-B711)*(1-'3. The decision'!$B$27)^('3. The decision'!$B$12-1)</f>
        <v>0.653893239057149</v>
      </c>
      <c r="D711" s="15" t="n">
        <f aca="false">1+(1-'3. The decision'!$B$27-B711)*(1-(1-'3. The decision'!$B$27)^('3. The decision'!$B$12-1))/'3. The decision'!$B$27</f>
        <v>5.03820480171342</v>
      </c>
      <c r="E711" s="15" t="n">
        <f aca="false">(1-'3. The decision'!$B$14)*(1-'3. The decision'!$B$27)^('3. The decision'!$B$11-1)</f>
        <v>0.690273454655712</v>
      </c>
      <c r="F711" s="15" t="n">
        <f aca="false">1+(1-'3. The decision'!$B$14)*(1-(1-'3. The decision'!$B$27)^('3. The decision'!$B$11-1))/'3. The decision'!$B$27</f>
        <v>4.28912098262087</v>
      </c>
      <c r="G711" s="15" t="n">
        <f aca="false">(1-(1-'3. The decision'!$B$9*MIN(1,('3. The decision'!$B$10/(52/12)))))+(1-(1-'3. The decision'!$B$9*MAX(0,MIN(1,('3. The decision'!$B$10/(52/12))-1))))*(1-'3. The decision'!$B$14)+(1-(1-'3. The decision'!$B$9*MAX(0,MIN(1,('3. The decision'!$B$10/(52/12))-2))))*(1-'3. The decision'!$B$14)*(1-'3. The decision'!$B$27)</f>
        <v>0.884576923076923</v>
      </c>
      <c r="H711" s="15" t="n">
        <f aca="false">IF(A711&lt;=0,0,MAX(0,ROUNDUP(LN('3. The decision'!$B$13)/LN(1+A711)-0.000000000001,0)-1))</f>
        <v>7</v>
      </c>
      <c r="I711" s="15" t="n">
        <f aca="false">IF(A711&lt;=0,1/(1-C711),(1+A711)*(1-(C711*(1+A711))^H711)/(1-C711*(1+A711))+'3. The decision'!$B$13*C711^H711/(1-C711))</f>
        <v>3.44538902715757</v>
      </c>
      <c r="J711" s="17" t="n">
        <f aca="false">F711+E711*D711/(1-C711)</f>
        <v>14.337289427143</v>
      </c>
      <c r="K711" s="15" t="n">
        <f aca="false">F711-G711+E711*D711*I711</f>
        <v>15.3867079657153</v>
      </c>
      <c r="L711" s="17" t="n">
        <f aca="false">'3. The decision'!$B$8*'3. The decision'!$B$5/J711</f>
        <v>32.7565403758181</v>
      </c>
      <c r="M711" s="31" t="n">
        <f aca="false">L711*'3. The decision'!$B$6*'3. The decision'!$B$7*K711</f>
        <v>966713.344845475</v>
      </c>
      <c r="N711" s="31" t="n">
        <f aca="false">M711*(1+'3. The decision'!$B$19+'3. The decision'!$B$20+'3. The decision'!$B$22)</f>
        <v>1069184.95939909</v>
      </c>
      <c r="O711" s="31" t="n">
        <f aca="false">'3. The decision'!$B$17+'3. The decision'!$B$18*L711*12+M711*('3. The decision'!$B$20*(1-'3. The decision'!$B$21)+'3. The decision'!$B$23)+N711*('3. The decision'!$B$24+'3. The decision'!$B$25)</f>
        <v>581565.1265289</v>
      </c>
      <c r="P711" s="31" t="n">
        <f aca="false">N711-O711</f>
        <v>487619.832870195</v>
      </c>
    </row>
    <row r="712" customFormat="false" ht="15" hidden="false" customHeight="false" outlineLevel="0" collapsed="false">
      <c r="A712" s="27" t="n">
        <f aca="false">'3. The decision'!$B$13^(1/9)-1</f>
        <v>0.0550655582002784</v>
      </c>
      <c r="B712" s="27" t="n">
        <f aca="false">IF(A712&gt;0,MIN('3. The decision'!$B$15,'3. The decision'!$B$29*(A712/'3. The decision'!$B$28)^$B$580),0)</f>
        <v>0.00715417487684978</v>
      </c>
      <c r="C712" s="15" t="n">
        <f aca="false">(1-'3. The decision'!$B$27-B712)*(1-'3. The decision'!$B$27)^('3. The decision'!$B$12-1)</f>
        <v>0.656666346947079</v>
      </c>
      <c r="D712" s="15" t="n">
        <f aca="false">1+(1-'3. The decision'!$B$27-B712)*(1-(1-'3. The decision'!$B$27)^('3. The decision'!$B$12-1))/'3. The decision'!$B$27</f>
        <v>5.05533049888829</v>
      </c>
      <c r="E712" s="15" t="n">
        <f aca="false">(1-'3. The decision'!$B$14)*(1-'3. The decision'!$B$27)^('3. The decision'!$B$11-1)</f>
        <v>0.690273454655712</v>
      </c>
      <c r="F712" s="15" t="n">
        <f aca="false">1+(1-'3. The decision'!$B$14)*(1-(1-'3. The decision'!$B$27)^('3. The decision'!$B$11-1))/'3. The decision'!$B$27</f>
        <v>4.28912098262087</v>
      </c>
      <c r="G712" s="15" t="n">
        <f aca="false">(1-(1-'3. The decision'!$B$9*MIN(1,('3. The decision'!$B$10/(52/12)))))+(1-(1-'3. The decision'!$B$9*MAX(0,MIN(1,('3. The decision'!$B$10/(52/12))-1))))*(1-'3. The decision'!$B$14)+(1-(1-'3. The decision'!$B$9*MAX(0,MIN(1,('3. The decision'!$B$10/(52/12))-2))))*(1-'3. The decision'!$B$14)*(1-'3. The decision'!$B$27)</f>
        <v>0.884576923076923</v>
      </c>
      <c r="H712" s="15" t="n">
        <f aca="false">IF(A712&lt;=0,0,MAX(0,ROUNDUP(LN('3. The decision'!$B$13)/LN(1+A712)-0.000000000001,0)-1))</f>
        <v>8</v>
      </c>
      <c r="I712" s="15" t="n">
        <f aca="false">IF(A712&lt;=0,1/(1-C712),(1+A712)*(1-(C712*(1+A712))^H712)/(1-C712*(1+A712))+'3. The decision'!$B$13*C712^H712/(1-C712))</f>
        <v>3.41554517125938</v>
      </c>
      <c r="J712" s="17" t="n">
        <f aca="false">F712+E712*D712/(1-C712)</f>
        <v>14.4528798127409</v>
      </c>
      <c r="K712" s="15" t="n">
        <f aca="false">F712-G712+E712*D712*I712</f>
        <v>15.323295397166</v>
      </c>
      <c r="L712" s="17" t="n">
        <f aca="false">'3. The decision'!$B$8*'3. The decision'!$B$5/J712</f>
        <v>32.4945620585587</v>
      </c>
      <c r="M712" s="31" t="n">
        <f aca="false">L712*'3. The decision'!$B$6*'3. The decision'!$B$7*K712</f>
        <v>955029.612185621</v>
      </c>
      <c r="N712" s="31" t="n">
        <f aca="false">M712*(1+'3. The decision'!$B$19+'3. The decision'!$B$20+'3. The decision'!$B$22)</f>
        <v>1056262.7510773</v>
      </c>
      <c r="O712" s="31" t="n">
        <f aca="false">'3. The decision'!$B$17+'3. The decision'!$B$18*L712*12+M712*('3. The decision'!$B$20*(1-'3. The decision'!$B$21)+'3. The decision'!$B$23)+N712*('3. The decision'!$B$24+'3. The decision'!$B$25)</f>
        <v>579910.788185317</v>
      </c>
      <c r="P712" s="31" t="n">
        <f aca="false">N712-O712</f>
        <v>476351.962891979</v>
      </c>
    </row>
    <row r="713" customFormat="false" ht="15" hidden="false" customHeight="false" outlineLevel="0" collapsed="false">
      <c r="A713" s="27" t="n">
        <f aca="false">'3. The decision'!$B$13^(1/10)-1</f>
        <v>0.0494252306643652</v>
      </c>
      <c r="B713" s="27" t="n">
        <f aca="false">IF(A713&gt;0,MIN('3. The decision'!$B$15,'3. The decision'!$B$29*(A713/'3. The decision'!$B$28)^$B$580),0)</f>
        <v>0.00484849244778618</v>
      </c>
      <c r="C713" s="15" t="n">
        <f aca="false">(1-'3. The decision'!$B$27-B713)*(1-'3. The decision'!$B$27)^('3. The decision'!$B$12-1)</f>
        <v>0.658300794921962</v>
      </c>
      <c r="D713" s="15" t="n">
        <f aca="false">1+(1-'3. The decision'!$B$27-B713)*(1-(1-'3. The decision'!$B$27)^('3. The decision'!$B$12-1))/'3. The decision'!$B$27</f>
        <v>5.06542425007898</v>
      </c>
      <c r="E713" s="15" t="n">
        <f aca="false">(1-'3. The decision'!$B$14)*(1-'3. The decision'!$B$27)^('3. The decision'!$B$11-1)</f>
        <v>0.690273454655712</v>
      </c>
      <c r="F713" s="15" t="n">
        <f aca="false">1+(1-'3. The decision'!$B$14)*(1-(1-'3. The decision'!$B$27)^('3. The decision'!$B$11-1))/'3. The decision'!$B$27</f>
        <v>4.28912098262087</v>
      </c>
      <c r="G713" s="15" t="n">
        <f aca="false">(1-(1-'3. The decision'!$B$9*MIN(1,('3. The decision'!$B$10/(52/12)))))+(1-(1-'3. The decision'!$B$9*MAX(0,MIN(1,('3. The decision'!$B$10/(52/12))-1))))*(1-'3. The decision'!$B$14)+(1-(1-'3. The decision'!$B$9*MAX(0,MIN(1,('3. The decision'!$B$10/(52/12))-2))))*(1-'3. The decision'!$B$14)*(1-'3. The decision'!$B$27)</f>
        <v>0.884576923076923</v>
      </c>
      <c r="H713" s="15" t="n">
        <f aca="false">IF(A713&lt;=0,0,MAX(0,ROUNDUP(LN('3. The decision'!$B$13)/LN(1+A713)-0.000000000001,0)-1))</f>
        <v>9</v>
      </c>
      <c r="I713" s="15" t="n">
        <f aca="false">IF(A713&lt;=0,1/(1-C713),(1+A713)*(1-(C713*(1+A713))^H713)/(1-C713*(1+A713))+'3. The decision'!$B$13*C713^H713/(1-C713))</f>
        <v>3.38282818585284</v>
      </c>
      <c r="J713" s="17" t="n">
        <f aca="false">F713+E713*D713/(1-C713)</f>
        <v>14.521886656162</v>
      </c>
      <c r="K713" s="15" t="n">
        <f aca="false">F713-G713+E713*D713*I713</f>
        <v>15.2326971801027</v>
      </c>
      <c r="L713" s="17" t="n">
        <f aca="false">'3. The decision'!$B$8*'3. The decision'!$B$5/J713</f>
        <v>32.3401504997094</v>
      </c>
      <c r="M713" s="31" t="n">
        <f aca="false">L713*'3. The decision'!$B$6*'3. The decision'!$B$7*K713</f>
        <v>944871.655129022</v>
      </c>
      <c r="N713" s="31" t="n">
        <f aca="false">M713*(1+'3. The decision'!$B$19+'3. The decision'!$B$20+'3. The decision'!$B$22)</f>
        <v>1045028.0505727</v>
      </c>
      <c r="O713" s="31" t="n">
        <f aca="false">'3. The decision'!$B$17+'3. The decision'!$B$18*L713*12+M713*('3. The decision'!$B$20*(1-'3. The decision'!$B$21)+'3. The decision'!$B$23)+N713*('3. The decision'!$B$24+'3. The decision'!$B$25)</f>
        <v>578583.610105655</v>
      </c>
      <c r="P713" s="31" t="n">
        <f aca="false">N713-O713</f>
        <v>466444.440467043</v>
      </c>
    </row>
    <row r="714" customFormat="false" ht="15" hidden="false" customHeight="false" outlineLevel="0" collapsed="false">
      <c r="A714" s="27" t="n">
        <f aca="false">'3. The decision'!$B$13^(1/11)-1</f>
        <v>0.0448328522867396</v>
      </c>
      <c r="B714" s="27" t="n">
        <f aca="false">IF(A714&gt;0,MIN('3. The decision'!$B$15,'3. The decision'!$B$29*(A714/'3. The decision'!$B$28)^$B$580),0)</f>
        <v>0.00341301594535136</v>
      </c>
      <c r="C714" s="15" t="n">
        <f aca="false">(1-'3. The decision'!$B$27-B714)*(1-'3. The decision'!$B$27)^('3. The decision'!$B$12-1)</f>
        <v>0.659318372899233</v>
      </c>
      <c r="D714" s="15" t="n">
        <f aca="false">1+(1-'3. The decision'!$B$27-B714)*(1-(1-'3. The decision'!$B$27)^('3. The decision'!$B$12-1))/'3. The decision'!$B$27</f>
        <v>5.07170843842731</v>
      </c>
      <c r="E714" s="15" t="n">
        <f aca="false">(1-'3. The decision'!$B$14)*(1-'3. The decision'!$B$27)^('3. The decision'!$B$11-1)</f>
        <v>0.690273454655712</v>
      </c>
      <c r="F714" s="15" t="n">
        <f aca="false">1+(1-'3. The decision'!$B$14)*(1-(1-'3. The decision'!$B$27)^('3. The decision'!$B$11-1))/'3. The decision'!$B$27</f>
        <v>4.28912098262087</v>
      </c>
      <c r="G714" s="15" t="n">
        <f aca="false">(1-(1-'3. The decision'!$B$9*MIN(1,('3. The decision'!$B$10/(52/12)))))+(1-(1-'3. The decision'!$B$9*MAX(0,MIN(1,('3. The decision'!$B$10/(52/12))-1))))*(1-'3. The decision'!$B$14)+(1-(1-'3. The decision'!$B$9*MAX(0,MIN(1,('3. The decision'!$B$10/(52/12))-2))))*(1-'3. The decision'!$B$14)*(1-'3. The decision'!$B$27)</f>
        <v>0.884576923076923</v>
      </c>
      <c r="H714" s="15" t="n">
        <f aca="false">IF(A714&lt;=0,0,MAX(0,ROUNDUP(LN('3. The decision'!$B$13)/LN(1+A714)-0.000000000001,0)-1))</f>
        <v>10</v>
      </c>
      <c r="I714" s="15" t="n">
        <f aca="false">IF(A714&lt;=0,1/(1-C714),(1+A714)*(1-(C714*(1+A714))^H714)/(1-C714*(1+A714))+'3. The decision'!$B$13*C714^H714/(1-C714))</f>
        <v>3.3512557463503</v>
      </c>
      <c r="J714" s="17" t="n">
        <f aca="false">F714+E714*D714/(1-C714)</f>
        <v>14.5651835181689</v>
      </c>
      <c r="K714" s="15" t="n">
        <f aca="false">F714-G714+E714*D714*I714</f>
        <v>15.1368403699548</v>
      </c>
      <c r="L714" s="17" t="n">
        <f aca="false">'3. The decision'!$B$8*'3. The decision'!$B$5/J714</f>
        <v>32.244015285778</v>
      </c>
      <c r="M714" s="31" t="n">
        <f aca="false">L714*'3. The decision'!$B$6*'3. The decision'!$B$7*K714</f>
        <v>936134.659910144</v>
      </c>
      <c r="N714" s="31" t="n">
        <f aca="false">M714*(1+'3. The decision'!$B$19+'3. The decision'!$B$20+'3. The decision'!$B$22)</f>
        <v>1035364.93386062</v>
      </c>
      <c r="O714" s="31" t="n">
        <f aca="false">'3. The decision'!$B$17+'3. The decision'!$B$18*L714*12+M714*('3. The decision'!$B$20*(1-'3. The decision'!$B$21)+'3. The decision'!$B$23)+N714*('3. The decision'!$B$24+'3. The decision'!$B$25)</f>
        <v>577497.644782363</v>
      </c>
      <c r="P714" s="31" t="n">
        <f aca="false">N714-O714</f>
        <v>457867.289078255</v>
      </c>
    </row>
    <row r="715" customFormat="false" ht="15" hidden="false" customHeight="false" outlineLevel="0" collapsed="false">
      <c r="A715" s="27" t="n">
        <f aca="false">'3. The decision'!$B$13^(1/12)-1</f>
        <v>0.0410212256555538</v>
      </c>
      <c r="B715" s="27" t="n">
        <f aca="false">IF(A715&gt;0,MIN('3. The decision'!$B$15,'3. The decision'!$B$29*(A715/'3. The decision'!$B$28)^$B$580),0)</f>
        <v>0.00247869141453488</v>
      </c>
      <c r="C715" s="15" t="n">
        <f aca="false">(1-'3. The decision'!$B$27-B715)*(1-'3. The decision'!$B$27)^('3. The decision'!$B$12-1)</f>
        <v>0.659980695176588</v>
      </c>
      <c r="D715" s="15" t="n">
        <f aca="false">1+(1-'3. The decision'!$B$27-B715)*(1-(1-'3. The decision'!$B$27)^('3. The decision'!$B$12-1))/'3. The decision'!$B$27</f>
        <v>5.07579869787785</v>
      </c>
      <c r="E715" s="15" t="n">
        <f aca="false">(1-'3. The decision'!$B$14)*(1-'3. The decision'!$B$27)^('3. The decision'!$B$11-1)</f>
        <v>0.690273454655712</v>
      </c>
      <c r="F715" s="15" t="n">
        <f aca="false">1+(1-'3. The decision'!$B$14)*(1-(1-'3. The decision'!$B$27)^('3. The decision'!$B$11-1))/'3. The decision'!$B$27</f>
        <v>4.28912098262087</v>
      </c>
      <c r="G715" s="15" t="n">
        <f aca="false">(1-(1-'3. The decision'!$B$9*MIN(1,('3. The decision'!$B$10/(52/12)))))+(1-(1-'3. The decision'!$B$9*MAX(0,MIN(1,('3. The decision'!$B$10/(52/12))-1))))*(1-'3. The decision'!$B$14)+(1-(1-'3. The decision'!$B$9*MAX(0,MIN(1,('3. The decision'!$B$10/(52/12))-2))))*(1-'3. The decision'!$B$14)*(1-'3. The decision'!$B$27)</f>
        <v>0.884576923076923</v>
      </c>
      <c r="H715" s="15" t="n">
        <f aca="false">IF(A715&lt;=0,0,MAX(0,ROUNDUP(LN('3. The decision'!$B$13)/LN(1+A715)-0.000000000001,0)-1))</f>
        <v>11</v>
      </c>
      <c r="I715" s="15" t="n">
        <f aca="false">IF(A715&lt;=0,1/(1-C715),(1+A715)*(1-(C715*(1+A715))^H715)/(1-C715*(1+A715))+'3. The decision'!$B$13*C715^H715/(1-C715))</f>
        <v>3.32225431719101</v>
      </c>
      <c r="J715" s="17" t="n">
        <f aca="false">F715+E715*D715/(1-C715)</f>
        <v>14.5935038591777</v>
      </c>
      <c r="K715" s="15" t="n">
        <f aca="false">F715-G715+E715*D715*I715</f>
        <v>15.0446903058253</v>
      </c>
      <c r="L715" s="17" t="n">
        <f aca="false">'3. The decision'!$B$8*'3. The decision'!$B$5/J715</f>
        <v>32.181442135615</v>
      </c>
      <c r="M715" s="31" t="n">
        <f aca="false">L715*'3. The decision'!$B$6*'3. The decision'!$B$7*K715</f>
        <v>928630.043485621</v>
      </c>
      <c r="N715" s="31" t="n">
        <f aca="false">M715*(1+'3. The decision'!$B$19+'3. The decision'!$B$20+'3. The decision'!$B$22)</f>
        <v>1027064.8280951</v>
      </c>
      <c r="O715" s="31" t="n">
        <f aca="false">'3. The decision'!$B$17+'3. The decision'!$B$18*L715*12+M715*('3. The decision'!$B$20*(1-'3. The decision'!$B$21)+'3. The decision'!$B$23)+N715*('3. The decision'!$B$24+'3. The decision'!$B$25)</f>
        <v>576595.157593886</v>
      </c>
      <c r="P715" s="31" t="n">
        <f aca="false">N715-O715</f>
        <v>450469.67050121</v>
      </c>
    </row>
    <row r="716" customFormat="false" ht="15" hidden="false" customHeight="false" outlineLevel="0" collapsed="false">
      <c r="A716" s="27" t="n">
        <f aca="false">IF(OR(MATCH(MAX(P583:P703),P583:P703,0)=1,MATCH(MAX(P583:P703),P583:P703,0)=121),INDEX(A583:A703,MATCH(MAX(P583:P703),P583:P703,0)),INDEX(A583:A703,MATCH(MAX(P583:P703),P583:P703,0))-0.0025/2*(INDEX(P583:P703,MATCH(MAX(P583:P703),P583:P703,0)+1)-INDEX(P583:P703,MATCH(MAX(P583:P703),P583:P703,0)-1))/(INDEX(P583:P703,MATCH(MAX(P583:P703),P583:P703,0)+1)-2*INDEX(P583:P703,MATCH(MAX(P583:P703),P583:P703,0))+INDEX(P583:P703,MATCH(MAX(P583:P703),P583:P703,0)-1)))</f>
        <v>0.100167013066803</v>
      </c>
      <c r="B716" s="27" t="n">
        <f aca="false">IF(A716&gt;0,MIN('3. The decision'!$B$15,'3. The decision'!$B$29*(A716/'3. The decision'!$B$28)^$B$580),0)</f>
        <v>0.0616595556668498</v>
      </c>
      <c r="C716" s="15" t="n">
        <f aca="false">(1-'3. The decision'!$B$27-B716)*(1-'3. The decision'!$B$27)^('3. The decision'!$B$12-1)</f>
        <v>0.618028671554554</v>
      </c>
      <c r="D716" s="15" t="n">
        <f aca="false">1+(1-'3. The decision'!$B$27-B716)*(1-(1-'3. The decision'!$B$27)^('3. The decision'!$B$12-1))/'3. The decision'!$B$27</f>
        <v>4.81671838764806</v>
      </c>
      <c r="E716" s="15" t="n">
        <f aca="false">(1-'3. The decision'!$B$14)*(1-'3. The decision'!$B$27)^('3. The decision'!$B$11-1)</f>
        <v>0.690273454655712</v>
      </c>
      <c r="F716" s="15" t="n">
        <f aca="false">1+(1-'3. The decision'!$B$14)*(1-(1-'3. The decision'!$B$27)^('3. The decision'!$B$11-1))/'3. The decision'!$B$27</f>
        <v>4.28912098262087</v>
      </c>
      <c r="G716" s="15" t="n">
        <f aca="false">(1-(1-'3. The decision'!$B$9*MIN(1,('3. The decision'!$B$10/(52/12)))))+(1-(1-'3. The decision'!$B$9*MAX(0,MIN(1,('3. The decision'!$B$10/(52/12))-1))))*(1-'3. The decision'!$B$14)+(1-(1-'3. The decision'!$B$9*MAX(0,MIN(1,('3. The decision'!$B$10/(52/12))-2))))*(1-'3. The decision'!$B$14)*(1-'3. The decision'!$B$27)</f>
        <v>0.884576923076923</v>
      </c>
      <c r="H716" s="15" t="n">
        <f aca="false">IF(A716&lt;=0,0,MAX(0,ROUNDUP(LN('3. The decision'!$B$13)/LN(1+A716)-0.000000000001,0)-1))</f>
        <v>5</v>
      </c>
      <c r="I716" s="15" t="n">
        <f aca="false">IF(A716&lt;=0,1/(1-C716),(1+A716)*(1-(C716*(1+A716))^H716)/(1-C716*(1+A716))+'3. The decision'!$B$13*C716^H716/(1-C716))</f>
        <v>3.32020550389838</v>
      </c>
      <c r="J716" s="17" t="n">
        <f aca="false">F716+E716*D716/(1-C716)</f>
        <v>12.9935775581368</v>
      </c>
      <c r="K716" s="15" t="n">
        <f aca="false">F716-G716+E716*D716*I716</f>
        <v>14.4437387636955</v>
      </c>
      <c r="L716" s="17" t="n">
        <f aca="false">'3. The decision'!$B$8*'3. The decision'!$B$5/J716</f>
        <v>36.1440102157164</v>
      </c>
      <c r="M716" s="31" t="n">
        <f aca="false">L716*'3. The decision'!$B$6*'3. The decision'!$B$7*K716</f>
        <v>1001313.18999645</v>
      </c>
      <c r="N716" s="31" t="n">
        <f aca="false">M716*(1+'3. The decision'!$B$19+'3. The decision'!$B$20+'3. The decision'!$B$22)</f>
        <v>1107452.38813607</v>
      </c>
      <c r="O716" s="31" t="n">
        <f aca="false">'3. The decision'!$B$17+'3. The decision'!$B$18*L716*12+M716*('3. The decision'!$B$20*(1-'3. The decision'!$B$21)+'3. The decision'!$B$23)+N716*('3. The decision'!$B$24+'3. The decision'!$B$25)</f>
        <v>590420.453201822</v>
      </c>
      <c r="P716" s="31" t="n">
        <f aca="false">N716-O716</f>
        <v>517031.934934249</v>
      </c>
    </row>
    <row r="718" customFormat="false" ht="15" hidden="false" customHeight="false" outlineLevel="0" collapsed="false">
      <c r="A718" s="13" t="s">
        <v>99</v>
      </c>
      <c r="B718" s="34" t="n">
        <f aca="false">INDEX(A583:A716,MATCH(MAX(P583:P716),P583:P716,0))</f>
        <v>0.101293314754956</v>
      </c>
    </row>
    <row r="719" customFormat="false" ht="15" hidden="false" customHeight="false" outlineLevel="0" collapsed="false">
      <c r="A719" s="13" t="s">
        <v>89</v>
      </c>
      <c r="B719" s="35" t="n">
        <f aca="false">MAX(P583:P716)</f>
        <v>517084.423566354</v>
      </c>
    </row>
    <row r="720" customFormat="false" ht="15" hidden="false" customHeight="false" outlineLevel="0" collapsed="false">
      <c r="A720" s="13" t="s">
        <v>125</v>
      </c>
      <c r="B720" s="36" t="n">
        <f aca="false">INDEX(J583:J716,MATCH(MAX(P583:P716),P583:P716,0))</f>
        <v>12.932914004512</v>
      </c>
    </row>
    <row r="721" customFormat="false" ht="15" hidden="false" customHeight="false" outlineLevel="0" collapsed="false">
      <c r="A721" s="13" t="s">
        <v>126</v>
      </c>
      <c r="B721" s="0" t="str">
        <f aca="false">IF(AND(MATCH(MAX(P583:P703),P583:P703,0)&gt;1,MATCH(MAX(P583:P703),P583:P703,0)&lt;121),"yes","no — widen the range")</f>
        <v>yes</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37"/>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12"/>
    <col collapsed="false" customWidth="true" hidden="false" outlineLevel="0" max="2" min="2" style="0" width="70"/>
    <col collapsed="false" customWidth="true" hidden="false" outlineLevel="0" max="4" min="3" style="0" width="14"/>
    <col collapsed="false" customWidth="true" hidden="false" outlineLevel="0" max="5" min="5" style="0" width="12"/>
    <col collapsed="false" customWidth="true" hidden="false" outlineLevel="0" max="6" min="6" style="0" width="13"/>
  </cols>
  <sheetData>
    <row r="1" customFormat="false" ht="16.15" hidden="false" customHeight="false" outlineLevel="0" collapsed="false">
      <c r="A1" s="5" t="s">
        <v>131</v>
      </c>
    </row>
    <row r="2" customFormat="false" ht="15" hidden="false" customHeight="false" outlineLevel="0" collapsed="false">
      <c r="A2" s="2" t="s">
        <v>132</v>
      </c>
    </row>
    <row r="4" customFormat="false" ht="15" hidden="false" customHeight="false" outlineLevel="0" collapsed="false">
      <c r="A4" s="28" t="s">
        <v>133</v>
      </c>
      <c r="B4" s="28" t="s">
        <v>134</v>
      </c>
      <c r="C4" s="28" t="s">
        <v>135</v>
      </c>
      <c r="D4" s="28" t="s">
        <v>136</v>
      </c>
      <c r="E4" s="28" t="s">
        <v>137</v>
      </c>
      <c r="F4" s="28" t="s">
        <v>138</v>
      </c>
    </row>
    <row r="5" customFormat="false" ht="15" hidden="false" customHeight="false" outlineLevel="0" collapsed="false">
      <c r="A5" s="0" t="s">
        <v>139</v>
      </c>
      <c r="B5" s="4" t="s">
        <v>140</v>
      </c>
      <c r="C5" s="37" t="n">
        <v>510124</v>
      </c>
      <c r="D5" s="37" t="n">
        <f aca="false">'3. The decision'!E37</f>
        <v>510124.323364391</v>
      </c>
      <c r="E5" s="37" t="n">
        <f aca="false">IF(ISNUMBER(D5),D5-C5,"")</f>
        <v>0.323364390642382</v>
      </c>
      <c r="F5" s="0" t="str">
        <f aca="false">IF(ISNUMBER(D5)=FALSE(),"to check",IF(ABS(E5)&lt;=1,"reproduced",IF(ABS(E5)&lt;=1*3,"rounding","to check")))</f>
        <v>reproduced</v>
      </c>
    </row>
    <row r="6" customFormat="false" ht="15" hidden="false" customHeight="false" outlineLevel="0" collapsed="false">
      <c r="A6" s="0" t="s">
        <v>139</v>
      </c>
      <c r="B6" s="4" t="s">
        <v>141</v>
      </c>
      <c r="C6" s="37" t="n">
        <v>368687</v>
      </c>
      <c r="D6" s="37" t="n">
        <f aca="false">'3. The decision'!E33</f>
        <v>368686.788468253</v>
      </c>
      <c r="E6" s="37" t="n">
        <f aca="false">IF(ISNUMBER(D6),D6-C6,"")</f>
        <v>-0.211531746899709</v>
      </c>
      <c r="F6" s="0" t="str">
        <f aca="false">IF(ISNUMBER(D6)=FALSE(),"to check",IF(ABS(E6)&lt;=1,"reproduced",IF(ABS(E6)&lt;=1*3,"rounding","to check")))</f>
        <v>reproduced</v>
      </c>
    </row>
    <row r="7" customFormat="false" ht="15" hidden="false" customHeight="false" outlineLevel="0" collapsed="false">
      <c r="A7" s="0" t="s">
        <v>139</v>
      </c>
      <c r="B7" s="4" t="s">
        <v>142</v>
      </c>
      <c r="C7" s="0" t="n">
        <v>14.7</v>
      </c>
      <c r="D7" s="36" t="n">
        <f aca="false">'3. The decision'!B33</f>
        <v>14.6691729323308</v>
      </c>
      <c r="E7" s="38" t="n">
        <f aca="false">IF(ISNUMBER(D7),D7-C7,"")</f>
        <v>-0.0308270676691702</v>
      </c>
      <c r="F7" s="0" t="str">
        <f aca="false">IF(ISNUMBER(D7)=FALSE(),"to check",IF(ABS(E7)&lt;=0.05,"reproduced",IF(ABS(E7)&lt;=0.05*3,"rounding","to check")))</f>
        <v>reproduced</v>
      </c>
    </row>
    <row r="8" customFormat="false" ht="15" hidden="false" customHeight="false" outlineLevel="0" collapsed="false">
      <c r="A8" s="0" t="s">
        <v>139</v>
      </c>
      <c r="B8" s="4" t="s">
        <v>143</v>
      </c>
      <c r="C8" s="37" t="n">
        <v>447014</v>
      </c>
      <c r="D8" s="37" t="n">
        <f aca="false">'3. The decision'!E35</f>
        <v>447014.278627426</v>
      </c>
      <c r="E8" s="37" t="n">
        <f aca="false">IF(ISNUMBER(D8),D8-C8,"")</f>
        <v>0.278627426014282</v>
      </c>
      <c r="F8" s="0" t="str">
        <f aca="false">IF(ISNUMBER(D8)=FALSE(),"to check",IF(ABS(E8)&lt;=1,"reproduced",IF(ABS(E8)&lt;=1*3,"rounding","to check")))</f>
        <v>reproduced</v>
      </c>
    </row>
    <row r="9" customFormat="false" ht="15" hidden="false" customHeight="false" outlineLevel="0" collapsed="false">
      <c r="A9" s="0" t="s">
        <v>139</v>
      </c>
      <c r="B9" s="4" t="s">
        <v>144</v>
      </c>
      <c r="C9" s="37" t="n">
        <v>525042</v>
      </c>
      <c r="D9" s="37" t="n">
        <f aca="false">'3. The decision'!E41</f>
        <v>525042.023422695</v>
      </c>
      <c r="E9" s="37" t="n">
        <f aca="false">IF(ISNUMBER(D9),D9-C9,"")</f>
        <v>0.0234226945322007</v>
      </c>
      <c r="F9" s="0" t="str">
        <f aca="false">IF(ISNUMBER(D9)=FALSE(),"to check",IF(ABS(E9)&lt;=1,"reproduced",IF(ABS(E9)&lt;=1*3,"rounding","to check")))</f>
        <v>reproduced</v>
      </c>
    </row>
    <row r="10" customFormat="false" ht="15" hidden="false" customHeight="false" outlineLevel="0" collapsed="false">
      <c r="A10" s="0" t="s">
        <v>139</v>
      </c>
      <c r="B10" s="4" t="s">
        <v>145</v>
      </c>
      <c r="C10" s="37" t="n">
        <v>491164</v>
      </c>
      <c r="D10" s="37" t="n">
        <f aca="false">'3. The decision'!E42</f>
        <v>491164.471684607</v>
      </c>
      <c r="E10" s="37" t="n">
        <f aca="false">IF(ISNUMBER(D10),D10-C10,"")</f>
        <v>0.471684607444331</v>
      </c>
      <c r="F10" s="0" t="str">
        <f aca="false">IF(ISNUMBER(D10)=FALSE(),"to check",IF(ABS(E10)&lt;=1,"reproduced",IF(ABS(E10)&lt;=1*3,"rounding","to check")))</f>
        <v>reproduced</v>
      </c>
    </row>
    <row r="11" customFormat="false" ht="15" hidden="false" customHeight="false" outlineLevel="0" collapsed="false">
      <c r="A11" s="0" t="s">
        <v>139</v>
      </c>
      <c r="B11" s="4" t="s">
        <v>146</v>
      </c>
      <c r="C11" s="37" t="n">
        <v>421199</v>
      </c>
      <c r="D11" s="37" t="n">
        <f aca="false">'3. The decision'!E43</f>
        <v>421198.557278172</v>
      </c>
      <c r="E11" s="37" t="n">
        <f aca="false">IF(ISNUMBER(D11),D11-C11,"")</f>
        <v>-0.442721828119829</v>
      </c>
      <c r="F11" s="0" t="str">
        <f aca="false">IF(ISNUMBER(D11)=FALSE(),"to check",IF(ABS(E11)&lt;=1,"reproduced",IF(ABS(E11)&lt;=1*3,"rounding","to check")))</f>
        <v>reproduced</v>
      </c>
    </row>
    <row r="12" customFormat="false" ht="15" hidden="false" customHeight="false" outlineLevel="0" collapsed="false">
      <c r="A12" s="0" t="s">
        <v>139</v>
      </c>
      <c r="B12" s="4" t="s">
        <v>99</v>
      </c>
      <c r="C12" s="34" t="n">
        <v>0.1282</v>
      </c>
      <c r="D12" s="34" t="n">
        <f aca="false">'3. The decision'!B46</f>
        <v>0.128180927925918</v>
      </c>
      <c r="E12" s="34" t="n">
        <f aca="false">IF(ISNUMBER(D12),D12-C12,"")</f>
        <v>-1.90720740819439E-005</v>
      </c>
      <c r="F12" s="0" t="str">
        <f aca="false">IF(ISNUMBER(D12)=FALSE(),"to check",IF(ABS(E12)&lt;=0.00005,"reproduced",IF(ABS(E12)&lt;=0.00005*3,"rounding","to check")))</f>
        <v>reproduced</v>
      </c>
    </row>
    <row r="13" customFormat="false" ht="15" hidden="false" customHeight="false" outlineLevel="0" collapsed="false">
      <c r="A13" s="0" t="s">
        <v>139</v>
      </c>
      <c r="B13" s="4" t="s">
        <v>147</v>
      </c>
      <c r="C13" s="37" t="n">
        <v>534087</v>
      </c>
      <c r="D13" s="37" t="n">
        <f aca="false">'3. The decision'!B47</f>
        <v>534086.592372447</v>
      </c>
      <c r="E13" s="37" t="n">
        <f aca="false">IF(ISNUMBER(D13),D13-C13,"")</f>
        <v>-0.407627553096972</v>
      </c>
      <c r="F13" s="0" t="str">
        <f aca="false">IF(ISNUMBER(D13)=FALSE(),"to check",IF(ABS(E13)&lt;=1,"reproduced",IF(ABS(E13)&lt;=1*3,"rounding","to check")))</f>
        <v>reproduced</v>
      </c>
    </row>
    <row r="14" customFormat="false" ht="15" hidden="false" customHeight="false" outlineLevel="0" collapsed="false">
      <c r="A14" s="0" t="s">
        <v>139</v>
      </c>
      <c r="B14" s="4" t="s">
        <v>148</v>
      </c>
      <c r="C14" s="37" t="n">
        <v>23962</v>
      </c>
      <c r="D14" s="37" t="n">
        <f aca="false">'3. The decision'!B48</f>
        <v>23962.2690080563</v>
      </c>
      <c r="E14" s="37" t="n">
        <f aca="false">IF(ISNUMBER(D14),D14-C14,"")</f>
        <v>0.269008056260645</v>
      </c>
      <c r="F14" s="0" t="str">
        <f aca="false">IF(ISNUMBER(D14)=FALSE(),"to check",IF(ABS(E14)&lt;=1,"reproduced",IF(ABS(E14)&lt;=1*3,"rounding","to check")))</f>
        <v>reproduced</v>
      </c>
    </row>
    <row r="15" customFormat="false" ht="15" hidden="false" customHeight="false" outlineLevel="0" collapsed="false">
      <c r="A15" s="0" t="s">
        <v>139</v>
      </c>
      <c r="B15" s="4" t="s">
        <v>149</v>
      </c>
      <c r="C15" s="37" t="n">
        <v>8244</v>
      </c>
      <c r="D15" s="37" t="n">
        <f aca="false">'3. The decision'!B51</f>
        <v>8244.39445740369</v>
      </c>
      <c r="E15" s="37" t="n">
        <f aca="false">IF(ISNUMBER(D15),D15-C15,"")</f>
        <v>0.394457403686829</v>
      </c>
      <c r="F15" s="0" t="str">
        <f aca="false">IF(ISNUMBER(D15)=FALSE(),"to check",IF(ABS(E15)&lt;=1,"reproduced",IF(ABS(E15)&lt;=1*3,"rounding","to check")))</f>
        <v>reproduced</v>
      </c>
    </row>
    <row r="16" customFormat="false" ht="15" hidden="false" customHeight="false" outlineLevel="0" collapsed="false">
      <c r="A16" s="0" t="s">
        <v>139</v>
      </c>
      <c r="B16" s="4" t="s">
        <v>150</v>
      </c>
      <c r="C16" s="34" t="n">
        <v>0.0154</v>
      </c>
      <c r="D16" s="34" t="n">
        <f aca="false">'3. The decision'!B52</f>
        <v>0.0154364377895756</v>
      </c>
      <c r="E16" s="34" t="n">
        <f aca="false">IF(ISNUMBER(D16),D16-C16,"")</f>
        <v>3.64377895755771E-005</v>
      </c>
      <c r="F16" s="0" t="str">
        <f aca="false">IF(ISNUMBER(D16)=FALSE(),"to check",IF(ABS(E16)&lt;=0.00005,"reproduced",IF(ABS(E16)&lt;=0.00005*3,"rounding","to check")))</f>
        <v>reproduced</v>
      </c>
    </row>
    <row r="17" customFormat="false" ht="15" hidden="false" customHeight="false" outlineLevel="0" collapsed="false">
      <c r="A17" s="0" t="s">
        <v>139</v>
      </c>
      <c r="B17" s="4" t="s">
        <v>151</v>
      </c>
      <c r="C17" s="34" t="n">
        <v>0.1745</v>
      </c>
      <c r="D17" s="34" t="n">
        <f aca="false">'3. The decision'!C56</f>
        <v>0.174460292350659</v>
      </c>
      <c r="E17" s="34" t="n">
        <f aca="false">IF(ISNUMBER(D17),D17-C17,"")</f>
        <v>-3.97076493409143E-005</v>
      </c>
      <c r="F17" s="0" t="str">
        <f aca="false">IF(ISNUMBER(D17)=FALSE(),"to check",IF(ABS(E17)&lt;=0.00005,"reproduced",IF(ABS(E17)&lt;=0.00005*3,"rounding","to check")))</f>
        <v>reproduced</v>
      </c>
    </row>
    <row r="18" customFormat="false" ht="15" hidden="false" customHeight="false" outlineLevel="0" collapsed="false">
      <c r="A18" s="0" t="s">
        <v>139</v>
      </c>
      <c r="B18" s="4" t="s">
        <v>152</v>
      </c>
      <c r="C18" s="37" t="n">
        <v>567607</v>
      </c>
      <c r="D18" s="37" t="n">
        <f aca="false">'3. The decision'!E56</f>
        <v>567607.342554796</v>
      </c>
      <c r="E18" s="37" t="n">
        <f aca="false">IF(ISNUMBER(D18),D18-C18,"")</f>
        <v>0.342554795905016</v>
      </c>
      <c r="F18" s="0" t="str">
        <f aca="false">IF(ISNUMBER(D18)=FALSE(),"to check",IF(ABS(E18)&lt;=1,"reproduced",IF(ABS(E18)&lt;=1*3,"rounding","to check")))</f>
        <v>reproduced</v>
      </c>
    </row>
    <row r="19" customFormat="false" ht="15" hidden="false" customHeight="false" outlineLevel="0" collapsed="false">
      <c r="A19" s="0" t="s">
        <v>153</v>
      </c>
      <c r="B19" s="4" t="s">
        <v>154</v>
      </c>
      <c r="D19" s="0" t="str">
        <f aca="false">IF('4. Search'!B145="yes","OK","CHECK")</f>
        <v>OK</v>
      </c>
      <c r="F19" s="0" t="str">
        <f aca="false">IF(D19="","",IF(D19="OK","reproduced",IF(RIGHT(D19,7)="to fill","to fill","to check")))</f>
        <v>reproduced</v>
      </c>
    </row>
    <row r="20" customFormat="false" ht="15" hidden="false" customHeight="false" outlineLevel="0" collapsed="false">
      <c r="A20" s="0" t="s">
        <v>139</v>
      </c>
      <c r="B20" s="4" t="s">
        <v>155</v>
      </c>
      <c r="C20" s="34" t="n">
        <v>0.1643</v>
      </c>
      <c r="D20" s="34" t="n">
        <f aca="false">'3. The decision'!C57</f>
        <v>0.164273630260154</v>
      </c>
      <c r="E20" s="34" t="n">
        <f aca="false">IF(ISNUMBER(D20),D20-C20,"")</f>
        <v>-2.63697398462937E-005</v>
      </c>
      <c r="F20" s="0" t="str">
        <f aca="false">IF(ISNUMBER(D20)=FALSE(),"to check",IF(ABS(E20)&lt;=0.00005,"reproduced",IF(ABS(E20)&lt;=0.00005*3,"rounding","to check")))</f>
        <v>reproduced</v>
      </c>
    </row>
    <row r="21" customFormat="false" ht="15" hidden="false" customHeight="false" outlineLevel="0" collapsed="false">
      <c r="A21" s="0" t="s">
        <v>139</v>
      </c>
      <c r="B21" s="4" t="s">
        <v>156</v>
      </c>
      <c r="C21" s="37" t="n">
        <v>546086</v>
      </c>
      <c r="D21" s="37" t="n">
        <f aca="false">'3. The decision'!E57</f>
        <v>546085.586387159</v>
      </c>
      <c r="E21" s="37" t="n">
        <f aca="false">IF(ISNUMBER(D21),D21-C21,"")</f>
        <v>-0.413612841046415</v>
      </c>
      <c r="F21" s="0" t="str">
        <f aca="false">IF(ISNUMBER(D21)=FALSE(),"to check",IF(ABS(E21)&lt;=1,"reproduced",IF(ABS(E21)&lt;=1*3,"rounding","to check")))</f>
        <v>reproduced</v>
      </c>
    </row>
    <row r="22" customFormat="false" ht="15" hidden="false" customHeight="false" outlineLevel="0" collapsed="false">
      <c r="A22" s="0" t="s">
        <v>153</v>
      </c>
      <c r="B22" s="4" t="s">
        <v>157</v>
      </c>
      <c r="D22" s="0" t="str">
        <f aca="false">IF('4. Search'!B289="yes","OK","CHECK")</f>
        <v>OK</v>
      </c>
      <c r="F22" s="0" t="str">
        <f aca="false">IF(D22="","",IF(D22="OK","reproduced",IF(RIGHT(D22,7)="to fill","to fill","to check")))</f>
        <v>reproduced</v>
      </c>
    </row>
    <row r="23" customFormat="false" ht="15" hidden="false" customHeight="false" outlineLevel="0" collapsed="false">
      <c r="A23" s="0" t="s">
        <v>139</v>
      </c>
      <c r="B23" s="4" t="s">
        <v>158</v>
      </c>
      <c r="C23" s="34" t="n">
        <v>0.1282</v>
      </c>
      <c r="D23" s="34" t="n">
        <f aca="false">'3. The decision'!C58</f>
        <v>0.128180927925918</v>
      </c>
      <c r="E23" s="34" t="n">
        <f aca="false">IF(ISNUMBER(D23),D23-C23,"")</f>
        <v>-1.90720740819439E-005</v>
      </c>
      <c r="F23" s="0" t="str">
        <f aca="false">IF(ISNUMBER(D23)=FALSE(),"to check",IF(ABS(E23)&lt;=0.00005,"reproduced",IF(ABS(E23)&lt;=0.00005*3,"rounding","to check")))</f>
        <v>reproduced</v>
      </c>
    </row>
    <row r="24" customFormat="false" ht="15" hidden="false" customHeight="false" outlineLevel="0" collapsed="false">
      <c r="A24" s="0" t="s">
        <v>139</v>
      </c>
      <c r="B24" s="4" t="s">
        <v>159</v>
      </c>
      <c r="C24" s="37" t="n">
        <v>534087</v>
      </c>
      <c r="D24" s="37" t="n">
        <f aca="false">'3. The decision'!E58</f>
        <v>534086.592372447</v>
      </c>
      <c r="E24" s="37" t="n">
        <f aca="false">IF(ISNUMBER(D24),D24-C24,"")</f>
        <v>-0.407627553096972</v>
      </c>
      <c r="F24" s="0" t="str">
        <f aca="false">IF(ISNUMBER(D24)=FALSE(),"to check",IF(ABS(E24)&lt;=1,"reproduced",IF(ABS(E24)&lt;=1*3,"rounding","to check")))</f>
        <v>reproduced</v>
      </c>
    </row>
    <row r="25" customFormat="false" ht="15" hidden="false" customHeight="false" outlineLevel="0" collapsed="false">
      <c r="A25" s="0" t="s">
        <v>153</v>
      </c>
      <c r="B25" s="4" t="s">
        <v>160</v>
      </c>
      <c r="D25" s="0" t="str">
        <f aca="false">IF('4. Search'!B433="yes","OK","CHECK")</f>
        <v>OK</v>
      </c>
      <c r="F25" s="0" t="str">
        <f aca="false">IF(D25="","",IF(D25="OK","reproduced",IF(RIGHT(D25,7)="to fill","to fill","to check")))</f>
        <v>reproduced</v>
      </c>
    </row>
    <row r="26" customFormat="false" ht="15" hidden="false" customHeight="false" outlineLevel="0" collapsed="false">
      <c r="A26" s="0" t="s">
        <v>139</v>
      </c>
      <c r="B26" s="4" t="s">
        <v>161</v>
      </c>
      <c r="C26" s="34" t="n">
        <v>0.1084</v>
      </c>
      <c r="D26" s="34" t="n">
        <f aca="false">'3. The decision'!C59</f>
        <v>0.108395133112365</v>
      </c>
      <c r="E26" s="34" t="n">
        <f aca="false">IF(ISNUMBER(D26),D26-C26,"")</f>
        <v>-4.8668876354574E-006</v>
      </c>
      <c r="F26" s="0" t="str">
        <f aca="false">IF(ISNUMBER(D26)=FALSE(),"to check",IF(ABS(E26)&lt;=0.00005,"reproduced",IF(ABS(E26)&lt;=0.00005*3,"rounding","to check")))</f>
        <v>reproduced</v>
      </c>
    </row>
    <row r="27" customFormat="false" ht="15" hidden="false" customHeight="false" outlineLevel="0" collapsed="false">
      <c r="A27" s="0" t="s">
        <v>139</v>
      </c>
      <c r="B27" s="4" t="s">
        <v>162</v>
      </c>
      <c r="C27" s="37" t="n">
        <v>522209</v>
      </c>
      <c r="D27" s="37" t="n">
        <f aca="false">'3. The decision'!E59</f>
        <v>522209.151160918</v>
      </c>
      <c r="E27" s="37" t="n">
        <f aca="false">IF(ISNUMBER(D27),D27-C27,"")</f>
        <v>0.151160917826928</v>
      </c>
      <c r="F27" s="0" t="str">
        <f aca="false">IF(ISNUMBER(D27)=FALSE(),"to check",IF(ABS(E27)&lt;=1,"reproduced",IF(ABS(E27)&lt;=1*3,"rounding","to check")))</f>
        <v>reproduced</v>
      </c>
    </row>
    <row r="28" customFormat="false" ht="15" hidden="false" customHeight="false" outlineLevel="0" collapsed="false">
      <c r="A28" s="0" t="s">
        <v>153</v>
      </c>
      <c r="B28" s="4" t="s">
        <v>163</v>
      </c>
      <c r="D28" s="0" t="str">
        <f aca="false">IF('4. Search'!B577="yes","OK","CHECK")</f>
        <v>OK</v>
      </c>
      <c r="F28" s="0" t="str">
        <f aca="false">IF(D28="","",IF(D28="OK","reproduced",IF(RIGHT(D28,7)="to fill","to fill","to check")))</f>
        <v>reproduced</v>
      </c>
    </row>
    <row r="29" customFormat="false" ht="15" hidden="false" customHeight="false" outlineLevel="0" collapsed="false">
      <c r="A29" s="0" t="s">
        <v>139</v>
      </c>
      <c r="B29" s="4" t="s">
        <v>164</v>
      </c>
      <c r="C29" s="34" t="n">
        <v>0.1013</v>
      </c>
      <c r="D29" s="34" t="n">
        <f aca="false">'3. The decision'!C60</f>
        <v>0.101293314754956</v>
      </c>
      <c r="E29" s="34" t="n">
        <f aca="false">IF(ISNUMBER(D29),D29-C29,"")</f>
        <v>-6.68524504404688E-006</v>
      </c>
      <c r="F29" s="0" t="str">
        <f aca="false">IF(ISNUMBER(D29)=FALSE(),"to check",IF(ABS(E29)&lt;=0.00005,"reproduced",IF(ABS(E29)&lt;=0.00005*3,"rounding","to check")))</f>
        <v>reproduced</v>
      </c>
    </row>
    <row r="30" customFormat="false" ht="15" hidden="false" customHeight="false" outlineLevel="0" collapsed="false">
      <c r="A30" s="0" t="s">
        <v>139</v>
      </c>
      <c r="B30" s="4" t="s">
        <v>165</v>
      </c>
      <c r="C30" s="37" t="n">
        <v>517084</v>
      </c>
      <c r="D30" s="37" t="n">
        <f aca="false">'3. The decision'!E60</f>
        <v>517084.423566354</v>
      </c>
      <c r="E30" s="37" t="n">
        <f aca="false">IF(ISNUMBER(D30),D30-C30,"")</f>
        <v>0.423566354089417</v>
      </c>
      <c r="F30" s="0" t="str">
        <f aca="false">IF(ISNUMBER(D30)=FALSE(),"to check",IF(ABS(E30)&lt;=1,"reproduced",IF(ABS(E30)&lt;=1*3,"rounding","to check")))</f>
        <v>reproduced</v>
      </c>
    </row>
    <row r="31" customFormat="false" ht="15" hidden="false" customHeight="false" outlineLevel="0" collapsed="false">
      <c r="A31" s="0" t="s">
        <v>153</v>
      </c>
      <c r="B31" s="4" t="s">
        <v>166</v>
      </c>
      <c r="D31" s="0" t="str">
        <f aca="false">IF('4. Search'!B721="yes","OK","CHECK")</f>
        <v>OK</v>
      </c>
      <c r="F31" s="0" t="str">
        <f aca="false">IF(D31="","",IF(D31="OK","reproduced",IF(RIGHT(D31,7)="to fill","to fill","to check")))</f>
        <v>reproduced</v>
      </c>
    </row>
    <row r="32" customFormat="false" ht="15" hidden="false" customHeight="false" outlineLevel="0" collapsed="false">
      <c r="A32" s="0" t="s">
        <v>139</v>
      </c>
      <c r="B32" s="4" t="s">
        <v>167</v>
      </c>
      <c r="D32" s="0" t="str">
        <f aca="false">IF(MIN('3. The decision'!C56:C60)&gt;'3. The decision'!B16,"OK","CHECK")</f>
        <v>OK</v>
      </c>
      <c r="F32" s="0" t="str">
        <f aca="false">IF(D32="","",IF(D32="OK","reproduced",IF(RIGHT(D32,7)="to fill","to fill","to check")))</f>
        <v>reproduced</v>
      </c>
    </row>
    <row r="33" customFormat="false" ht="15" hidden="false" customHeight="false" outlineLevel="0" collapsed="false">
      <c r="A33" s="0" t="s">
        <v>168</v>
      </c>
      <c r="B33" s="4" t="s">
        <v>169</v>
      </c>
      <c r="D33" s="0" t="str">
        <f aca="false">IF(OR('2. Your response curve'!B28&gt;0,'2. Your response curve'!B32='2. Your response curve'!B23),"OK","CHECK")</f>
        <v>OK</v>
      </c>
      <c r="F33" s="0" t="str">
        <f aca="false">IF(D33="","",IF(D33="OK","reproduced",IF(RIGHT(D33,7)="to fill","to fill","to check")))</f>
        <v>reproduced</v>
      </c>
    </row>
    <row r="35" customFormat="false" ht="15" hidden="false" customHeight="false" outlineLevel="0" collapsed="false">
      <c r="A35" s="13" t="s">
        <v>170</v>
      </c>
      <c r="C35" s="38" t="n">
        <f aca="false">COUNTIF(F5:F33,"reproduced")</f>
        <v>29</v>
      </c>
    </row>
    <row r="36" customFormat="false" ht="15" hidden="false" customHeight="false" outlineLevel="0" collapsed="false">
      <c r="A36" s="13" t="s">
        <v>171</v>
      </c>
      <c r="C36" s="38" t="n">
        <f aca="false">29-C35</f>
        <v>0</v>
      </c>
    </row>
    <row r="37" customFormat="false" ht="15" hidden="false" customHeight="false" outlineLevel="0" collapsed="false">
      <c r="A37" s="13" t="s">
        <v>172</v>
      </c>
      <c r="C37" s="13" t="str">
        <f aca="false">IF(C35=29,"ALL OK",IF(COUNTIF(F5:F33,"to check")+COUNTIF(F5:F33,"rounding")=0,"INPUTS MISSING","SOME FAIL"))</f>
        <v>ALL OK</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2026-08-26T15:48:01Z</dcterms:created>
  <dc:creator>openpyxl</dc:creator>
  <dc:description/>
  <dc:language>en-US</dc:language>
  <cp:lastModifiedBy/>
  <dcterms:modified xsi:type="dcterms:W3CDTF">2026-09-23T23:34:11Z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