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Assumptions" sheetId="1" state="visible" r:id="rId3"/>
    <sheet name="Lead time table" sheetId="2" state="visible" r:id="rId4"/>
    <sheet name="What you can pay" sheetId="3" state="visible" r:id="rId5"/>
    <sheet name="Checks"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<sst xmlns="http://schemas.openxmlformats.org/spreadsheetml/2006/main" count="176" uniqueCount="124">
  <si>
    <t xml:space="preserve">Aldermere Filtration, reference AF-7. Blue cells are the only inputs.</t>
  </si>
  <si>
    <t xml:space="preserve">Parameter</t>
  </si>
  <si>
    <t xml:space="preserve">Value</t>
  </si>
  <si>
    <t xml:space="preserve">Unit</t>
  </si>
  <si>
    <t xml:space="preserve">Mean weekly demand</t>
  </si>
  <si>
    <t xml:space="preserve">units</t>
  </si>
  <si>
    <t xml:space="preserve">Standard deviation of weekly demand</t>
  </si>
  <si>
    <t xml:space="preserve">Weeks per year</t>
  </si>
  <si>
    <t xml:space="preserve">weeks</t>
  </si>
  <si>
    <t xml:space="preserve">Mean replenishment lead time</t>
  </si>
  <si>
    <t xml:space="preserve">Standard deviation of lead time</t>
  </si>
  <si>
    <t xml:space="preserve">Selling price</t>
  </si>
  <si>
    <t xml:space="preserve">EUR per unit</t>
  </si>
  <si>
    <t xml:space="preserve">Purchase cost delivered</t>
  </si>
  <si>
    <t xml:space="preserve">Cost of capital</t>
  </si>
  <si>
    <t xml:space="preserve">per year</t>
  </si>
  <si>
    <t xml:space="preserve">Storage</t>
  </si>
  <si>
    <t xml:space="preserve">Obsolescence</t>
  </si>
  <si>
    <t xml:space="preserve">Insurance</t>
  </si>
  <si>
    <t xml:space="preserve">Cost of placing one order</t>
  </si>
  <si>
    <t xml:space="preserve">EUR</t>
  </si>
  <si>
    <t xml:space="preserve">Cycle service level voted by the board</t>
  </si>
  <si>
    <t xml:space="preserve">probability</t>
  </si>
  <si>
    <t xml:space="preserve">Unit margin</t>
  </si>
  <si>
    <t xml:space="preserve">Total holding rate</t>
  </si>
  <si>
    <t xml:space="preserve">Annual demand</t>
  </si>
  <si>
    <t xml:space="preserve">units per year</t>
  </si>
  <si>
    <t xml:space="preserve">Holding cost of one unit for one year</t>
  </si>
  <si>
    <t xml:space="preserve">EUR per unit per year</t>
  </si>
  <si>
    <t xml:space="preserve">Standard deviation of demand during lead time</t>
  </si>
  <si>
    <t xml:space="preserve">Economic order quantity</t>
  </si>
  <si>
    <t xml:space="preserve">Orders per year</t>
  </si>
  <si>
    <t xml:space="preserve">orders per year</t>
  </si>
  <si>
    <t xml:space="preserve">Annual ordering cost</t>
  </si>
  <si>
    <t xml:space="preserve">EUR per year</t>
  </si>
  <si>
    <t xml:space="preserve">z at the cycle service level voted by the board</t>
  </si>
  <si>
    <t xml:space="preserve">standard deviations</t>
  </si>
  <si>
    <t xml:space="preserve">Expected shortage per cycle, in sigma units</t>
  </si>
  <si>
    <t xml:space="preserve">sigma units</t>
  </si>
  <si>
    <t xml:space="preserve">Units missing per year at the board service level</t>
  </si>
  <si>
    <t xml:space="preserve">What the irregularity of the supplier costs, week by week</t>
  </si>
  <si>
    <t xml:space="preserve">Standard deviation during lead time</t>
  </si>
  <si>
    <t xml:space="preserve">Safety stock</t>
  </si>
  <si>
    <t xml:space="preserve">Inventory value</t>
  </si>
  <si>
    <t xml:space="preserve">Total cost</t>
  </si>
  <si>
    <t xml:space="preserve">Fill rate</t>
  </si>
  <si>
    <t xml:space="preserve">Share of the variance from lead time</t>
  </si>
  <si>
    <t xml:space="preserve">What a reliable supplier is worth, and what you can pay for it</t>
  </si>
  <si>
    <t xml:space="preserve">Item</t>
  </si>
  <si>
    <t xml:space="preserve">Input</t>
  </si>
  <si>
    <t xml:space="preserve">Target standard deviation of lead time</t>
  </si>
  <si>
    <t xml:space="preserve">Horizon for the reliability case</t>
  </si>
  <si>
    <t xml:space="preserve">years</t>
  </si>
  <si>
    <t xml:space="preserve">Standard deviation during lead time, at the target</t>
  </si>
  <si>
    <t xml:space="preserve">Standard deviation during lead time, with a perfectly regular lead time</t>
  </si>
  <si>
    <t xml:space="preserve">Inventory value today</t>
  </si>
  <si>
    <t xml:space="preserve">Inventory value at the target</t>
  </si>
  <si>
    <t xml:space="preserve">Holding plus shortage cost today</t>
  </si>
  <si>
    <t xml:space="preserve">Holding plus shortage cost at the target</t>
  </si>
  <si>
    <t xml:space="preserve">Annual gain in the profit and loss account</t>
  </si>
  <si>
    <t xml:space="preserve">Cash released once</t>
  </si>
  <si>
    <t xml:space="preserve">Acceptable unit cost premium</t>
  </si>
  <si>
    <t xml:space="preserve">Premium as a share of the purchase cost</t>
  </si>
  <si>
    <t xml:space="preserve">of the purchase cost</t>
  </si>
  <si>
    <t xml:space="preserve">What reliability is worth over the horizon, in the profit and loss account</t>
  </si>
  <si>
    <t xml:space="preserve">The cash released does not add to the line above: what it is worth in the profit and loss account is the cost of capital it stops consuming, which the holding rate already charges, so it is already inside the annual gain</t>
  </si>
  <si>
    <t xml:space="preserve">EUR of balance sheet, once</t>
  </si>
  <si>
    <t xml:space="preserve">Total cost if the lead time were perfectly regular</t>
  </si>
  <si>
    <t xml:space="preserve">Total cost today</t>
  </si>
  <si>
    <t xml:space="preserve">What the irregularity of the supplier costs each year</t>
  </si>
  <si>
    <t xml:space="preserve">The lever set against the dispute over the service level</t>
  </si>
  <si>
    <t xml:space="preserve">Total cost at the cycle service level shown</t>
  </si>
  <si>
    <t xml:space="preserve">Whole dispute over the service level, 97 % to 99.5 %</t>
  </si>
  <si>
    <t xml:space="preserve">The lead time lever, 1.9 to 0.5 weeks</t>
  </si>
  <si>
    <t xml:space="preserve">How many times the lever is worth the dispute</t>
  </si>
  <si>
    <t xml:space="preserve">times</t>
  </si>
  <si>
    <t xml:space="preserve">Every figure printed in the book, reproduced here</t>
  </si>
  <si>
    <t xml:space="preserve">Figure</t>
  </si>
  <si>
    <t xml:space="preserve">Book</t>
  </si>
  <si>
    <t xml:space="preserve">Workbook</t>
  </si>
  <si>
    <t xml:space="preserve">Difference</t>
  </si>
  <si>
    <t xml:space="preserve">Status</t>
  </si>
  <si>
    <t xml:space="preserve">Lead time table, 0.0 week : standard deviation during lead time</t>
  </si>
  <si>
    <t xml:space="preserve">Lead time table, 0.0 week : safety stock</t>
  </si>
  <si>
    <t xml:space="preserve">Lead time table, 0.0 week : inventory value</t>
  </si>
  <si>
    <t xml:space="preserve">Lead time table, 0.0 week : total cost</t>
  </si>
  <si>
    <t xml:space="preserve">Lead time table, 0.0 week : fill rate</t>
  </si>
  <si>
    <t xml:space="preserve">Lead time table, 0.0 week : share of the variance from lead time</t>
  </si>
  <si>
    <t xml:space="preserve">Lead time table, 0.5 week : standard deviation during lead time</t>
  </si>
  <si>
    <t xml:space="preserve">Lead time table, 0.5 week : safety stock</t>
  </si>
  <si>
    <t xml:space="preserve">Lead time table, 0.5 week : inventory value</t>
  </si>
  <si>
    <t xml:space="preserve">Lead time table, 0.5 week : total cost</t>
  </si>
  <si>
    <t xml:space="preserve">Lead time table, 0.5 week : fill rate</t>
  </si>
  <si>
    <t xml:space="preserve">Lead time table, 0.5 week : share of the variance from lead time</t>
  </si>
  <si>
    <t xml:space="preserve">Lead time table, 1.0 week : standard deviation during lead time</t>
  </si>
  <si>
    <t xml:space="preserve">Lead time table, 1.0 week : safety stock</t>
  </si>
  <si>
    <t xml:space="preserve">Lead time table, 1.0 week : inventory value</t>
  </si>
  <si>
    <t xml:space="preserve">Lead time table, 1.0 week : total cost</t>
  </si>
  <si>
    <t xml:space="preserve">Lead time table, 1.0 week : fill rate</t>
  </si>
  <si>
    <t xml:space="preserve">Lead time table, 1.0 week : share of the variance from lead time</t>
  </si>
  <si>
    <t xml:space="preserve">Lead time table, 1.5 week : standard deviation during lead time</t>
  </si>
  <si>
    <t xml:space="preserve">Lead time table, 1.5 week : safety stock</t>
  </si>
  <si>
    <t xml:space="preserve">Lead time table, 1.5 week : inventory value</t>
  </si>
  <si>
    <t xml:space="preserve">Lead time table, 1.5 week : total cost</t>
  </si>
  <si>
    <t xml:space="preserve">Lead time table, 1.5 week : fill rate</t>
  </si>
  <si>
    <t xml:space="preserve">Lead time table, 1.5 week : share of the variance from lead time</t>
  </si>
  <si>
    <t xml:space="preserve">Lead time table, 1.9 week : standard deviation during lead time</t>
  </si>
  <si>
    <t xml:space="preserve">Lead time table, 1.9 week : safety stock</t>
  </si>
  <si>
    <t xml:space="preserve">Lead time table, 1.9 week : inventory value</t>
  </si>
  <si>
    <t xml:space="preserve">Lead time table, 1.9 week : total cost</t>
  </si>
  <si>
    <t xml:space="preserve">Lead time table, 1.9 week : fill rate</t>
  </si>
  <si>
    <t xml:space="preserve">Lead time table, 1.9 week : share of the variance from lead time</t>
  </si>
  <si>
    <t xml:space="preserve">Lead time table, 2.5 week : standard deviation during lead time</t>
  </si>
  <si>
    <t xml:space="preserve">Lead time table, 2.5 week : safety stock</t>
  </si>
  <si>
    <t xml:space="preserve">Lead time table, 2.5 week : inventory value</t>
  </si>
  <si>
    <t xml:space="preserve">Lead time table, 2.5 week : total cost</t>
  </si>
  <si>
    <t xml:space="preserve">Lead time table, 2.5 week : fill rate</t>
  </si>
  <si>
    <t xml:space="preserve">Lead time table, 2.5 week : share of the variance from lead time</t>
  </si>
  <si>
    <t xml:space="preserve">Lead time table, 3.0 week : standard deviation during lead time</t>
  </si>
  <si>
    <t xml:space="preserve">Lead time table, 3.0 week : safety stock</t>
  </si>
  <si>
    <t xml:space="preserve">Lead time table, 3.0 week : inventory value</t>
  </si>
  <si>
    <t xml:space="preserve">Lead time table, 3.0 week : total cost</t>
  </si>
  <si>
    <t xml:space="preserve">Lead time table, 3.0 week : fill rate</t>
  </si>
  <si>
    <t xml:space="preserve">Lead time table, 3.0 week : share of the variance from lead time</t>
  </si>
</sst>
</file>

<file path=xl/styles.xml><?xml version="1.0" encoding="utf-8"?>
<styleSheet xmlns="http://schemas.openxmlformats.org/spreadsheetml/2006/main">
  <numFmts count="4">
    <numFmt numFmtId="164" formatCode="General"/>
    <numFmt numFmtId="165" formatCode="#,##0.00"/>
    <numFmt numFmtId="166" formatCode="0.0000%"/>
    <numFmt numFmtId="167" formatCode="#,##0.0000"/>
  </numFmts>
  <fonts count="9">
    <font>
      <sz val="11"/>
      <color theme="1"/>
      <name val="Calibri"/>
      <family val="2"/>
      <charset val="1"/>
    </font>
    <font>
      <sz val="10"/>
      <name val="Arial"/>
      <family val="0"/>
    </font>
    <font>
      <sz val="10"/>
      <name val="Arial"/>
      <family val="0"/>
    </font>
    <font>
      <sz val="10"/>
      <name val="Arial"/>
      <family val="0"/>
    </font>
    <font>
      <b val="true"/>
      <sz val="11"/>
      <name val="Segoe UI"/>
      <family val="0"/>
      <charset val="1"/>
    </font>
    <font>
      <b val="true"/>
      <sz val="10"/>
      <color rgb="FFEFE7DA"/>
      <name val="Segoe UI"/>
      <family val="0"/>
      <charset val="1"/>
    </font>
    <font>
      <sz val="10"/>
      <name val="Segoe UI"/>
      <family val="0"/>
      <charset val="1"/>
    </font>
    <font>
      <sz val="10"/>
      <color rgb="FF0000C0"/>
      <name val="Segoe UI"/>
      <family val="0"/>
      <charset val="1"/>
    </font>
    <font>
      <b val="true"/>
      <sz val="10"/>
      <name val="Segoe UI"/>
      <family val="0"/>
      <charset val="1"/>
    </font>
  </fonts>
  <fills count="4">
    <fill>
      <patternFill patternType="none"/>
    </fill>
    <fill>
      <patternFill patternType="gray125"/>
    </fill>
    <fill>
      <patternFill patternType="solid">
        <fgColor rgb="FF104228"/>
        <bgColor rgb="FF333333"/>
      </patternFill>
    </fill>
    <fill>
      <patternFill patternType="solid">
        <fgColor rgb="FFEFE7DA"/>
        <bgColor rgb="FFFF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true" applyProtection="false">
      <alignment horizontal="left" vertical="center" textRotation="0" wrapText="tru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7"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false" applyProtection="false">
      <alignment horizontal="general" vertical="bottom" textRotation="0" wrapText="fals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5" fontId="6" fillId="0" borderId="1" xfId="0" applyFont="true" applyBorder="true" applyAlignment="false" applyProtection="false">
      <alignment horizontal="general" vertical="bottom" textRotation="0" wrapText="false" indent="0" shrinkToFit="false"/>
      <protection locked="true" hidden="false"/>
    </xf>
    <xf numFmtId="166" fontId="6" fillId="0" borderId="1" xfId="0" applyFont="true" applyBorder="true" applyAlignment="false" applyProtection="false">
      <alignment horizontal="general" vertical="bottom" textRotation="0" wrapText="false" indent="0" shrinkToFit="false"/>
      <protection locked="true" hidden="false"/>
    </xf>
    <xf numFmtId="167" fontId="6"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C0"/>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EFE7DA"/>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104228"/>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D2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52"/>
    <col collapsed="false" customWidth="true" hidden="false" outlineLevel="0" max="3" min="3" style="0" width="16"/>
    <col collapsed="false" customWidth="true" hidden="false" outlineLevel="0" max="4" min="4" style="0" width="22"/>
  </cols>
  <sheetData>
    <row r="1" customFormat="false" ht="18" hidden="false" customHeight="true" outlineLevel="0" collapsed="false"/>
    <row r="2" customFormat="false" ht="15" hidden="false" customHeight="false" outlineLevel="0" collapsed="false">
      <c r="B2" s="1" t="s">
        <v>0</v>
      </c>
    </row>
    <row r="4" customFormat="false" ht="27.75" hidden="false" customHeight="true" outlineLevel="0" collapsed="false">
      <c r="B4" s="2" t="s">
        <v>1</v>
      </c>
      <c r="C4" s="2" t="s">
        <v>2</v>
      </c>
      <c r="D4" s="2" t="s">
        <v>3</v>
      </c>
    </row>
    <row r="5" customFormat="false" ht="15" hidden="false" customHeight="false" outlineLevel="0" collapsed="false">
      <c r="B5" s="3" t="s">
        <v>4</v>
      </c>
      <c r="C5" s="4" t="n">
        <v>1840</v>
      </c>
      <c r="D5" s="5" t="s">
        <v>5</v>
      </c>
    </row>
    <row r="6" customFormat="false" ht="15" hidden="false" customHeight="false" outlineLevel="0" collapsed="false">
      <c r="B6" s="3" t="s">
        <v>6</v>
      </c>
      <c r="C6" s="4" t="n">
        <v>462</v>
      </c>
      <c r="D6" s="5" t="s">
        <v>5</v>
      </c>
    </row>
    <row r="7" customFormat="false" ht="15" hidden="false" customHeight="false" outlineLevel="0" collapsed="false">
      <c r="B7" s="3" t="s">
        <v>7</v>
      </c>
      <c r="C7" s="4" t="n">
        <v>52</v>
      </c>
      <c r="D7" s="5" t="s">
        <v>8</v>
      </c>
    </row>
    <row r="8" customFormat="false" ht="15" hidden="false" customHeight="false" outlineLevel="0" collapsed="false">
      <c r="B8" s="3" t="s">
        <v>9</v>
      </c>
      <c r="C8" s="4" t="n">
        <v>6</v>
      </c>
      <c r="D8" s="5" t="s">
        <v>8</v>
      </c>
    </row>
    <row r="9" customFormat="false" ht="15" hidden="false" customHeight="false" outlineLevel="0" collapsed="false">
      <c r="B9" s="3" t="s">
        <v>10</v>
      </c>
      <c r="C9" s="4" t="n">
        <v>1.9</v>
      </c>
      <c r="D9" s="5" t="s">
        <v>8</v>
      </c>
    </row>
    <row r="10" customFormat="false" ht="15" hidden="false" customHeight="false" outlineLevel="0" collapsed="false">
      <c r="B10" s="3" t="s">
        <v>11</v>
      </c>
      <c r="C10" s="4" t="n">
        <v>47.5</v>
      </c>
      <c r="D10" s="5" t="s">
        <v>12</v>
      </c>
    </row>
    <row r="11" customFormat="false" ht="15" hidden="false" customHeight="false" outlineLevel="0" collapsed="false">
      <c r="B11" s="3" t="s">
        <v>13</v>
      </c>
      <c r="C11" s="4" t="n">
        <v>28.6</v>
      </c>
      <c r="D11" s="5" t="s">
        <v>12</v>
      </c>
    </row>
    <row r="12" customFormat="false" ht="15" hidden="false" customHeight="false" outlineLevel="0" collapsed="false">
      <c r="B12" s="3" t="s">
        <v>14</v>
      </c>
      <c r="C12" s="6" t="n">
        <v>0.074</v>
      </c>
      <c r="D12" s="5" t="s">
        <v>15</v>
      </c>
    </row>
    <row r="13" customFormat="false" ht="15" hidden="false" customHeight="false" outlineLevel="0" collapsed="false">
      <c r="B13" s="3" t="s">
        <v>16</v>
      </c>
      <c r="C13" s="6" t="n">
        <v>0.031</v>
      </c>
      <c r="D13" s="5" t="s">
        <v>15</v>
      </c>
    </row>
    <row r="14" customFormat="false" ht="15" hidden="false" customHeight="false" outlineLevel="0" collapsed="false">
      <c r="B14" s="3" t="s">
        <v>17</v>
      </c>
      <c r="C14" s="6" t="n">
        <v>0.0225</v>
      </c>
      <c r="D14" s="5" t="s">
        <v>15</v>
      </c>
    </row>
    <row r="15" customFormat="false" ht="15" hidden="false" customHeight="false" outlineLevel="0" collapsed="false">
      <c r="B15" s="3" t="s">
        <v>18</v>
      </c>
      <c r="C15" s="6" t="n">
        <v>0.0065</v>
      </c>
      <c r="D15" s="5" t="s">
        <v>15</v>
      </c>
    </row>
    <row r="16" customFormat="false" ht="15" hidden="false" customHeight="false" outlineLevel="0" collapsed="false">
      <c r="B16" s="3" t="s">
        <v>19</v>
      </c>
      <c r="C16" s="4" t="n">
        <v>385</v>
      </c>
      <c r="D16" s="5" t="s">
        <v>20</v>
      </c>
    </row>
    <row r="17" customFormat="false" ht="15" hidden="false" customHeight="false" outlineLevel="0" collapsed="false">
      <c r="B17" s="3" t="s">
        <v>21</v>
      </c>
      <c r="C17" s="6" t="n">
        <v>0.98</v>
      </c>
      <c r="D17" s="5" t="s">
        <v>22</v>
      </c>
    </row>
    <row r="18" customFormat="false" ht="15" hidden="false" customHeight="false" outlineLevel="0" collapsed="false">
      <c r="B18" s="7" t="s">
        <v>23</v>
      </c>
      <c r="C18" s="8" t="n">
        <f aca="false">Assumptions!C10-Assumptions!C11</f>
        <v>18.9</v>
      </c>
      <c r="D18" s="7" t="s">
        <v>12</v>
      </c>
    </row>
    <row r="19" customFormat="false" ht="15" hidden="false" customHeight="false" outlineLevel="0" collapsed="false">
      <c r="B19" s="7" t="s">
        <v>24</v>
      </c>
      <c r="C19" s="9" t="n">
        <f aca="false">Assumptions!C12+Assumptions!C13+Assumptions!C14+Assumptions!C15</f>
        <v>0.134</v>
      </c>
      <c r="D19" s="7" t="s">
        <v>15</v>
      </c>
    </row>
    <row r="20" customFormat="false" ht="15" hidden="false" customHeight="false" outlineLevel="0" collapsed="false">
      <c r="B20" s="7" t="s">
        <v>25</v>
      </c>
      <c r="C20" s="8" t="n">
        <f aca="false">Assumptions!C5*Assumptions!C7</f>
        <v>95680</v>
      </c>
      <c r="D20" s="7" t="s">
        <v>26</v>
      </c>
    </row>
    <row r="21" customFormat="false" ht="15" hidden="false" customHeight="false" outlineLevel="0" collapsed="false">
      <c r="B21" s="7" t="s">
        <v>27</v>
      </c>
      <c r="C21" s="10" t="n">
        <f aca="false">Assumptions!C11*Assumptions!C19</f>
        <v>3.8324</v>
      </c>
      <c r="D21" s="7" t="s">
        <v>28</v>
      </c>
    </row>
    <row r="22" customFormat="false" ht="15" hidden="false" customHeight="false" outlineLevel="0" collapsed="false">
      <c r="B22" s="7" t="s">
        <v>29</v>
      </c>
      <c r="C22" s="8" t="n">
        <f aca="false">SQRT(Assumptions!C8*Assumptions!C6^2+Assumptions!C5^2*Assumptions!C9^2)</f>
        <v>3674.5992978827</v>
      </c>
      <c r="D22" s="7" t="s">
        <v>5</v>
      </c>
    </row>
    <row r="23" customFormat="false" ht="15" hidden="false" customHeight="false" outlineLevel="0" collapsed="false">
      <c r="B23" s="7" t="s">
        <v>30</v>
      </c>
      <c r="C23" s="8" t="n">
        <f aca="false">SQRT(2*Assumptions!C20*Assumptions!C16/Assumptions!C21)</f>
        <v>4384.50460109405</v>
      </c>
      <c r="D23" s="7" t="s">
        <v>5</v>
      </c>
    </row>
    <row r="24" customFormat="false" ht="15" hidden="false" customHeight="false" outlineLevel="0" collapsed="false">
      <c r="B24" s="7" t="s">
        <v>31</v>
      </c>
      <c r="C24" s="10" t="n">
        <f aca="false">Assumptions!C20/Assumptions!C23</f>
        <v>21.8223057574453</v>
      </c>
      <c r="D24" s="7" t="s">
        <v>32</v>
      </c>
    </row>
    <row r="25" customFormat="false" ht="15" hidden="false" customHeight="false" outlineLevel="0" collapsed="false">
      <c r="B25" s="7" t="s">
        <v>33</v>
      </c>
      <c r="C25" s="8" t="n">
        <f aca="false">Assumptions!C24*Assumptions!C16</f>
        <v>8401.58771661643</v>
      </c>
      <c r="D25" s="7" t="s">
        <v>34</v>
      </c>
    </row>
    <row r="26" customFormat="false" ht="15" hidden="false" customHeight="false" outlineLevel="0" collapsed="false">
      <c r="B26" s="7" t="s">
        <v>35</v>
      </c>
      <c r="C26" s="10" t="n">
        <f aca="false">_xlfn.NORM.S.INV(Assumptions!C17)</f>
        <v>2.05374891063182</v>
      </c>
      <c r="D26" s="7" t="s">
        <v>36</v>
      </c>
    </row>
    <row r="27" customFormat="false" ht="15" hidden="false" customHeight="false" outlineLevel="0" collapsed="false">
      <c r="B27" s="7" t="s">
        <v>37</v>
      </c>
      <c r="C27" s="10" t="n">
        <f aca="false">(_xlfn.NORM.S.DIST(Assumptions!C26,FALSE())-(Assumptions!C26)*(1-_xlfn.NORM.S.DIST(Assumptions!C26,TRUE())))</f>
        <v>0.00734315766810564</v>
      </c>
      <c r="D27" s="7" t="s">
        <v>38</v>
      </c>
    </row>
    <row r="28" customFormat="false" ht="15" hidden="false" customHeight="false" outlineLevel="0" collapsed="false">
      <c r="B28" s="7" t="s">
        <v>39</v>
      </c>
      <c r="C28" s="8" t="n">
        <f aca="false">Assumptions!C22*Assumptions!C27*Assumptions!C24</f>
        <v>588.834811716826</v>
      </c>
      <c r="D28" s="7" t="s">
        <v>26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H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22"/>
    <col collapsed="false" customWidth="true" hidden="false" outlineLevel="0" max="3" min="3" style="0" width="24"/>
    <col collapsed="false" customWidth="true" hidden="false" outlineLevel="0" max="4" min="4" style="0" width="16"/>
    <col collapsed="false" customWidth="true" hidden="false" outlineLevel="0" max="5" min="5" style="0" width="18"/>
    <col collapsed="false" customWidth="true" hidden="false" outlineLevel="0" max="6" min="6" style="0" width="16"/>
    <col collapsed="false" customWidth="true" hidden="false" outlineLevel="0" max="7" min="7" style="0" width="14"/>
    <col collapsed="false" customWidth="true" hidden="false" outlineLevel="0" max="8" min="8" style="0" width="22"/>
  </cols>
  <sheetData>
    <row r="1" customFormat="false" ht="18" hidden="false" customHeight="true" outlineLevel="0" collapsed="false"/>
    <row r="2" customFormat="false" ht="15" hidden="false" customHeight="false" outlineLevel="0" collapsed="false">
      <c r="B2" s="1" t="s">
        <v>40</v>
      </c>
    </row>
    <row r="4" customFormat="false" ht="27.75" hidden="false" customHeight="true" outlineLevel="0" collapsed="false">
      <c r="B4" s="2" t="s">
        <v>10</v>
      </c>
      <c r="C4" s="2" t="s">
        <v>41</v>
      </c>
      <c r="D4" s="2" t="s">
        <v>42</v>
      </c>
      <c r="E4" s="2" t="s">
        <v>43</v>
      </c>
      <c r="F4" s="2" t="s">
        <v>44</v>
      </c>
      <c r="G4" s="2" t="s">
        <v>45</v>
      </c>
      <c r="H4" s="2" t="s">
        <v>46</v>
      </c>
    </row>
    <row r="5" customFormat="false" ht="15" hidden="false" customHeight="false" outlineLevel="0" collapsed="false">
      <c r="B5" s="4" t="n">
        <v>0</v>
      </c>
      <c r="C5" s="11" t="n">
        <f aca="false">SQRT(Assumptions!C8*Assumptions!C6^2+Assumptions!C5^2*B5^2)</f>
        <v>1131.66426116583</v>
      </c>
      <c r="D5" s="11" t="n">
        <f aca="false">Assumptions!C26*C5</f>
        <v>2324.15424357029</v>
      </c>
      <c r="E5" s="11" t="n">
        <f aca="false">(Assumptions!C23/2+D5)*Assumptions!C11</f>
        <v>129169.227161755</v>
      </c>
      <c r="F5" s="11" t="n">
        <f aca="false">E5*Assumptions!C19+Assumptions!C25+C5*Assumptions!C27*Assumptions!C24*Assumptions!C18</f>
        <v>29137.6491794413</v>
      </c>
      <c r="G5" s="12" t="n">
        <f aca="false">1-C5*Assumptions!C27/Assumptions!C23</f>
        <v>0.998104691441075</v>
      </c>
      <c r="H5" s="12" t="n">
        <f aca="false">Assumptions!C5^2*B5^2/(Assumptions!C8*Assumptions!C6^2+Assumptions!C5^2*B5^2)</f>
        <v>0</v>
      </c>
    </row>
    <row r="6" customFormat="false" ht="15" hidden="false" customHeight="false" outlineLevel="0" collapsed="false">
      <c r="B6" s="4" t="n">
        <v>0.5</v>
      </c>
      <c r="C6" s="11" t="n">
        <f aca="false">SQRT(Assumptions!C8*Assumptions!C6^2+Assumptions!C5^2*B6^2)</f>
        <v>1458.44574804824</v>
      </c>
      <c r="D6" s="11" t="n">
        <f aca="false">Assumptions!C26*C6</f>
        <v>2995.28136626969</v>
      </c>
      <c r="E6" s="11" t="n">
        <f aca="false">(Assumptions!C23/2+D6)*Assumptions!C11</f>
        <v>148363.462870958</v>
      </c>
      <c r="F6" s="11" t="n">
        <f aca="false">E6*Assumptions!C19+Assumptions!C25+C6*Assumptions!C27*Assumptions!C24*Assumptions!C18</f>
        <v>32699.3748687776</v>
      </c>
      <c r="G6" s="12" t="n">
        <f aca="false">1-C6*Assumptions!C27/Assumptions!C23</f>
        <v>0.99755739859969</v>
      </c>
      <c r="H6" s="12" t="n">
        <f aca="false">Assumptions!C5^2*B6^2/(Assumptions!C8*Assumptions!C6^2+Assumptions!C5^2*B6^2)</f>
        <v>0.397919385594416</v>
      </c>
    </row>
    <row r="7" customFormat="false" ht="15" hidden="false" customHeight="false" outlineLevel="0" collapsed="false">
      <c r="B7" s="4" t="n">
        <v>1</v>
      </c>
      <c r="C7" s="11" t="n">
        <f aca="false">SQRT(Assumptions!C8*Assumptions!C6^2+Assumptions!C5^2*B7^2)</f>
        <v>2160.15369823538</v>
      </c>
      <c r="D7" s="11" t="n">
        <f aca="false">Assumptions!C26*C7</f>
        <v>4436.41330454822</v>
      </c>
      <c r="E7" s="11" t="n">
        <f aca="false">(Assumptions!C23/2+D7)*Assumptions!C11</f>
        <v>189579.836305724</v>
      </c>
      <c r="F7" s="11" t="n">
        <f aca="false">E7*Assumptions!C19+Assumptions!C25+C7*Assumptions!C27*Assumptions!C24*Assumptions!C18</f>
        <v>40347.5781266701</v>
      </c>
      <c r="G7" s="12" t="n">
        <f aca="false">1-C7*Assumptions!C27/Assumptions!C23</f>
        <v>0.99638217982722</v>
      </c>
      <c r="H7" s="12" t="n">
        <f aca="false">Assumptions!C5^2*B7^2/(Assumptions!C8*Assumptions!C6^2+Assumptions!C5^2*B7^2)</f>
        <v>0.725548318740646</v>
      </c>
    </row>
    <row r="8" customFormat="false" ht="15" hidden="false" customHeight="false" outlineLevel="0" collapsed="false">
      <c r="B8" s="4" t="n">
        <v>1.5</v>
      </c>
      <c r="C8" s="11" t="n">
        <f aca="false">SQRT(Assumptions!C8*Assumptions!C6^2+Assumptions!C5^2*B8^2)</f>
        <v>2982.99580958472</v>
      </c>
      <c r="D8" s="11" t="n">
        <f aca="false">Assumptions!C26*C8</f>
        <v>6126.32439435391</v>
      </c>
      <c r="E8" s="11" t="n">
        <f aca="false">(Assumptions!C23/2+D8)*Assumptions!C11</f>
        <v>237911.293474167</v>
      </c>
      <c r="F8" s="11" t="n">
        <f aca="false">E8*Assumptions!C19+Assumptions!C25+C8*Assumptions!C27*Assumptions!C24*Assumptions!C18</f>
        <v>49316.0723771269</v>
      </c>
      <c r="G8" s="12" t="n">
        <f aca="false">1-C8*Assumptions!C27/Assumptions!C23</f>
        <v>0.995004085855535</v>
      </c>
      <c r="H8" s="12" t="n">
        <f aca="false">Assumptions!C5^2*B8^2/(Assumptions!C8*Assumptions!C6^2+Assumptions!C5^2*B8^2)</f>
        <v>0.856077095487389</v>
      </c>
    </row>
    <row r="9" customFormat="false" ht="15" hidden="false" customHeight="false" outlineLevel="0" collapsed="false">
      <c r="B9" s="4" t="n">
        <v>1.9</v>
      </c>
      <c r="C9" s="11" t="n">
        <f aca="false">SQRT(Assumptions!C8*Assumptions!C6^2+Assumptions!C5^2*B9^2)</f>
        <v>3674.5992978827</v>
      </c>
      <c r="D9" s="11" t="n">
        <f aca="false">Assumptions!C26*C9</f>
        <v>7546.70430503505</v>
      </c>
      <c r="E9" s="11" t="n">
        <f aca="false">(Assumptions!C23/2+D9)*Assumptions!C11</f>
        <v>278534.158919647</v>
      </c>
      <c r="F9" s="11" t="n">
        <f aca="false">E9*Assumptions!C19+Assumptions!C25+C9*Assumptions!C27*Assumptions!C24*Assumptions!C18</f>
        <v>56854.1429532972</v>
      </c>
      <c r="G9" s="12" t="n">
        <f aca="false">1-C9*Assumptions!C27/Assumptions!C23</f>
        <v>0.993845790011321</v>
      </c>
      <c r="H9" s="12" t="n">
        <f aca="false">Assumptions!C5^2*B9^2/(Assumptions!C8*Assumptions!C6^2+Assumptions!C5^2*B9^2)</f>
        <v>0.90515482852293</v>
      </c>
    </row>
    <row r="10" customFormat="false" ht="15" hidden="false" customHeight="false" outlineLevel="0" collapsed="false">
      <c r="B10" s="4" t="n">
        <v>2.5</v>
      </c>
      <c r="C10" s="11" t="n">
        <f aca="false">SQRT(Assumptions!C8*Assumptions!C6^2+Assumptions!C5^2*B10^2)</f>
        <v>4737.15779766729</v>
      </c>
      <c r="D10" s="11" t="n">
        <f aca="false">Assumptions!C26*C10</f>
        <v>9728.93266645024</v>
      </c>
      <c r="E10" s="11" t="n">
        <f aca="false">(Assumptions!C23/2+D10)*Assumptions!C11</f>
        <v>340945.890056122</v>
      </c>
      <c r="F10" s="11" t="n">
        <f aca="false">E10*Assumptions!C19+Assumptions!C25+C10*Assumptions!C27*Assumptions!C24*Assumptions!C18</f>
        <v>68435.4046129187</v>
      </c>
      <c r="G10" s="12" t="n">
        <f aca="false">1-C10*Assumptions!C27/Assumptions!C23</f>
        <v>0.992066219613891</v>
      </c>
      <c r="H10" s="12" t="n">
        <f aca="false">Assumptions!C5^2*B10^2/(Assumptions!C8*Assumptions!C6^2+Assumptions!C5^2*B10^2)</f>
        <v>0.942931100434461</v>
      </c>
    </row>
    <row r="11" customFormat="false" ht="15" hidden="false" customHeight="false" outlineLevel="0" collapsed="false">
      <c r="B11" s="4" t="n">
        <v>3</v>
      </c>
      <c r="C11" s="11" t="n">
        <f aca="false">SQRT(Assumptions!C8*Assumptions!C6^2+Assumptions!C5^2*B11^2)</f>
        <v>5634.80824873394</v>
      </c>
      <c r="D11" s="11" t="n">
        <f aca="false">Assumptions!C26*C11</f>
        <v>11572.4813024565</v>
      </c>
      <c r="E11" s="11" t="n">
        <f aca="false">(Assumptions!C23/2+D11)*Assumptions!C11</f>
        <v>393671.381045902</v>
      </c>
      <c r="F11" s="11" t="n">
        <f aca="false">E11*Assumptions!C19+Assumptions!C25+C11*Assumptions!C27*Assumptions!C24*Assumptions!C18</f>
        <v>78219.2656942498</v>
      </c>
      <c r="G11" s="12" t="n">
        <f aca="false">1-C11*Assumptions!C27/Assumptions!C23</f>
        <v>0.990562836816349</v>
      </c>
      <c r="H11" s="12" t="n">
        <f aca="false">Assumptions!C5^2*B11^2/(Assumptions!C8*Assumptions!C6^2+Assumptions!C5^2*B11^2)</f>
        <v>0.959665477667142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E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56"/>
    <col collapsed="false" customWidth="true" hidden="false" outlineLevel="0" max="3" min="3" style="0" width="14"/>
    <col collapsed="false" customWidth="true" hidden="false" outlineLevel="0" max="4" min="4" style="0" width="20"/>
    <col collapsed="false" customWidth="true" hidden="false" outlineLevel="0" max="5" min="5" style="0" width="22"/>
  </cols>
  <sheetData>
    <row r="1" customFormat="false" ht="18" hidden="false" customHeight="true" outlineLevel="0" collapsed="false"/>
    <row r="2" customFormat="false" ht="15" hidden="false" customHeight="false" outlineLevel="0" collapsed="false">
      <c r="B2" s="1" t="s">
        <v>47</v>
      </c>
    </row>
    <row r="4" customFormat="false" ht="27.75" hidden="false" customHeight="true" outlineLevel="0" collapsed="false">
      <c r="B4" s="2" t="s">
        <v>48</v>
      </c>
      <c r="C4" s="2" t="s">
        <v>49</v>
      </c>
      <c r="D4" s="2" t="s">
        <v>2</v>
      </c>
      <c r="E4" s="2" t="s">
        <v>3</v>
      </c>
    </row>
    <row r="5" customFormat="false" ht="15" hidden="false" customHeight="false" outlineLevel="0" collapsed="false">
      <c r="B5" s="3" t="s">
        <v>50</v>
      </c>
      <c r="C5" s="4" t="n">
        <v>0.5</v>
      </c>
      <c r="D5" s="11"/>
      <c r="E5" s="3" t="s">
        <v>8</v>
      </c>
    </row>
    <row r="6" customFormat="false" ht="15" hidden="false" customHeight="false" outlineLevel="0" collapsed="false">
      <c r="B6" s="3" t="s">
        <v>51</v>
      </c>
      <c r="C6" s="4" t="n">
        <v>3</v>
      </c>
      <c r="D6" s="11"/>
      <c r="E6" s="3" t="s">
        <v>52</v>
      </c>
    </row>
    <row r="7" customFormat="false" ht="15" hidden="false" customHeight="false" outlineLevel="0" collapsed="false">
      <c r="B7" s="3" t="s">
        <v>53</v>
      </c>
      <c r="C7" s="3"/>
      <c r="D7" s="11" t="n">
        <f aca="false">SQRT(Assumptions!C8*Assumptions!C6^2+Assumptions!C5^2*C5^2)</f>
        <v>1458.44574804824</v>
      </c>
      <c r="E7" s="3" t="s">
        <v>5</v>
      </c>
    </row>
    <row r="8" customFormat="false" ht="15" hidden="false" customHeight="false" outlineLevel="0" collapsed="false">
      <c r="B8" s="3" t="s">
        <v>54</v>
      </c>
      <c r="C8" s="3"/>
      <c r="D8" s="11" t="n">
        <f aca="false">SQRT(Assumptions!C8*Assumptions!C6^2)</f>
        <v>1131.66426116583</v>
      </c>
      <c r="E8" s="3" t="s">
        <v>5</v>
      </c>
    </row>
    <row r="9" customFormat="false" ht="15" hidden="false" customHeight="false" outlineLevel="0" collapsed="false">
      <c r="B9" s="3" t="s">
        <v>55</v>
      </c>
      <c r="C9" s="3"/>
      <c r="D9" s="11" t="n">
        <f aca="false">(Assumptions!C23/2+Assumptions!C26*Assumptions!C22)*Assumptions!C11</f>
        <v>278534.158919647</v>
      </c>
      <c r="E9" s="3" t="s">
        <v>20</v>
      </c>
    </row>
    <row r="10" customFormat="false" ht="15" hidden="false" customHeight="false" outlineLevel="0" collapsed="false">
      <c r="B10" s="3" t="s">
        <v>56</v>
      </c>
      <c r="C10" s="3"/>
      <c r="D10" s="11" t="n">
        <f aca="false">(Assumptions!C23/2+Assumptions!C26*D7)*Assumptions!C11</f>
        <v>148363.462870958</v>
      </c>
      <c r="E10" s="3" t="s">
        <v>20</v>
      </c>
    </row>
    <row r="11" customFormat="false" ht="15" hidden="false" customHeight="false" outlineLevel="0" collapsed="false">
      <c r="B11" s="3" t="s">
        <v>57</v>
      </c>
      <c r="C11" s="3"/>
      <c r="D11" s="11" t="n">
        <f aca="false">D9*Assumptions!C19+Assumptions!C22*Assumptions!C27*Assumptions!C24*Assumptions!C18</f>
        <v>48452.5552366807</v>
      </c>
      <c r="E11" s="3" t="s">
        <v>34</v>
      </c>
    </row>
    <row r="12" customFormat="false" ht="15" hidden="false" customHeight="false" outlineLevel="0" collapsed="false">
      <c r="B12" s="3" t="s">
        <v>58</v>
      </c>
      <c r="C12" s="3"/>
      <c r="D12" s="11" t="n">
        <f aca="false">D10*Assumptions!C19+D7*Assumptions!C27*Assumptions!C24*Assumptions!C18</f>
        <v>24297.7871521612</v>
      </c>
      <c r="E12" s="3" t="s">
        <v>34</v>
      </c>
    </row>
    <row r="13" customFormat="false" ht="15" hidden="false" customHeight="false" outlineLevel="0" collapsed="false">
      <c r="B13" s="7" t="s">
        <v>59</v>
      </c>
      <c r="C13" s="7"/>
      <c r="D13" s="8" t="n">
        <f aca="false">D11-D12</f>
        <v>24154.7680845196</v>
      </c>
      <c r="E13" s="7" t="s">
        <v>34</v>
      </c>
    </row>
    <row r="14" customFormat="false" ht="15" hidden="false" customHeight="false" outlineLevel="0" collapsed="false">
      <c r="B14" s="7" t="s">
        <v>60</v>
      </c>
      <c r="C14" s="7"/>
      <c r="D14" s="8" t="n">
        <f aca="false">D9-D10</f>
        <v>130170.696048689</v>
      </c>
      <c r="E14" s="7" t="s">
        <v>20</v>
      </c>
    </row>
    <row r="15" customFormat="false" ht="15" hidden="false" customHeight="false" outlineLevel="0" collapsed="false">
      <c r="B15" s="7" t="s">
        <v>61</v>
      </c>
      <c r="C15" s="7"/>
      <c r="D15" s="10" t="n">
        <f aca="false">D13/Assumptions!C20</f>
        <v>0.252453679813122</v>
      </c>
      <c r="E15" s="7" t="s">
        <v>12</v>
      </c>
    </row>
    <row r="16" customFormat="false" ht="15" hidden="false" customHeight="false" outlineLevel="0" collapsed="false">
      <c r="B16" s="3" t="s">
        <v>62</v>
      </c>
      <c r="C16" s="3"/>
      <c r="D16" s="12" t="n">
        <f aca="false">D15/Assumptions!C11</f>
        <v>0.00882705174171757</v>
      </c>
      <c r="E16" s="3" t="s">
        <v>63</v>
      </c>
    </row>
    <row r="17" customFormat="false" ht="15" hidden="false" customHeight="false" outlineLevel="0" collapsed="false">
      <c r="B17" s="7" t="s">
        <v>64</v>
      </c>
      <c r="C17" s="7"/>
      <c r="D17" s="8" t="n">
        <f aca="false">D13*C6</f>
        <v>72464.3042535587</v>
      </c>
      <c r="E17" s="7" t="s">
        <v>20</v>
      </c>
    </row>
    <row r="18" customFormat="false" ht="15" hidden="false" customHeight="false" outlineLevel="0" collapsed="false">
      <c r="B18" s="3" t="s">
        <v>65</v>
      </c>
      <c r="C18" s="3"/>
      <c r="D18" s="11" t="n">
        <f aca="false">D14</f>
        <v>130170.696048689</v>
      </c>
      <c r="E18" s="3" t="s">
        <v>66</v>
      </c>
    </row>
    <row r="19" customFormat="false" ht="15" hidden="false" customHeight="false" outlineLevel="0" collapsed="false">
      <c r="B19" s="3" t="s">
        <v>67</v>
      </c>
      <c r="C19" s="3"/>
      <c r="D19" s="11" t="n">
        <f aca="false">(Assumptions!C23/2+Assumptions!C26*D8)*Assumptions!C11*Assumptions!C19+Assumptions!C25+D8*Assumptions!C27*Assumptions!C24*Assumptions!C18</f>
        <v>29137.6491794413</v>
      </c>
      <c r="E19" s="3" t="s">
        <v>34</v>
      </c>
    </row>
    <row r="20" customFormat="false" ht="15" hidden="false" customHeight="false" outlineLevel="0" collapsed="false">
      <c r="B20" s="3" t="s">
        <v>68</v>
      </c>
      <c r="C20" s="3"/>
      <c r="D20" s="11" t="n">
        <f aca="false">(Assumptions!C23/2+Assumptions!C26*Assumptions!C22)*Assumptions!C11*Assumptions!C19+Assumptions!C25+Assumptions!C22*Assumptions!C27*Assumptions!C24*Assumptions!C18</f>
        <v>56854.1429532972</v>
      </c>
      <c r="E20" s="3" t="s">
        <v>34</v>
      </c>
    </row>
    <row r="21" customFormat="false" ht="15" hidden="false" customHeight="false" outlineLevel="0" collapsed="false">
      <c r="B21" s="7" t="s">
        <v>69</v>
      </c>
      <c r="C21" s="7"/>
      <c r="D21" s="8" t="n">
        <f aca="false">D20-D19</f>
        <v>27716.4937738559</v>
      </c>
      <c r="E21" s="7" t="s">
        <v>34</v>
      </c>
    </row>
    <row r="23" customFormat="false" ht="15" hidden="false" customHeight="false" outlineLevel="0" collapsed="false">
      <c r="B23" s="1" t="s">
        <v>70</v>
      </c>
    </row>
    <row r="25" customFormat="false" ht="27.75" hidden="false" customHeight="true" outlineLevel="0" collapsed="false">
      <c r="B25" s="2" t="s">
        <v>48</v>
      </c>
      <c r="C25" s="2" t="s">
        <v>49</v>
      </c>
      <c r="D25" s="2" t="s">
        <v>2</v>
      </c>
      <c r="E25" s="2" t="s">
        <v>3</v>
      </c>
    </row>
    <row r="26" customFormat="false" ht="15" hidden="false" customHeight="false" outlineLevel="0" collapsed="false">
      <c r="B26" s="3" t="s">
        <v>71</v>
      </c>
      <c r="C26" s="6" t="n">
        <v>0.97</v>
      </c>
      <c r="D26" s="11" t="n">
        <f aca="false">(Assumptions!C23/2+_xlfn.NORM.S.INV(C26)*Assumptions!C22)*Assumptions!C11*Assumptions!C19+Assumptions!C25+Assumptions!C22*(_xlfn.NORM.S.DIST(_xlfn.NORM.S.INV(C26),FALSE())-(_xlfn.NORM.S.INV(C26))*(1-_xlfn.NORM.S.DIST(_xlfn.NORM.S.INV(C26),TRUE())))*Assumptions!C24*Assumptions!C18</f>
        <v>60897.4804615278</v>
      </c>
      <c r="E26" s="3" t="s">
        <v>34</v>
      </c>
    </row>
    <row r="27" customFormat="false" ht="15" hidden="false" customHeight="false" outlineLevel="0" collapsed="false">
      <c r="B27" s="3" t="s">
        <v>71</v>
      </c>
      <c r="C27" s="6" t="n">
        <v>0.98</v>
      </c>
      <c r="D27" s="11" t="n">
        <f aca="false">(Assumptions!C23/2+_xlfn.NORM.S.INV(C27)*Assumptions!C22)*Assumptions!C11*Assumptions!C19+Assumptions!C25+Assumptions!C22*(_xlfn.NORM.S.DIST(_xlfn.NORM.S.INV(C27),FALSE())-(_xlfn.NORM.S.INV(C27))*(1-_xlfn.NORM.S.DIST(_xlfn.NORM.S.INV(C27),TRUE())))*Assumptions!C24*Assumptions!C18</f>
        <v>56854.1429532972</v>
      </c>
      <c r="E27" s="3" t="s">
        <v>34</v>
      </c>
    </row>
    <row r="28" customFormat="false" ht="15" hidden="false" customHeight="false" outlineLevel="0" collapsed="false">
      <c r="B28" s="3" t="s">
        <v>71</v>
      </c>
      <c r="C28" s="6" t="n">
        <v>0.99</v>
      </c>
      <c r="D28" s="11" t="n">
        <f aca="false">(Assumptions!C23/2+_xlfn.NORM.S.INV(C28)*Assumptions!C22)*Assumptions!C11*Assumptions!C19+Assumptions!C25+Assumptions!C22*(_xlfn.NORM.S.DIST(_xlfn.NORM.S.INV(C28),FALSE())-(_xlfn.NORM.S.INV(C28))*(1-_xlfn.NORM.S.DIST(_xlfn.NORM.S.INV(C28),TRUE())))*Assumptions!C24*Assumptions!C18</f>
        <v>54699.7637257831</v>
      </c>
      <c r="E28" s="3" t="s">
        <v>34</v>
      </c>
    </row>
    <row r="29" customFormat="false" ht="15" hidden="false" customHeight="false" outlineLevel="0" collapsed="false">
      <c r="B29" s="3" t="s">
        <v>71</v>
      </c>
      <c r="C29" s="6" t="n">
        <v>0.995</v>
      </c>
      <c r="D29" s="11" t="n">
        <f aca="false">(Assumptions!C23/2+_xlfn.NORM.S.INV(C29)*Assumptions!C22)*Assumptions!C11*Assumptions!C19+Assumptions!C25+Assumptions!C22*(_xlfn.NORM.S.DIST(_xlfn.NORM.S.INV(C29),FALSE())-(_xlfn.NORM.S.INV(C29))*(1-_xlfn.NORM.S.DIST(_xlfn.NORM.S.INV(C29),TRUE())))*Assumptions!C24*Assumptions!C18</f>
        <v>55472.8650288985</v>
      </c>
      <c r="E29" s="3" t="s">
        <v>34</v>
      </c>
    </row>
    <row r="30" customFormat="false" ht="15" hidden="false" customHeight="false" outlineLevel="0" collapsed="false">
      <c r="B30" s="7" t="s">
        <v>72</v>
      </c>
      <c r="C30" s="7"/>
      <c r="D30" s="8" t="n">
        <f aca="false">MAX(D26:D29)-MIN(D26:D29)</f>
        <v>6197.7167357447</v>
      </c>
      <c r="E30" s="7" t="s">
        <v>34</v>
      </c>
    </row>
    <row r="31" customFormat="false" ht="15" hidden="false" customHeight="false" outlineLevel="0" collapsed="false">
      <c r="B31" s="7" t="s">
        <v>73</v>
      </c>
      <c r="C31" s="7"/>
      <c r="D31" s="8" t="n">
        <f aca="false">D13</f>
        <v>24154.7680845196</v>
      </c>
      <c r="E31" s="7" t="s">
        <v>34</v>
      </c>
    </row>
    <row r="32" customFormat="false" ht="15" hidden="false" customHeight="false" outlineLevel="0" collapsed="false">
      <c r="B32" s="7" t="s">
        <v>74</v>
      </c>
      <c r="C32" s="7"/>
      <c r="D32" s="8" t="n">
        <f aca="false">D31/D30</f>
        <v>3.89736561292151</v>
      </c>
      <c r="E32" s="7" t="s">
        <v>75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F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62"/>
    <col collapsed="false" customWidth="true" hidden="false" outlineLevel="0" max="4" min="3" style="0" width="18"/>
    <col collapsed="false" customWidth="true" hidden="false" outlineLevel="0" max="5" min="5" style="0" width="16"/>
    <col collapsed="false" customWidth="true" hidden="false" outlineLevel="0" max="6" min="6" style="0" width="12"/>
  </cols>
  <sheetData>
    <row r="1" customFormat="false" ht="18" hidden="false" customHeight="true" outlineLevel="0" collapsed="false"/>
    <row r="2" customFormat="false" ht="15" hidden="false" customHeight="false" outlineLevel="0" collapsed="false">
      <c r="B2" s="1" t="s">
        <v>76</v>
      </c>
    </row>
    <row r="4" customFormat="false" ht="27.75" hidden="false" customHeight="true" outlineLevel="0" collapsed="false">
      <c r="B4" s="2" t="s">
        <v>77</v>
      </c>
      <c r="C4" s="2" t="s">
        <v>78</v>
      </c>
      <c r="D4" s="2" t="s">
        <v>79</v>
      </c>
      <c r="E4" s="2" t="s">
        <v>80</v>
      </c>
      <c r="F4" s="2" t="s">
        <v>81</v>
      </c>
    </row>
    <row r="5" customFormat="false" ht="15" hidden="false" customHeight="false" outlineLevel="0" collapsed="false">
      <c r="B5" s="3" t="s">
        <v>82</v>
      </c>
      <c r="C5" s="11" t="n">
        <v>1131.66426116583</v>
      </c>
      <c r="D5" s="11" t="n">
        <f aca="false">'Lead time table'!C5</f>
        <v>1131.66426116583</v>
      </c>
      <c r="E5" s="13" t="n">
        <f aca="false">ABS(C5-D5)</f>
        <v>0</v>
      </c>
      <c r="F5" s="3" t="str">
        <f aca="false">IF(E5&lt;=0.000000001*MAX(1,ABS(C5)),"OK","CHECK")</f>
        <v>OK</v>
      </c>
    </row>
    <row r="6" customFormat="false" ht="15" hidden="false" customHeight="false" outlineLevel="0" collapsed="false">
      <c r="B6" s="3" t="s">
        <v>83</v>
      </c>
      <c r="C6" s="11" t="n">
        <v>2324.15424356979</v>
      </c>
      <c r="D6" s="11" t="n">
        <f aca="false">'Lead time table'!D5</f>
        <v>2324.15424357029</v>
      </c>
      <c r="E6" s="13" t="n">
        <f aca="false">ABS(C6-D6)</f>
        <v>4.95674612466246E-010</v>
      </c>
      <c r="F6" s="3" t="str">
        <f aca="false">IF(E6&lt;=0.000000001*MAX(1,ABS(C6)),"OK","CHECK")</f>
        <v>OK</v>
      </c>
    </row>
    <row r="7" customFormat="false" ht="15" hidden="false" customHeight="false" outlineLevel="0" collapsed="false">
      <c r="B7" s="3" t="s">
        <v>84</v>
      </c>
      <c r="C7" s="11" t="n">
        <v>129169.227161741</v>
      </c>
      <c r="D7" s="11" t="n">
        <f aca="false">'Lead time table'!E5</f>
        <v>129169.227161755</v>
      </c>
      <c r="E7" s="13" t="n">
        <f aca="false">ABS(C7-D7)</f>
        <v>1.41444616019726E-008</v>
      </c>
      <c r="F7" s="3" t="str">
        <f aca="false">IF(E7&lt;=0.000000001*MAX(1,ABS(C7)),"OK","CHECK")</f>
        <v>OK</v>
      </c>
    </row>
    <row r="8" customFormat="false" ht="15" hidden="false" customHeight="false" outlineLevel="0" collapsed="false">
      <c r="B8" s="3" t="s">
        <v>85</v>
      </c>
      <c r="C8" s="11" t="n">
        <v>29137.6491794434</v>
      </c>
      <c r="D8" s="11" t="n">
        <f aca="false">'Lead time table'!F5</f>
        <v>29137.6491794413</v>
      </c>
      <c r="E8" s="13" t="n">
        <f aca="false">ABS(C8-D8)</f>
        <v>2.08092387765646E-009</v>
      </c>
      <c r="F8" s="3" t="str">
        <f aca="false">IF(E8&lt;=0.000000001*MAX(1,ABS(C8)),"OK","CHECK")</f>
        <v>OK</v>
      </c>
    </row>
    <row r="9" customFormat="false" ht="15" hidden="false" customHeight="false" outlineLevel="0" collapsed="false">
      <c r="B9" s="3" t="s">
        <v>86</v>
      </c>
      <c r="C9" s="12" t="n">
        <v>0.998104691441073</v>
      </c>
      <c r="D9" s="12" t="n">
        <f aca="false">'Lead time table'!G5</f>
        <v>0.998104691441075</v>
      </c>
      <c r="E9" s="13" t="n">
        <f aca="false">ABS(C9-D9)</f>
        <v>0</v>
      </c>
      <c r="F9" s="3" t="str">
        <f aca="false">IF(E9&lt;=0.000000001*MAX(1,ABS(C9)),"OK","CHECK")</f>
        <v>OK</v>
      </c>
    </row>
    <row r="10" customFormat="false" ht="15" hidden="false" customHeight="false" outlineLevel="0" collapsed="false">
      <c r="B10" s="3" t="s">
        <v>87</v>
      </c>
      <c r="C10" s="12" t="n">
        <v>0</v>
      </c>
      <c r="D10" s="12" t="n">
        <f aca="false">'Lead time table'!H5</f>
        <v>0</v>
      </c>
      <c r="E10" s="13" t="n">
        <f aca="false">ABS(C10-D10)</f>
        <v>0</v>
      </c>
      <c r="F10" s="3" t="str">
        <f aca="false">IF(E10&lt;=0.000000001*MAX(1,ABS(C10)),"OK","CHECK")</f>
        <v>OK</v>
      </c>
    </row>
    <row r="11" customFormat="false" ht="15" hidden="false" customHeight="false" outlineLevel="0" collapsed="false">
      <c r="B11" s="3" t="s">
        <v>88</v>
      </c>
      <c r="C11" s="11" t="n">
        <v>1458.44574804824</v>
      </c>
      <c r="D11" s="11" t="n">
        <f aca="false">'Lead time table'!C6</f>
        <v>1458.44574804824</v>
      </c>
      <c r="E11" s="13" t="n">
        <f aca="false">ABS(C11-D11)</f>
        <v>0</v>
      </c>
      <c r="F11" s="3" t="str">
        <f aca="false">IF(E11&lt;=0.000000001*MAX(1,ABS(C11)),"OK","CHECK")</f>
        <v>OK</v>
      </c>
    </row>
    <row r="12" customFormat="false" ht="15" hidden="false" customHeight="false" outlineLevel="0" collapsed="false">
      <c r="B12" s="3" t="s">
        <v>89</v>
      </c>
      <c r="C12" s="11" t="n">
        <v>2995.28136626905</v>
      </c>
      <c r="D12" s="11" t="n">
        <f aca="false">'Lead time table'!D6</f>
        <v>2995.28136626969</v>
      </c>
      <c r="E12" s="13" t="n">
        <f aca="false">ABS(C12-D12)</f>
        <v>6.38465280644596E-010</v>
      </c>
      <c r="F12" s="3" t="str">
        <f aca="false">IF(E12&lt;=0.000000001*MAX(1,ABS(C12)),"OK","CHECK")</f>
        <v>OK</v>
      </c>
    </row>
    <row r="13" customFormat="false" ht="15" hidden="false" customHeight="false" outlineLevel="0" collapsed="false">
      <c r="B13" s="3" t="s">
        <v>90</v>
      </c>
      <c r="C13" s="11" t="n">
        <v>148363.46287094</v>
      </c>
      <c r="D13" s="11" t="n">
        <f aca="false">'Lead time table'!E6</f>
        <v>148363.462870958</v>
      </c>
      <c r="E13" s="13" t="n">
        <f aca="false">ABS(C13-D13)</f>
        <v>1.82772055268288E-008</v>
      </c>
      <c r="F13" s="3" t="str">
        <f aca="false">IF(E13&lt;=0.000000001*MAX(1,ABS(C13)),"OK","CHECK")</f>
        <v>OK</v>
      </c>
    </row>
    <row r="14" customFormat="false" ht="15" hidden="false" customHeight="false" outlineLevel="0" collapsed="false">
      <c r="B14" s="3" t="s">
        <v>91</v>
      </c>
      <c r="C14" s="11" t="n">
        <v>32699.3748687803</v>
      </c>
      <c r="D14" s="11" t="n">
        <f aca="false">'Lead time table'!F6</f>
        <v>32699.3748687776</v>
      </c>
      <c r="E14" s="13" t="n">
        <f aca="false">ABS(C14-D14)</f>
        <v>2.67391442321241E-009</v>
      </c>
      <c r="F14" s="3" t="str">
        <f aca="false">IF(E14&lt;=0.000000001*MAX(1,ABS(C14)),"OK","CHECK")</f>
        <v>OK</v>
      </c>
    </row>
    <row r="15" customFormat="false" ht="15" hidden="false" customHeight="false" outlineLevel="0" collapsed="false">
      <c r="B15" s="3" t="s">
        <v>92</v>
      </c>
      <c r="C15" s="12" t="n">
        <v>0.997557398599688</v>
      </c>
      <c r="D15" s="12" t="n">
        <f aca="false">'Lead time table'!G6</f>
        <v>0.99755739859969</v>
      </c>
      <c r="E15" s="13" t="n">
        <f aca="false">ABS(C15-D15)</f>
        <v>0</v>
      </c>
      <c r="F15" s="3" t="str">
        <f aca="false">IF(E15&lt;=0.000000001*MAX(1,ABS(C15)),"OK","CHECK")</f>
        <v>OK</v>
      </c>
    </row>
    <row r="16" customFormat="false" ht="15" hidden="false" customHeight="false" outlineLevel="0" collapsed="false">
      <c r="B16" s="3" t="s">
        <v>93</v>
      </c>
      <c r="C16" s="12" t="n">
        <v>0.397919385594416</v>
      </c>
      <c r="D16" s="12" t="n">
        <f aca="false">'Lead time table'!H6</f>
        <v>0.397919385594416</v>
      </c>
      <c r="E16" s="13" t="n">
        <f aca="false">ABS(C16-D16)</f>
        <v>0</v>
      </c>
      <c r="F16" s="3" t="str">
        <f aca="false">IF(E16&lt;=0.000000001*MAX(1,ABS(C16)),"OK","CHECK")</f>
        <v>OK</v>
      </c>
    </row>
    <row r="17" customFormat="false" ht="15" hidden="false" customHeight="false" outlineLevel="0" collapsed="false">
      <c r="B17" s="3" t="s">
        <v>94</v>
      </c>
      <c r="C17" s="11" t="n">
        <v>2160.15369823538</v>
      </c>
      <c r="D17" s="11" t="n">
        <f aca="false">'Lead time table'!C7</f>
        <v>2160.15369823538</v>
      </c>
      <c r="E17" s="13" t="n">
        <f aca="false">ABS(C17-D17)</f>
        <v>0</v>
      </c>
      <c r="F17" s="3" t="str">
        <f aca="false">IF(E17&lt;=0.000000001*MAX(1,ABS(C17)),"OK","CHECK")</f>
        <v>OK</v>
      </c>
    </row>
    <row r="18" customFormat="false" ht="15" hidden="false" customHeight="false" outlineLevel="0" collapsed="false">
      <c r="B18" s="3" t="s">
        <v>95</v>
      </c>
      <c r="C18" s="11" t="n">
        <v>4436.41330454727</v>
      </c>
      <c r="D18" s="11" t="n">
        <f aca="false">'Lead time table'!D7</f>
        <v>4436.41330454822</v>
      </c>
      <c r="E18" s="13" t="n">
        <f aca="false">ABS(C18-D18)</f>
        <v>9.45874489843845E-010</v>
      </c>
      <c r="F18" s="3" t="str">
        <f aca="false">IF(E18&lt;=0.000000001*MAX(1,ABS(C18)),"OK","CHECK")</f>
        <v>OK</v>
      </c>
    </row>
    <row r="19" customFormat="false" ht="15" hidden="false" customHeight="false" outlineLevel="0" collapsed="false">
      <c r="B19" s="3" t="s">
        <v>96</v>
      </c>
      <c r="C19" s="11" t="n">
        <v>189579.836305697</v>
      </c>
      <c r="D19" s="11" t="n">
        <f aca="false">'Lead time table'!E7</f>
        <v>189579.836305724</v>
      </c>
      <c r="E19" s="13" t="n">
        <f aca="false">ABS(C19-D19)</f>
        <v>2.70083546638489E-008</v>
      </c>
      <c r="F19" s="3" t="str">
        <f aca="false">IF(E19&lt;=0.000000001*MAX(1,ABS(C19)),"OK","CHECK")</f>
        <v>OK</v>
      </c>
    </row>
    <row r="20" customFormat="false" ht="15" hidden="false" customHeight="false" outlineLevel="0" collapsed="false">
      <c r="B20" s="3" t="s">
        <v>97</v>
      </c>
      <c r="C20" s="11" t="n">
        <v>40347.5781266741</v>
      </c>
      <c r="D20" s="11" t="n">
        <f aca="false">'Lead time table'!F7</f>
        <v>40347.5781266701</v>
      </c>
      <c r="E20" s="13" t="n">
        <f aca="false">ABS(C20-D20)</f>
        <v>3.97267285734415E-009</v>
      </c>
      <c r="F20" s="3" t="str">
        <f aca="false">IF(E20&lt;=0.000000001*MAX(1,ABS(C20)),"OK","CHECK")</f>
        <v>OK</v>
      </c>
    </row>
    <row r="21" customFormat="false" ht="15" hidden="false" customHeight="false" outlineLevel="0" collapsed="false">
      <c r="B21" s="3" t="s">
        <v>98</v>
      </c>
      <c r="C21" s="12" t="n">
        <v>0.996382179827216</v>
      </c>
      <c r="D21" s="12" t="n">
        <f aca="false">'Lead time table'!G7</f>
        <v>0.99638217982722</v>
      </c>
      <c r="E21" s="13" t="n">
        <f aca="false">ABS(C21-D21)</f>
        <v>4.2188474935756E-015</v>
      </c>
      <c r="F21" s="3" t="str">
        <f aca="false">IF(E21&lt;=0.000000001*MAX(1,ABS(C21)),"OK","CHECK")</f>
        <v>OK</v>
      </c>
    </row>
    <row r="22" customFormat="false" ht="15" hidden="false" customHeight="false" outlineLevel="0" collapsed="false">
      <c r="B22" s="3" t="s">
        <v>99</v>
      </c>
      <c r="C22" s="12" t="n">
        <v>0.725548318740646</v>
      </c>
      <c r="D22" s="12" t="n">
        <f aca="false">'Lead time table'!H7</f>
        <v>0.725548318740646</v>
      </c>
      <c r="E22" s="13" t="n">
        <f aca="false">ABS(C22-D22)</f>
        <v>0</v>
      </c>
      <c r="F22" s="3" t="str">
        <f aca="false">IF(E22&lt;=0.000000001*MAX(1,ABS(C22)),"OK","CHECK")</f>
        <v>OK</v>
      </c>
    </row>
    <row r="23" customFormat="false" ht="15" hidden="false" customHeight="false" outlineLevel="0" collapsed="false">
      <c r="B23" s="3" t="s">
        <v>100</v>
      </c>
      <c r="C23" s="11" t="n">
        <v>2982.99580958472</v>
      </c>
      <c r="D23" s="11" t="n">
        <f aca="false">'Lead time table'!C8</f>
        <v>2982.99580958472</v>
      </c>
      <c r="E23" s="13" t="n">
        <f aca="false">ABS(C23-D23)</f>
        <v>0</v>
      </c>
      <c r="F23" s="3" t="str">
        <f aca="false">IF(E23&lt;=0.000000001*MAX(1,ABS(C23)),"OK","CHECK")</f>
        <v>OK</v>
      </c>
    </row>
    <row r="24" customFormat="false" ht="15" hidden="false" customHeight="false" outlineLevel="0" collapsed="false">
      <c r="B24" s="3" t="s">
        <v>101</v>
      </c>
      <c r="C24" s="11" t="n">
        <v>6126.3243943526</v>
      </c>
      <c r="D24" s="11" t="n">
        <f aca="false">'Lead time table'!D8</f>
        <v>6126.32439435391</v>
      </c>
      <c r="E24" s="13" t="n">
        <f aca="false">ABS(C24-D24)</f>
        <v>1.30603439174593E-009</v>
      </c>
      <c r="F24" s="3" t="str">
        <f aca="false">IF(E24&lt;=0.000000001*MAX(1,ABS(C24)),"OK","CHECK")</f>
        <v>OK</v>
      </c>
    </row>
    <row r="25" customFormat="false" ht="15" hidden="false" customHeight="false" outlineLevel="0" collapsed="false">
      <c r="B25" s="3" t="s">
        <v>102</v>
      </c>
      <c r="C25" s="11" t="n">
        <v>237911.293474129</v>
      </c>
      <c r="D25" s="11" t="n">
        <f aca="false">'Lead time table'!E8</f>
        <v>237911.293474167</v>
      </c>
      <c r="E25" s="13" t="n">
        <f aca="false">ABS(C25-D25)</f>
        <v>3.73693183064461E-008</v>
      </c>
      <c r="F25" s="3" t="str">
        <f aca="false">IF(E25&lt;=0.000000001*MAX(1,ABS(C25)),"OK","CHECK")</f>
        <v>OK</v>
      </c>
    </row>
    <row r="26" customFormat="false" ht="15" hidden="false" customHeight="false" outlineLevel="0" collapsed="false">
      <c r="B26" s="3" t="s">
        <v>103</v>
      </c>
      <c r="C26" s="11" t="n">
        <v>49316.0723771324</v>
      </c>
      <c r="D26" s="11" t="n">
        <f aca="false">'Lead time table'!F8</f>
        <v>49316.0723771269</v>
      </c>
      <c r="E26" s="13" t="n">
        <f aca="false">ABS(C26-D26)</f>
        <v>5.47879608348012E-009</v>
      </c>
      <c r="F26" s="3" t="str">
        <f aca="false">IF(E26&lt;=0.000000001*MAX(1,ABS(C26)),"OK","CHECK")</f>
        <v>OK</v>
      </c>
    </row>
    <row r="27" customFormat="false" ht="15" hidden="false" customHeight="false" outlineLevel="0" collapsed="false">
      <c r="B27" s="3" t="s">
        <v>104</v>
      </c>
      <c r="C27" s="12" t="n">
        <v>0.995004085855529</v>
      </c>
      <c r="D27" s="12" t="n">
        <f aca="false">'Lead time table'!G8</f>
        <v>0.995004085855535</v>
      </c>
      <c r="E27" s="13" t="n">
        <f aca="false">ABS(C27-D27)</f>
        <v>5.77315972805081E-015</v>
      </c>
      <c r="F27" s="3" t="str">
        <f aca="false">IF(E27&lt;=0.000000001*MAX(1,ABS(C27)),"OK","CHECK")</f>
        <v>OK</v>
      </c>
    </row>
    <row r="28" customFormat="false" ht="15" hidden="false" customHeight="false" outlineLevel="0" collapsed="false">
      <c r="B28" s="3" t="s">
        <v>105</v>
      </c>
      <c r="C28" s="12" t="n">
        <v>0.856077095487389</v>
      </c>
      <c r="D28" s="12" t="n">
        <f aca="false">'Lead time table'!H8</f>
        <v>0.856077095487389</v>
      </c>
      <c r="E28" s="13" t="n">
        <f aca="false">ABS(C28-D28)</f>
        <v>0</v>
      </c>
      <c r="F28" s="3" t="str">
        <f aca="false">IF(E28&lt;=0.000000001*MAX(1,ABS(C28)),"OK","CHECK")</f>
        <v>OK</v>
      </c>
    </row>
    <row r="29" customFormat="false" ht="15" hidden="false" customHeight="false" outlineLevel="0" collapsed="false">
      <c r="B29" s="3" t="s">
        <v>106</v>
      </c>
      <c r="C29" s="11" t="n">
        <v>3674.5992978827</v>
      </c>
      <c r="D29" s="11" t="n">
        <f aca="false">'Lead time table'!C9</f>
        <v>3674.5992978827</v>
      </c>
      <c r="E29" s="13" t="n">
        <f aca="false">ABS(C29-D29)</f>
        <v>0</v>
      </c>
      <c r="F29" s="3" t="str">
        <f aca="false">IF(E29&lt;=0.000000001*MAX(1,ABS(C29)),"OK","CHECK")</f>
        <v>OK</v>
      </c>
    </row>
    <row r="30" customFormat="false" ht="15" hidden="false" customHeight="false" outlineLevel="0" collapsed="false">
      <c r="B30" s="3" t="s">
        <v>107</v>
      </c>
      <c r="C30" s="11" t="n">
        <v>7546.70430503344</v>
      </c>
      <c r="D30" s="11" t="n">
        <f aca="false">'Lead time table'!D9</f>
        <v>7546.70430503505</v>
      </c>
      <c r="E30" s="13" t="n">
        <f aca="false">ABS(C30-D30)</f>
        <v>1.60889612743631E-009</v>
      </c>
      <c r="F30" s="3" t="str">
        <f aca="false">IF(E30&lt;=0.000000001*MAX(1,ABS(C30)),"OK","CHECK")</f>
        <v>OK</v>
      </c>
    </row>
    <row r="31" customFormat="false" ht="15" hidden="false" customHeight="false" outlineLevel="0" collapsed="false">
      <c r="B31" s="3" t="s">
        <v>108</v>
      </c>
      <c r="C31" s="11" t="n">
        <v>278534.158919601</v>
      </c>
      <c r="D31" s="11" t="n">
        <f aca="false">'Lead time table'!E9</f>
        <v>278534.158919647</v>
      </c>
      <c r="E31" s="13" t="n">
        <f aca="false">ABS(C31-D31)</f>
        <v>4.61004674434662E-008</v>
      </c>
      <c r="F31" s="3" t="str">
        <f aca="false">IF(E31&lt;=0.000000001*MAX(1,ABS(C31)),"OK","CHECK")</f>
        <v>OK</v>
      </c>
    </row>
    <row r="32" customFormat="false" ht="15" hidden="false" customHeight="false" outlineLevel="0" collapsed="false">
      <c r="B32" s="3" t="s">
        <v>109</v>
      </c>
      <c r="C32" s="11" t="n">
        <v>56854.1429533039</v>
      </c>
      <c r="D32" s="11" t="n">
        <f aca="false">'Lead time table'!F9</f>
        <v>56854.1429532972</v>
      </c>
      <c r="E32" s="13" t="n">
        <f aca="false">ABS(C32-D32)</f>
        <v>6.74481270834804E-009</v>
      </c>
      <c r="F32" s="3" t="str">
        <f aca="false">IF(E32&lt;=0.000000001*MAX(1,ABS(C32)),"OK","CHECK")</f>
        <v>OK</v>
      </c>
    </row>
    <row r="33" customFormat="false" ht="15" hidden="false" customHeight="false" outlineLevel="0" collapsed="false">
      <c r="B33" s="3" t="s">
        <v>110</v>
      </c>
      <c r="C33" s="12" t="n">
        <v>0.993845790011314</v>
      </c>
      <c r="D33" s="12" t="n">
        <f aca="false">'Lead time table'!G9</f>
        <v>0.993845790011321</v>
      </c>
      <c r="E33" s="13" t="n">
        <f aca="false">ABS(C33-D33)</f>
        <v>7.105427357601E-015</v>
      </c>
      <c r="F33" s="3" t="str">
        <f aca="false">IF(E33&lt;=0.000000001*MAX(1,ABS(C33)),"OK","CHECK")</f>
        <v>OK</v>
      </c>
    </row>
    <row r="34" customFormat="false" ht="15" hidden="false" customHeight="false" outlineLevel="0" collapsed="false">
      <c r="B34" s="3" t="s">
        <v>111</v>
      </c>
      <c r="C34" s="12" t="n">
        <v>0.90515482852293</v>
      </c>
      <c r="D34" s="12" t="n">
        <f aca="false">'Lead time table'!H9</f>
        <v>0.90515482852293</v>
      </c>
      <c r="E34" s="13" t="n">
        <f aca="false">ABS(C34-D34)</f>
        <v>0</v>
      </c>
      <c r="F34" s="3" t="str">
        <f aca="false">IF(E34&lt;=0.000000001*MAX(1,ABS(C34)),"OK","CHECK")</f>
        <v>OK</v>
      </c>
    </row>
    <row r="35" customFormat="false" ht="15" hidden="false" customHeight="false" outlineLevel="0" collapsed="false">
      <c r="B35" s="3" t="s">
        <v>112</v>
      </c>
      <c r="C35" s="11" t="n">
        <v>4737.15779766729</v>
      </c>
      <c r="D35" s="11" t="n">
        <f aca="false">'Lead time table'!C10</f>
        <v>4737.15779766729</v>
      </c>
      <c r="E35" s="13" t="n">
        <f aca="false">ABS(C35-D35)</f>
        <v>0</v>
      </c>
      <c r="F35" s="3" t="str">
        <f aca="false">IF(E35&lt;=0.000000001*MAX(1,ABS(C35)),"OK","CHECK")</f>
        <v>OK</v>
      </c>
    </row>
    <row r="36" customFormat="false" ht="15" hidden="false" customHeight="false" outlineLevel="0" collapsed="false">
      <c r="B36" s="3" t="s">
        <v>113</v>
      </c>
      <c r="C36" s="11" t="n">
        <v>9728.93266644816</v>
      </c>
      <c r="D36" s="11" t="n">
        <f aca="false">'Lead time table'!D10</f>
        <v>9728.93266645024</v>
      </c>
      <c r="E36" s="13" t="n">
        <f aca="false">ABS(C36-D36)</f>
        <v>2.07364792004228E-009</v>
      </c>
      <c r="F36" s="3" t="str">
        <f aca="false">IF(E36&lt;=0.000000001*MAX(1,ABS(C36)),"OK","CHECK")</f>
        <v>OK</v>
      </c>
    </row>
    <row r="37" customFormat="false" ht="15" hidden="false" customHeight="false" outlineLevel="0" collapsed="false">
      <c r="B37" s="3" t="s">
        <v>114</v>
      </c>
      <c r="C37" s="11" t="n">
        <v>340945.890056062</v>
      </c>
      <c r="D37" s="11" t="n">
        <f aca="false">'Lead time table'!E10</f>
        <v>340945.890056122</v>
      </c>
      <c r="E37" s="13" t="n">
        <f aca="false">ABS(C37-D37)</f>
        <v>5.93136064708233E-008</v>
      </c>
      <c r="F37" s="3" t="str">
        <f aca="false">IF(E37&lt;=0.000000001*MAX(1,ABS(C37)),"OK","CHECK")</f>
        <v>OK</v>
      </c>
    </row>
    <row r="38" customFormat="false" ht="15" hidden="false" customHeight="false" outlineLevel="0" collapsed="false">
      <c r="B38" s="3" t="s">
        <v>115</v>
      </c>
      <c r="C38" s="11" t="n">
        <v>68435.4046129274</v>
      </c>
      <c r="D38" s="11" t="n">
        <f aca="false">'Lead time table'!F10</f>
        <v>68435.4046129187</v>
      </c>
      <c r="E38" s="13" t="n">
        <f aca="false">ABS(C38-D38)</f>
        <v>8.70204530656338E-009</v>
      </c>
      <c r="F38" s="3" t="str">
        <f aca="false">IF(E38&lt;=0.000000001*MAX(1,ABS(C38)),"OK","CHECK")</f>
        <v>OK</v>
      </c>
    </row>
    <row r="39" customFormat="false" ht="15" hidden="false" customHeight="false" outlineLevel="0" collapsed="false">
      <c r="B39" s="3" t="s">
        <v>116</v>
      </c>
      <c r="C39" s="12" t="n">
        <v>0.992066219613881</v>
      </c>
      <c r="D39" s="12" t="n">
        <f aca="false">'Lead time table'!G10</f>
        <v>0.992066219613891</v>
      </c>
      <c r="E39" s="13" t="n">
        <f aca="false">ABS(C39-D39)</f>
        <v>9.2148511043888E-015</v>
      </c>
      <c r="F39" s="3" t="str">
        <f aca="false">IF(E39&lt;=0.000000001*MAX(1,ABS(C39)),"OK","CHECK")</f>
        <v>OK</v>
      </c>
    </row>
    <row r="40" customFormat="false" ht="15" hidden="false" customHeight="false" outlineLevel="0" collapsed="false">
      <c r="B40" s="3" t="s">
        <v>117</v>
      </c>
      <c r="C40" s="12" t="n">
        <v>0.942931100434461</v>
      </c>
      <c r="D40" s="12" t="n">
        <f aca="false">'Lead time table'!H10</f>
        <v>0.942931100434461</v>
      </c>
      <c r="E40" s="13" t="n">
        <f aca="false">ABS(C40-D40)</f>
        <v>0</v>
      </c>
      <c r="F40" s="3" t="str">
        <f aca="false">IF(E40&lt;=0.000000001*MAX(1,ABS(C40)),"OK","CHECK")</f>
        <v>OK</v>
      </c>
    </row>
    <row r="41" customFormat="false" ht="15" hidden="false" customHeight="false" outlineLevel="0" collapsed="false">
      <c r="B41" s="3" t="s">
        <v>118</v>
      </c>
      <c r="C41" s="11" t="n">
        <v>5634.80824873394</v>
      </c>
      <c r="D41" s="11" t="n">
        <f aca="false">'Lead time table'!C11</f>
        <v>5634.80824873394</v>
      </c>
      <c r="E41" s="13" t="n">
        <f aca="false">ABS(C41-D41)</f>
        <v>0</v>
      </c>
      <c r="F41" s="3" t="str">
        <f aca="false">IF(E41&lt;=0.000000001*MAX(1,ABS(C41)),"OK","CHECK")</f>
        <v>OK</v>
      </c>
    </row>
    <row r="42" customFormat="false" ht="15" hidden="false" customHeight="false" outlineLevel="0" collapsed="false">
      <c r="B42" s="3" t="s">
        <v>119</v>
      </c>
      <c r="C42" s="11" t="n">
        <v>11572.4813024541</v>
      </c>
      <c r="D42" s="11" t="n">
        <f aca="false">'Lead time table'!D11</f>
        <v>11572.4813024565</v>
      </c>
      <c r="E42" s="13" t="n">
        <f aca="false">ABS(C42-D42)</f>
        <v>2.46473064180464E-009</v>
      </c>
      <c r="F42" s="3" t="str">
        <f aca="false">IF(E42&lt;=0.000000001*MAX(1,ABS(C42)),"OK","CHECK")</f>
        <v>OK</v>
      </c>
    </row>
    <row r="43" customFormat="false" ht="15" hidden="false" customHeight="false" outlineLevel="0" collapsed="false">
      <c r="B43" s="3" t="s">
        <v>120</v>
      </c>
      <c r="C43" s="11" t="n">
        <v>393671.381045831</v>
      </c>
      <c r="D43" s="11" t="n">
        <f aca="false">'Lead time table'!E11</f>
        <v>393671.381045902</v>
      </c>
      <c r="E43" s="13" t="n">
        <f aca="false">ABS(C43-D43)</f>
        <v>7.05476850271225E-008</v>
      </c>
      <c r="F43" s="3" t="str">
        <f aca="false">IF(E43&lt;=0.000000001*MAX(1,ABS(C43)),"OK","CHECK")</f>
        <v>OK</v>
      </c>
    </row>
    <row r="44" customFormat="false" ht="15" hidden="false" customHeight="false" outlineLevel="0" collapsed="false">
      <c r="B44" s="3" t="s">
        <v>121</v>
      </c>
      <c r="C44" s="11" t="n">
        <v>78219.2656942602</v>
      </c>
      <c r="D44" s="11" t="n">
        <f aca="false">'Lead time table'!F11</f>
        <v>78219.2656942498</v>
      </c>
      <c r="E44" s="13" t="n">
        <f aca="false">ABS(C44-D44)</f>
        <v>1.03464117273688E-008</v>
      </c>
      <c r="F44" s="3" t="str">
        <f aca="false">IF(E44&lt;=0.000000001*MAX(1,ABS(C44)),"OK","CHECK")</f>
        <v>OK</v>
      </c>
    </row>
    <row r="45" customFormat="false" ht="15" hidden="false" customHeight="false" outlineLevel="0" collapsed="false">
      <c r="B45" s="3" t="s">
        <v>122</v>
      </c>
      <c r="C45" s="12" t="n">
        <v>0.990562836816338</v>
      </c>
      <c r="D45" s="12" t="n">
        <f aca="false">'Lead time table'!G11</f>
        <v>0.990562836816349</v>
      </c>
      <c r="E45" s="13" t="n">
        <f aca="false">ABS(C45-D45)</f>
        <v>1.09912079437891E-014</v>
      </c>
      <c r="F45" s="3" t="str">
        <f aca="false">IF(E45&lt;=0.000000001*MAX(1,ABS(C45)),"OK","CHECK")</f>
        <v>OK</v>
      </c>
    </row>
    <row r="46" customFormat="false" ht="15" hidden="false" customHeight="false" outlineLevel="0" collapsed="false">
      <c r="B46" s="3" t="s">
        <v>123</v>
      </c>
      <c r="C46" s="12" t="n">
        <v>0.959665477667142</v>
      </c>
      <c r="D46" s="12" t="n">
        <f aca="false">'Lead time table'!H11</f>
        <v>0.959665477667142</v>
      </c>
      <c r="E46" s="13" t="n">
        <f aca="false">ABS(C46-D46)</f>
        <v>0</v>
      </c>
      <c r="F46" s="3" t="str">
        <f aca="false">IF(E46&lt;=0.000000001*MAX(1,ABS(C46)),"OK","CHECK")</f>
        <v>OK</v>
      </c>
    </row>
    <row r="47" customFormat="false" ht="15" hidden="false" customHeight="false" outlineLevel="0" collapsed="false">
      <c r="B47" s="3" t="s">
        <v>59</v>
      </c>
      <c r="C47" s="11" t="n">
        <v>24154.7680845236</v>
      </c>
      <c r="D47" s="11" t="n">
        <f aca="false">'What you can pay'!D13</f>
        <v>24154.7680845196</v>
      </c>
      <c r="E47" s="13" t="n">
        <f aca="false">ABS(C47-D47)</f>
        <v>4.06362232752144E-009</v>
      </c>
      <c r="F47" s="3" t="str">
        <f aca="false">IF(E47&lt;=0.000000001*MAX(1,ABS(C47)),"OK","CHECK")</f>
        <v>OK</v>
      </c>
    </row>
    <row r="48" customFormat="false" ht="15" hidden="false" customHeight="false" outlineLevel="0" collapsed="false">
      <c r="B48" s="3" t="s">
        <v>60</v>
      </c>
      <c r="C48" s="11" t="n">
        <v>130170.696048661</v>
      </c>
      <c r="D48" s="11" t="n">
        <f aca="false">'What you can pay'!D14</f>
        <v>130170.696048689</v>
      </c>
      <c r="E48" s="13" t="n">
        <f aca="false">ABS(C48-D48)</f>
        <v>2.78087100014091E-008</v>
      </c>
      <c r="F48" s="3" t="str">
        <f aca="false">IF(E48&lt;=0.000000001*MAX(1,ABS(C48)),"OK","CHECK")</f>
        <v>OK</v>
      </c>
    </row>
    <row r="49" customFormat="false" ht="15" hidden="false" customHeight="false" outlineLevel="0" collapsed="false">
      <c r="B49" s="3" t="s">
        <v>61</v>
      </c>
      <c r="C49" s="13" t="n">
        <v>0.252453679813165</v>
      </c>
      <c r="D49" s="13" t="n">
        <f aca="false">'What you can pay'!D15</f>
        <v>0.252453679813122</v>
      </c>
      <c r="E49" s="13" t="n">
        <f aca="false">ABS(C49-D49)</f>
        <v>4.24660306919122E-014</v>
      </c>
      <c r="F49" s="3" t="str">
        <f aca="false">IF(E49&lt;=0.000000001*MAX(1,ABS(C49)),"OK","CHECK")</f>
        <v>OK</v>
      </c>
    </row>
    <row r="50" customFormat="false" ht="15" hidden="false" customHeight="false" outlineLevel="0" collapsed="false">
      <c r="B50" s="3" t="s">
        <v>62</v>
      </c>
      <c r="C50" s="12" t="n">
        <v>0.00882705174171905</v>
      </c>
      <c r="D50" s="12" t="n">
        <f aca="false">'What you can pay'!D16</f>
        <v>0.00882705174171757</v>
      </c>
      <c r="E50" s="13" t="n">
        <f aca="false">ABS(C50-D50)</f>
        <v>1.48492329543615E-015</v>
      </c>
      <c r="F50" s="3" t="str">
        <f aca="false">IF(E50&lt;=0.000000001*MAX(1,ABS(C50)),"OK","CHECK")</f>
        <v>OK</v>
      </c>
    </row>
    <row r="51" customFormat="false" ht="15" hidden="false" customHeight="false" outlineLevel="0" collapsed="false">
      <c r="B51" s="3" t="s">
        <v>64</v>
      </c>
      <c r="C51" s="11" t="n">
        <v>72464.3042535709</v>
      </c>
      <c r="D51" s="11" t="n">
        <f aca="false">'What you can pay'!D17</f>
        <v>72464.3042535587</v>
      </c>
      <c r="E51" s="13" t="n">
        <f aca="false">ABS(C51-D51)</f>
        <v>1.21799530461431E-008</v>
      </c>
      <c r="F51" s="3" t="str">
        <f aca="false">IF(E51&lt;=0.000000001*MAX(1,ABS(C51)),"OK","CHECK")</f>
        <v>OK</v>
      </c>
    </row>
    <row r="52" customFormat="false" ht="15" hidden="false" customHeight="false" outlineLevel="0" collapsed="false">
      <c r="B52" s="3" t="s">
        <v>67</v>
      </c>
      <c r="C52" s="11" t="n">
        <v>29137.6491794434</v>
      </c>
      <c r="D52" s="11" t="n">
        <f aca="false">'What you can pay'!D19</f>
        <v>29137.6491794413</v>
      </c>
      <c r="E52" s="13" t="n">
        <f aca="false">ABS(C52-D52)</f>
        <v>2.08092387765646E-009</v>
      </c>
      <c r="F52" s="3" t="str">
        <f aca="false">IF(E52&lt;=0.000000001*MAX(1,ABS(C52)),"OK","CHECK")</f>
        <v>OK</v>
      </c>
    </row>
    <row r="53" customFormat="false" ht="15" hidden="false" customHeight="false" outlineLevel="0" collapsed="false">
      <c r="B53" s="3" t="s">
        <v>68</v>
      </c>
      <c r="C53" s="11" t="n">
        <v>56854.1429533039</v>
      </c>
      <c r="D53" s="11" t="n">
        <f aca="false">'What you can pay'!D20</f>
        <v>56854.1429532972</v>
      </c>
      <c r="E53" s="13" t="n">
        <f aca="false">ABS(C53-D53)</f>
        <v>6.74481270834804E-009</v>
      </c>
      <c r="F53" s="3" t="str">
        <f aca="false">IF(E53&lt;=0.000000001*MAX(1,ABS(C53)),"OK","CHECK")</f>
        <v>OK</v>
      </c>
    </row>
    <row r="54" customFormat="false" ht="15" hidden="false" customHeight="false" outlineLevel="0" collapsed="false">
      <c r="B54" s="3" t="s">
        <v>69</v>
      </c>
      <c r="C54" s="11" t="n">
        <v>27716.4937738605</v>
      </c>
      <c r="D54" s="11" t="n">
        <f aca="false">'What you can pay'!D21</f>
        <v>27716.4937738559</v>
      </c>
      <c r="E54" s="13" t="n">
        <f aca="false">ABS(C54-D54)</f>
        <v>4.66388883069158E-009</v>
      </c>
      <c r="F54" s="3" t="str">
        <f aca="false">IF(E54&lt;=0.000000001*MAX(1,ABS(C54)),"OK","CHECK")</f>
        <v>OK</v>
      </c>
    </row>
    <row r="55" customFormat="false" ht="15" hidden="false" customHeight="false" outlineLevel="0" collapsed="false">
      <c r="B55" s="3" t="s">
        <v>72</v>
      </c>
      <c r="C55" s="11" t="n">
        <v>6197.71673573269</v>
      </c>
      <c r="D55" s="11" t="n">
        <f aca="false">'What you can pay'!D30</f>
        <v>6197.7167357447</v>
      </c>
      <c r="E55" s="13" t="n">
        <f aca="false">ABS(C55-D55)</f>
        <v>1.20053300634027E-008</v>
      </c>
      <c r="F55" s="3" t="str">
        <f aca="false">IF(E55&lt;=0.000000001*MAX(1,ABS(C55)),"OK","CHECK")</f>
        <v>OK</v>
      </c>
    </row>
    <row r="56" customFormat="false" ht="15" hidden="false" customHeight="false" outlineLevel="0" collapsed="false">
      <c r="B56" s="3" t="s">
        <v>74</v>
      </c>
      <c r="C56" s="11" t="n">
        <v>3.89736561292972</v>
      </c>
      <c r="D56" s="11" t="n">
        <f aca="false">'What you can pay'!D32</f>
        <v>3.89736561292151</v>
      </c>
      <c r="E56" s="13" t="n">
        <f aca="false">ABS(C56-D56)</f>
        <v>8.20454815197991E-012</v>
      </c>
      <c r="F56" s="3" t="str">
        <f aca="false">IF(E56&lt;=0.000000001*MAX(1,ABS(C56)),"OK","CHECK")</f>
        <v>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2026-09-16T05:50:22Z</dcterms:created>
  <dc:creator>openpyxl</dc:creator>
  <dc:description/>
  <dc:language>en-US</dc:language>
  <cp:lastModifiedBy/>
  <dcterms:modified xsi:type="dcterms:W3CDTF">2026-09-16T05:50:22Z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