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ssumptions" sheetId="1" state="visible" r:id="rId3"/>
    <sheet name="Pooling" sheetId="2" state="visible" r:id="rId4"/>
    <sheet name="Forecast bias" sheetId="3" state="visible" r:id="rId5"/>
    <sheet name="Holding rate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<sst xmlns="http://schemas.openxmlformats.org/spreadsheetml/2006/main" count="164" uniqueCount="121">
  <si>
    <t xml:space="preserve">Aldermere Filtration, reference AF-7. Blue cells are the only inputs.</t>
  </si>
  <si>
    <t xml:space="preserve">Parameter</t>
  </si>
  <si>
    <t xml:space="preserve">Value</t>
  </si>
  <si>
    <t xml:space="preserve">Unit</t>
  </si>
  <si>
    <t xml:space="preserve">Mean weekly demand</t>
  </si>
  <si>
    <t xml:space="preserve">units</t>
  </si>
  <si>
    <t xml:space="preserve">Standard deviation of weekly demand</t>
  </si>
  <si>
    <t xml:space="preserve">Weeks per year</t>
  </si>
  <si>
    <t xml:space="preserve">weeks</t>
  </si>
  <si>
    <t xml:space="preserve">Mean replenishment lead time</t>
  </si>
  <si>
    <t xml:space="preserve">Standard deviation of lead time</t>
  </si>
  <si>
    <t xml:space="preserve">Selling price</t>
  </si>
  <si>
    <t xml:space="preserve">EUR per unit</t>
  </si>
  <si>
    <t xml:space="preserve">Purchase cost delivered</t>
  </si>
  <si>
    <t xml:space="preserve">Cost of capital</t>
  </si>
  <si>
    <t xml:space="preserve">per year</t>
  </si>
  <si>
    <t xml:space="preserve">Storage</t>
  </si>
  <si>
    <t xml:space="preserve">Obsolescence</t>
  </si>
  <si>
    <t xml:space="preserve">Insurance</t>
  </si>
  <si>
    <t xml:space="preserve">Cost of placing one order</t>
  </si>
  <si>
    <t xml:space="preserve">EUR</t>
  </si>
  <si>
    <t xml:space="preserve">Cycle service level voted by the board</t>
  </si>
  <si>
    <t xml:space="preserve">probability</t>
  </si>
  <si>
    <t xml:space="preserve">Unit margin</t>
  </si>
  <si>
    <t xml:space="preserve">Total holding rate</t>
  </si>
  <si>
    <t xml:space="preserve">Annual demand</t>
  </si>
  <si>
    <t xml:space="preserve">units per year</t>
  </si>
  <si>
    <t xml:space="preserve">Holding cost of one unit for one year</t>
  </si>
  <si>
    <t xml:space="preserve">EUR per unit per year</t>
  </si>
  <si>
    <t xml:space="preserve">Standard deviation of demand during lead time</t>
  </si>
  <si>
    <t xml:space="preserve">Economic order quantity</t>
  </si>
  <si>
    <t xml:space="preserve">Orders per year</t>
  </si>
  <si>
    <t xml:space="preserve">orders per year</t>
  </si>
  <si>
    <t xml:space="preserve">Annual ordering cost</t>
  </si>
  <si>
    <t xml:space="preserve">EUR per year</t>
  </si>
  <si>
    <t xml:space="preserve">z at the cycle service level voted by the board</t>
  </si>
  <si>
    <t xml:space="preserve">standard deviations</t>
  </si>
  <si>
    <t xml:space="preserve">Expected shortage per cycle, in sigma units</t>
  </si>
  <si>
    <t xml:space="preserve">sigma units</t>
  </si>
  <si>
    <t xml:space="preserve">Units missing per year at the board service level</t>
  </si>
  <si>
    <t xml:space="preserve">Four regional depots against a single central warehouse</t>
  </si>
  <si>
    <t xml:space="preserve">Item</t>
  </si>
  <si>
    <t xml:space="preserve">Input</t>
  </si>
  <si>
    <t xml:space="preserve">Number of regional depots</t>
  </si>
  <si>
    <t xml:space="preserve">depots</t>
  </si>
  <si>
    <t xml:space="preserve">Mean weekly demand per depot</t>
  </si>
  <si>
    <t xml:space="preserve">Standard deviation of weekly demand per depot</t>
  </si>
  <si>
    <t xml:space="preserve">Standard deviation during lead time, one depot</t>
  </si>
  <si>
    <t xml:space="preserve">Safety stock of one depot</t>
  </si>
  <si>
    <t xml:space="preserve">Safety stock across the regional depots</t>
  </si>
  <si>
    <t xml:space="preserve">Safety stock in a single central warehouse</t>
  </si>
  <si>
    <t xml:space="preserve">Extra safety stock the dispersion requires</t>
  </si>
  <si>
    <t xml:space="preserve">Extra safety stock, in money</t>
  </si>
  <si>
    <t xml:space="preserve">Economic order quantity of one depot</t>
  </si>
  <si>
    <t xml:space="preserve">Cycle stock across the regional depots</t>
  </si>
  <si>
    <t xml:space="preserve">Cycle stock in a single central warehouse</t>
  </si>
  <si>
    <t xml:space="preserve">Extra cycle stock the dispersion requires</t>
  </si>
  <si>
    <t xml:space="preserve">Extra cycle stock, in money</t>
  </si>
  <si>
    <t xml:space="preserve">Ordering cost across the regional depots</t>
  </si>
  <si>
    <t xml:space="preserve">Extra ordering cost the dispersion requires</t>
  </si>
  <si>
    <t xml:space="preserve">Total extra stock tied up by the dispersion, safety plus cycle</t>
  </si>
  <si>
    <t xml:space="preserve">The error that safety stock was never meant to cover</t>
  </si>
  <si>
    <t xml:space="preserve">Forecast bias</t>
  </si>
  <si>
    <t xml:space="preserve">Shift in demand during lead time</t>
  </si>
  <si>
    <t xml:space="preserve">Effective z implied by the shift</t>
  </si>
  <si>
    <t xml:space="preserve">Effect on holding</t>
  </si>
  <si>
    <t xml:space="preserve">Effect on shortage</t>
  </si>
  <si>
    <t xml:space="preserve">Net effect a year, plus is a cost</t>
  </si>
  <si>
    <t xml:space="preserve">The assumption nobody measures, and what it decides</t>
  </si>
  <si>
    <t xml:space="preserve">Holding rate</t>
  </si>
  <si>
    <t xml:space="preserve">Order quantity</t>
  </si>
  <si>
    <t xml:space="preserve">Inventory value</t>
  </si>
  <si>
    <t xml:space="preserve">Total cost</t>
  </si>
  <si>
    <t xml:space="preserve">Optimal cycle service level</t>
  </si>
  <si>
    <t xml:space="preserve">Every figure printed in the book, reproduced here</t>
  </si>
  <si>
    <t xml:space="preserve">Figure</t>
  </si>
  <si>
    <t xml:space="preserve">Book</t>
  </si>
  <si>
    <t xml:space="preserve">Workbook</t>
  </si>
  <si>
    <t xml:space="preserve">Difference</t>
  </si>
  <si>
    <t xml:space="preserve">Status</t>
  </si>
  <si>
    <t xml:space="preserve">Total extra stock tied up by the dispersion</t>
  </si>
  <si>
    <t xml:space="preserve">Forecast bias -10.0 % : shift in demand during lead time</t>
  </si>
  <si>
    <t xml:space="preserve">Forecast bias -10.0 % : effect on holding</t>
  </si>
  <si>
    <t xml:space="preserve">Forecast bias -10.0 % : effect on shortage</t>
  </si>
  <si>
    <t xml:space="preserve">Forecast bias -10.0 % : net effect a year</t>
  </si>
  <si>
    <t xml:space="preserve">Forecast bias -5.0 % : shift in demand during lead time</t>
  </si>
  <si>
    <t xml:space="preserve">Forecast bias -5.0 % : effect on holding</t>
  </si>
  <si>
    <t xml:space="preserve">Forecast bias -5.0 % : effect on shortage</t>
  </si>
  <si>
    <t xml:space="preserve">Forecast bias -5.0 % : net effect a year</t>
  </si>
  <si>
    <t xml:space="preserve">Forecast bias 5.0 % : shift in demand during lead time</t>
  </si>
  <si>
    <t xml:space="preserve">Forecast bias 5.0 % : effect on holding</t>
  </si>
  <si>
    <t xml:space="preserve">Forecast bias 5.0 % : effect on shortage</t>
  </si>
  <si>
    <t xml:space="preserve">Forecast bias 5.0 % : net effect a year</t>
  </si>
  <si>
    <t xml:space="preserve">Forecast bias 10.0 % : shift in demand during lead time</t>
  </si>
  <si>
    <t xml:space="preserve">Forecast bias 10.0 % : effect on holding</t>
  </si>
  <si>
    <t xml:space="preserve">Forecast bias 10.0 % : effect on shortage</t>
  </si>
  <si>
    <t xml:space="preserve">Forecast bias 10.0 % : net effect a year</t>
  </si>
  <si>
    <t xml:space="preserve">Holding rate 8.0 % : order quantity</t>
  </si>
  <si>
    <t xml:space="preserve">Holding rate 8.0 % : inventory value</t>
  </si>
  <si>
    <t xml:space="preserve">Holding rate 8.0 % : total cost</t>
  </si>
  <si>
    <t xml:space="preserve">Holding rate 8.0 % : optimal cycle service level</t>
  </si>
  <si>
    <t xml:space="preserve">Holding rate 10.0 % : order quantity</t>
  </si>
  <si>
    <t xml:space="preserve">Holding rate 10.0 % : inventory value</t>
  </si>
  <si>
    <t xml:space="preserve">Holding rate 10.0 % : total cost</t>
  </si>
  <si>
    <t xml:space="preserve">Holding rate 10.0 % : optimal cycle service level</t>
  </si>
  <si>
    <t xml:space="preserve">Holding rate 13.4 % : order quantity</t>
  </si>
  <si>
    <t xml:space="preserve">Holding rate 13.4 % : inventory value</t>
  </si>
  <si>
    <t xml:space="preserve">Holding rate 13.4 % : total cost</t>
  </si>
  <si>
    <t xml:space="preserve">Holding rate 13.4 % : optimal cycle service level</t>
  </si>
  <si>
    <t xml:space="preserve">Holding rate 16.0 % : order quantity</t>
  </si>
  <si>
    <t xml:space="preserve">Holding rate 16.0 % : inventory value</t>
  </si>
  <si>
    <t xml:space="preserve">Holding rate 16.0 % : total cost</t>
  </si>
  <si>
    <t xml:space="preserve">Holding rate 16.0 % : optimal cycle service level</t>
  </si>
  <si>
    <t xml:space="preserve">Holding rate 20.0 % : order quantity</t>
  </si>
  <si>
    <t xml:space="preserve">Holding rate 20.0 % : inventory value</t>
  </si>
  <si>
    <t xml:space="preserve">Holding rate 20.0 % : total cost</t>
  </si>
  <si>
    <t xml:space="preserve">Holding rate 20.0 % : optimal cycle service level</t>
  </si>
  <si>
    <t xml:space="preserve">Holding rate 25.0 % : order quantity</t>
  </si>
  <si>
    <t xml:space="preserve">Holding rate 25.0 % : inventory value</t>
  </si>
  <si>
    <t xml:space="preserve">Holding rate 25.0 % : total cost</t>
  </si>
  <si>
    <t xml:space="preserve">Holding rate 25.0 % : optimal cycle service level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</si>
</sst>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000%"/>
    <numFmt numFmtId="167" formatCode="#,##0.0000"/>
    <numFmt numFmtId="168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Segoe UI"/>
      <family val="0"/>
      <charset val="1"/>
    </font>
    <font>
      <b val="true"/>
      <sz val="10"/>
      <color rgb="FFEFE7DA"/>
      <name val="Segoe UI"/>
      <family val="0"/>
      <charset val="1"/>
    </font>
    <font>
      <sz val="10"/>
      <name val="Segoe UI"/>
      <family val="0"/>
      <charset val="1"/>
    </font>
    <font>
      <sz val="10"/>
      <color rgb="FF0000C0"/>
      <name val="Segoe UI"/>
      <family val="0"/>
      <charset val="1"/>
    </font>
    <font>
      <b val="true"/>
      <sz val="10"/>
      <name val="Segoe U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4228"/>
        <bgColor rgb="FF333333"/>
      </patternFill>
    </fill>
    <fill>
      <patternFill patternType="solid">
        <fgColor rgb="FFEFE7D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0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FE7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422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22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0</v>
      </c>
    </row>
    <row r="4" customFormat="false" ht="27.75" hidden="false" customHeight="true" outlineLevel="0" collapsed="false">
      <c r="B4" s="2" t="s">
        <v>1</v>
      </c>
      <c r="C4" s="2" t="s">
        <v>2</v>
      </c>
      <c r="D4" s="2" t="s">
        <v>3</v>
      </c>
    </row>
    <row r="5" customFormat="false" ht="15" hidden="false" customHeight="false" outlineLevel="0" collapsed="false">
      <c r="B5" s="3" t="s">
        <v>4</v>
      </c>
      <c r="C5" s="4" t="n">
        <v>1840</v>
      </c>
      <c r="D5" s="5" t="s">
        <v>5</v>
      </c>
    </row>
    <row r="6" customFormat="false" ht="15" hidden="false" customHeight="false" outlineLevel="0" collapsed="false">
      <c r="B6" s="3" t="s">
        <v>6</v>
      </c>
      <c r="C6" s="4" t="n">
        <v>462</v>
      </c>
      <c r="D6" s="5" t="s">
        <v>5</v>
      </c>
    </row>
    <row r="7" customFormat="false" ht="15" hidden="false" customHeight="false" outlineLevel="0" collapsed="false">
      <c r="B7" s="3" t="s">
        <v>7</v>
      </c>
      <c r="C7" s="4" t="n">
        <v>52</v>
      </c>
      <c r="D7" s="5" t="s">
        <v>8</v>
      </c>
    </row>
    <row r="8" customFormat="false" ht="15" hidden="false" customHeight="false" outlineLevel="0" collapsed="false">
      <c r="B8" s="3" t="s">
        <v>9</v>
      </c>
      <c r="C8" s="4" t="n">
        <v>6</v>
      </c>
      <c r="D8" s="5" t="s">
        <v>8</v>
      </c>
    </row>
    <row r="9" customFormat="false" ht="15" hidden="false" customHeight="false" outlineLevel="0" collapsed="false">
      <c r="B9" s="3" t="s">
        <v>10</v>
      </c>
      <c r="C9" s="4" t="n">
        <v>1.9</v>
      </c>
      <c r="D9" s="5" t="s">
        <v>8</v>
      </c>
    </row>
    <row r="10" customFormat="false" ht="15" hidden="false" customHeight="false" outlineLevel="0" collapsed="false">
      <c r="B10" s="3" t="s">
        <v>11</v>
      </c>
      <c r="C10" s="4" t="n">
        <v>47.5</v>
      </c>
      <c r="D10" s="5" t="s">
        <v>12</v>
      </c>
    </row>
    <row r="11" customFormat="false" ht="15" hidden="false" customHeight="false" outlineLevel="0" collapsed="false">
      <c r="B11" s="3" t="s">
        <v>13</v>
      </c>
      <c r="C11" s="4" t="n">
        <v>28.6</v>
      </c>
      <c r="D11" s="5" t="s">
        <v>12</v>
      </c>
    </row>
    <row r="12" customFormat="false" ht="15" hidden="false" customHeight="false" outlineLevel="0" collapsed="false">
      <c r="B12" s="3" t="s">
        <v>14</v>
      </c>
      <c r="C12" s="6" t="n">
        <v>0.074</v>
      </c>
      <c r="D12" s="5" t="s">
        <v>15</v>
      </c>
    </row>
    <row r="13" customFormat="false" ht="15" hidden="false" customHeight="false" outlineLevel="0" collapsed="false">
      <c r="B13" s="3" t="s">
        <v>16</v>
      </c>
      <c r="C13" s="6" t="n">
        <v>0.031</v>
      </c>
      <c r="D13" s="5" t="s">
        <v>15</v>
      </c>
    </row>
    <row r="14" customFormat="false" ht="15" hidden="false" customHeight="false" outlineLevel="0" collapsed="false">
      <c r="B14" s="3" t="s">
        <v>17</v>
      </c>
      <c r="C14" s="6" t="n">
        <v>0.0225</v>
      </c>
      <c r="D14" s="5" t="s">
        <v>15</v>
      </c>
    </row>
    <row r="15" customFormat="false" ht="15" hidden="false" customHeight="false" outlineLevel="0" collapsed="false">
      <c r="B15" s="3" t="s">
        <v>18</v>
      </c>
      <c r="C15" s="6" t="n">
        <v>0.0065</v>
      </c>
      <c r="D15" s="5" t="s">
        <v>15</v>
      </c>
    </row>
    <row r="16" customFormat="false" ht="15" hidden="false" customHeight="false" outlineLevel="0" collapsed="false">
      <c r="B16" s="3" t="s">
        <v>19</v>
      </c>
      <c r="C16" s="4" t="n">
        <v>385</v>
      </c>
      <c r="D16" s="5" t="s">
        <v>20</v>
      </c>
    </row>
    <row r="17" customFormat="false" ht="15" hidden="false" customHeight="false" outlineLevel="0" collapsed="false">
      <c r="B17" s="3" t="s">
        <v>21</v>
      </c>
      <c r="C17" s="6" t="n">
        <v>0.98</v>
      </c>
      <c r="D17" s="5" t="s">
        <v>22</v>
      </c>
    </row>
    <row r="18" customFormat="false" ht="15" hidden="false" customHeight="false" outlineLevel="0" collapsed="false">
      <c r="B18" s="7" t="s">
        <v>23</v>
      </c>
      <c r="C18" s="8" t="n">
        <f aca="false">Assumptions!C10-Assumptions!C11</f>
        <v>18.9</v>
      </c>
      <c r="D18" s="7" t="s">
        <v>12</v>
      </c>
    </row>
    <row r="19" customFormat="false" ht="15" hidden="false" customHeight="false" outlineLevel="0" collapsed="false">
      <c r="B19" s="7" t="s">
        <v>24</v>
      </c>
      <c r="C19" s="9" t="n">
        <f aca="false">Assumptions!C12+Assumptions!C13+Assumptions!C14+Assumptions!C15</f>
        <v>0.134</v>
      </c>
      <c r="D19" s="7" t="s">
        <v>15</v>
      </c>
    </row>
    <row r="20" customFormat="false" ht="15" hidden="false" customHeight="false" outlineLevel="0" collapsed="false">
      <c r="B20" s="7" t="s">
        <v>25</v>
      </c>
      <c r="C20" s="8" t="n">
        <f aca="false">Assumptions!C5*Assumptions!C7</f>
        <v>95680</v>
      </c>
      <c r="D20" s="7" t="s">
        <v>26</v>
      </c>
    </row>
    <row r="21" customFormat="false" ht="15" hidden="false" customHeight="false" outlineLevel="0" collapsed="false">
      <c r="B21" s="7" t="s">
        <v>27</v>
      </c>
      <c r="C21" s="10" t="n">
        <f aca="false">Assumptions!C11*Assumptions!C19</f>
        <v>3.8324</v>
      </c>
      <c r="D21" s="7" t="s">
        <v>28</v>
      </c>
    </row>
    <row r="22" customFormat="false" ht="15" hidden="false" customHeight="false" outlineLevel="0" collapsed="false">
      <c r="B22" s="7" t="s">
        <v>29</v>
      </c>
      <c r="C22" s="8" t="n">
        <f aca="false">SQRT(Assumptions!C8*Assumptions!C6^2+Assumptions!C5^2*Assumptions!C9^2)</f>
        <v>3674.5992978827</v>
      </c>
      <c r="D22" s="7" t="s">
        <v>5</v>
      </c>
    </row>
    <row r="23" customFormat="false" ht="15" hidden="false" customHeight="false" outlineLevel="0" collapsed="false">
      <c r="B23" s="7" t="s">
        <v>30</v>
      </c>
      <c r="C23" s="8" t="n">
        <f aca="false">SQRT(2*Assumptions!C20*Assumptions!C16/Assumptions!C21)</f>
        <v>4384.50460109405</v>
      </c>
      <c r="D23" s="7" t="s">
        <v>5</v>
      </c>
    </row>
    <row r="24" customFormat="false" ht="15" hidden="false" customHeight="false" outlineLevel="0" collapsed="false">
      <c r="B24" s="7" t="s">
        <v>31</v>
      </c>
      <c r="C24" s="10" t="n">
        <f aca="false">Assumptions!C20/Assumptions!C23</f>
        <v>21.8223057574453</v>
      </c>
      <c r="D24" s="7" t="s">
        <v>32</v>
      </c>
    </row>
    <row r="25" customFormat="false" ht="15" hidden="false" customHeight="false" outlineLevel="0" collapsed="false">
      <c r="B25" s="7" t="s">
        <v>33</v>
      </c>
      <c r="C25" s="8" t="n">
        <f aca="false">Assumptions!C24*Assumptions!C16</f>
        <v>8401.58771661643</v>
      </c>
      <c r="D25" s="7" t="s">
        <v>34</v>
      </c>
    </row>
    <row r="26" customFormat="false" ht="15" hidden="false" customHeight="false" outlineLevel="0" collapsed="false">
      <c r="B26" s="7" t="s">
        <v>35</v>
      </c>
      <c r="C26" s="10" t="n">
        <f aca="false">_xlfn.NORM.S.INV(Assumptions!C17)</f>
        <v>2.05374891063182</v>
      </c>
      <c r="D26" s="7" t="s">
        <v>36</v>
      </c>
    </row>
    <row r="27" customFormat="false" ht="15" hidden="false" customHeight="false" outlineLevel="0" collapsed="false">
      <c r="B27" s="7" t="s">
        <v>37</v>
      </c>
      <c r="C27" s="10" t="n">
        <f aca="false">(_xlfn.NORM.S.DIST(Assumptions!C26,FALSE())-(Assumptions!C26)*(1-_xlfn.NORM.S.DIST(Assumptions!C26,TRUE())))</f>
        <v>0.00734315766810564</v>
      </c>
      <c r="D27" s="7" t="s">
        <v>38</v>
      </c>
    </row>
    <row r="28" customFormat="false" ht="15" hidden="false" customHeight="false" outlineLevel="0" collapsed="false">
      <c r="B28" s="7" t="s">
        <v>39</v>
      </c>
      <c r="C28" s="8" t="n">
        <f aca="false">Assumptions!C22*Assumptions!C27*Assumptions!C24</f>
        <v>588.834811716826</v>
      </c>
      <c r="D28" s="7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3" min="3" style="0" width="14"/>
    <col collapsed="false" customWidth="true" hidden="false" outlineLevel="0" max="4" min="4" style="0" width="20"/>
    <col collapsed="false" customWidth="true" hidden="false" outlineLevel="0" max="5" min="5" style="0" width="22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40</v>
      </c>
    </row>
    <row r="4" customFormat="false" ht="27.75" hidden="false" customHeight="true" outlineLevel="0" collapsed="false">
      <c r="B4" s="2" t="s">
        <v>41</v>
      </c>
      <c r="C4" s="2" t="s">
        <v>42</v>
      </c>
      <c r="D4" s="2" t="s">
        <v>2</v>
      </c>
      <c r="E4" s="2" t="s">
        <v>3</v>
      </c>
    </row>
    <row r="5" customFormat="false" ht="15" hidden="false" customHeight="false" outlineLevel="0" collapsed="false">
      <c r="B5" s="3" t="s">
        <v>43</v>
      </c>
      <c r="C5" s="11" t="n">
        <v>4</v>
      </c>
      <c r="D5" s="12"/>
      <c r="E5" s="3" t="s">
        <v>44</v>
      </c>
    </row>
    <row r="6" customFormat="false" ht="15" hidden="false" customHeight="false" outlineLevel="0" collapsed="false">
      <c r="B6" s="3" t="s">
        <v>45</v>
      </c>
      <c r="C6" s="3"/>
      <c r="D6" s="12" t="n">
        <f aca="false">Assumptions!C5/C5</f>
        <v>460</v>
      </c>
      <c r="E6" s="3" t="s">
        <v>5</v>
      </c>
    </row>
    <row r="7" customFormat="false" ht="15" hidden="false" customHeight="false" outlineLevel="0" collapsed="false">
      <c r="B7" s="3" t="s">
        <v>46</v>
      </c>
      <c r="C7" s="3"/>
      <c r="D7" s="12" t="n">
        <f aca="false">Assumptions!C6/SQRT(C5)</f>
        <v>231</v>
      </c>
      <c r="E7" s="3" t="s">
        <v>5</v>
      </c>
    </row>
    <row r="8" customFormat="false" ht="15" hidden="false" customHeight="false" outlineLevel="0" collapsed="false">
      <c r="B8" s="3" t="s">
        <v>47</v>
      </c>
      <c r="C8" s="3"/>
      <c r="D8" s="12" t="n">
        <f aca="false">SQRT(Assumptions!C8*D7^2+D6^2*Assumptions!C9^2)</f>
        <v>1041.17337653246</v>
      </c>
      <c r="E8" s="3" t="s">
        <v>5</v>
      </c>
    </row>
    <row r="9" customFormat="false" ht="15" hidden="false" customHeight="false" outlineLevel="0" collapsed="false">
      <c r="B9" s="3" t="s">
        <v>48</v>
      </c>
      <c r="C9" s="3"/>
      <c r="D9" s="12" t="n">
        <f aca="false">Assumptions!C26*D8</f>
        <v>2138.30868783239</v>
      </c>
      <c r="E9" s="3" t="s">
        <v>5</v>
      </c>
    </row>
    <row r="10" customFormat="false" ht="15" hidden="false" customHeight="false" outlineLevel="0" collapsed="false">
      <c r="B10" s="7" t="s">
        <v>49</v>
      </c>
      <c r="C10" s="7"/>
      <c r="D10" s="8" t="n">
        <f aca="false">C5*D9</f>
        <v>8553.23475132957</v>
      </c>
      <c r="E10" s="7" t="s">
        <v>5</v>
      </c>
    </row>
    <row r="11" customFormat="false" ht="15" hidden="false" customHeight="false" outlineLevel="0" collapsed="false">
      <c r="B11" s="7" t="s">
        <v>50</v>
      </c>
      <c r="C11" s="7"/>
      <c r="D11" s="8" t="n">
        <f aca="false">Assumptions!C26*Assumptions!C22</f>
        <v>7546.70430503505</v>
      </c>
      <c r="E11" s="7" t="s">
        <v>5</v>
      </c>
    </row>
    <row r="12" customFormat="false" ht="15" hidden="false" customHeight="false" outlineLevel="0" collapsed="false">
      <c r="B12" s="7" t="s">
        <v>51</v>
      </c>
      <c r="C12" s="7"/>
      <c r="D12" s="8" t="n">
        <f aca="false">D10-D11</f>
        <v>1006.53044629452</v>
      </c>
      <c r="E12" s="7" t="s">
        <v>5</v>
      </c>
    </row>
    <row r="13" customFormat="false" ht="15" hidden="false" customHeight="false" outlineLevel="0" collapsed="false">
      <c r="B13" s="7" t="s">
        <v>52</v>
      </c>
      <c r="C13" s="7"/>
      <c r="D13" s="8" t="n">
        <f aca="false">D12*Assumptions!C11</f>
        <v>28786.7707640234</v>
      </c>
      <c r="E13" s="7" t="s">
        <v>20</v>
      </c>
    </row>
    <row r="14" customFormat="false" ht="15" hidden="false" customHeight="false" outlineLevel="0" collapsed="false">
      <c r="B14" s="3" t="s">
        <v>53</v>
      </c>
      <c r="C14" s="3"/>
      <c r="D14" s="12" t="n">
        <f aca="false">SQRT(2*(Assumptions!C20/C5)*Assumptions!C16/Assumptions!C21)</f>
        <v>2192.25230054703</v>
      </c>
      <c r="E14" s="3" t="s">
        <v>5</v>
      </c>
    </row>
    <row r="15" customFormat="false" ht="15" hidden="false" customHeight="false" outlineLevel="0" collapsed="false">
      <c r="B15" s="3" t="s">
        <v>54</v>
      </c>
      <c r="C15" s="3"/>
      <c r="D15" s="12" t="n">
        <f aca="false">C5*D14/2</f>
        <v>4384.50460109405</v>
      </c>
      <c r="E15" s="3" t="s">
        <v>5</v>
      </c>
    </row>
    <row r="16" customFormat="false" ht="15" hidden="false" customHeight="false" outlineLevel="0" collapsed="false">
      <c r="B16" s="3" t="s">
        <v>55</v>
      </c>
      <c r="C16" s="3"/>
      <c r="D16" s="12" t="n">
        <f aca="false">Assumptions!C23/2</f>
        <v>2192.25230054703</v>
      </c>
      <c r="E16" s="3" t="s">
        <v>5</v>
      </c>
    </row>
    <row r="17" customFormat="false" ht="15" hidden="false" customHeight="false" outlineLevel="0" collapsed="false">
      <c r="B17" s="7" t="s">
        <v>56</v>
      </c>
      <c r="C17" s="7"/>
      <c r="D17" s="8" t="n">
        <f aca="false">D15-D16</f>
        <v>2192.25230054703</v>
      </c>
      <c r="E17" s="7" t="s">
        <v>5</v>
      </c>
    </row>
    <row r="18" customFormat="false" ht="15" hidden="false" customHeight="false" outlineLevel="0" collapsed="false">
      <c r="B18" s="7" t="s">
        <v>57</v>
      </c>
      <c r="C18" s="7"/>
      <c r="D18" s="8" t="n">
        <f aca="false">D17*Assumptions!C11</f>
        <v>62698.415795645</v>
      </c>
      <c r="E18" s="7" t="s">
        <v>20</v>
      </c>
    </row>
    <row r="19" customFormat="false" ht="15" hidden="false" customHeight="false" outlineLevel="0" collapsed="false">
      <c r="B19" s="3" t="s">
        <v>58</v>
      </c>
      <c r="C19" s="3"/>
      <c r="D19" s="12" t="n">
        <f aca="false">C5*((Assumptions!C20/C5)/D14)*Assumptions!C16</f>
        <v>16803.1754332329</v>
      </c>
      <c r="E19" s="3" t="s">
        <v>34</v>
      </c>
    </row>
    <row r="20" customFormat="false" ht="15" hidden="false" customHeight="false" outlineLevel="0" collapsed="false">
      <c r="B20" s="7" t="s">
        <v>59</v>
      </c>
      <c r="C20" s="7"/>
      <c r="D20" s="8" t="n">
        <f aca="false">D19-Assumptions!C25</f>
        <v>8401.58771661643</v>
      </c>
      <c r="E20" s="7" t="s">
        <v>34</v>
      </c>
    </row>
    <row r="21" customFormat="false" ht="15" hidden="false" customHeight="false" outlineLevel="0" collapsed="false">
      <c r="B21" s="7" t="s">
        <v>60</v>
      </c>
      <c r="C21" s="7"/>
      <c r="D21" s="8" t="n">
        <f aca="false">D13+D18</f>
        <v>91485.1865596683</v>
      </c>
      <c r="E21" s="7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22"/>
    <col collapsed="false" customWidth="true" hidden="false" outlineLevel="0" max="6" min="5" style="0" width="18"/>
    <col collapsed="false" customWidth="true" hidden="false" outlineLevel="0" max="7" min="7" style="0" width="26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61</v>
      </c>
    </row>
    <row r="4" customFormat="false" ht="27.75" hidden="false" customHeight="true" outlineLevel="0" collapsed="false">
      <c r="B4" s="2" t="s">
        <v>62</v>
      </c>
      <c r="C4" s="2" t="s">
        <v>63</v>
      </c>
      <c r="D4" s="2" t="s">
        <v>64</v>
      </c>
      <c r="E4" s="2" t="s">
        <v>65</v>
      </c>
      <c r="F4" s="2" t="s">
        <v>66</v>
      </c>
      <c r="G4" s="2" t="s">
        <v>67</v>
      </c>
    </row>
    <row r="5" customFormat="false" ht="15" hidden="false" customHeight="false" outlineLevel="0" collapsed="false">
      <c r="B5" s="6" t="n">
        <v>-0.1</v>
      </c>
      <c r="C5" s="12" t="n">
        <f aca="false">B5*Assumptions!C5*Assumptions!C8</f>
        <v>-1104</v>
      </c>
      <c r="D5" s="13" t="n">
        <f aca="false">Assumptions!C26+C5/Assumptions!C22</f>
        <v>1.75330798891387</v>
      </c>
      <c r="E5" s="12" t="n">
        <f aca="false">C5*Assumptions!C11*Assumptions!C19</f>
        <v>-4230.9696</v>
      </c>
      <c r="F5" s="12" t="n">
        <f aca="false">(Assumptions!C22*(_xlfn.NORM.S.DIST(D5,FALSE())-(D5)*(1-_xlfn.NORM.S.DIST(D5,TRUE())))*Assumptions!C24-Assumptions!C28)*Assumptions!C18</f>
        <v>13183.2174869543</v>
      </c>
      <c r="G5" s="12" t="n">
        <f aca="false">E5+F5</f>
        <v>8952.24788695429</v>
      </c>
    </row>
    <row r="6" customFormat="false" ht="15" hidden="false" customHeight="false" outlineLevel="0" collapsed="false">
      <c r="B6" s="6" t="n">
        <v>-0.05</v>
      </c>
      <c r="C6" s="12" t="n">
        <f aca="false">B6*Assumptions!C5*Assumptions!C8</f>
        <v>-552</v>
      </c>
      <c r="D6" s="13" t="n">
        <f aca="false">Assumptions!C26+C6/Assumptions!C22</f>
        <v>1.90352844977285</v>
      </c>
      <c r="E6" s="12" t="n">
        <f aca="false">C6*Assumptions!C11*Assumptions!C19</f>
        <v>-2115.4848</v>
      </c>
      <c r="F6" s="12" t="n">
        <f aca="false">(Assumptions!C22*(_xlfn.NORM.S.DIST(D6,FALSE())-(D6)*(1-_xlfn.NORM.S.DIST(D6,TRUE())))*Assumptions!C24-Assumptions!C28)*Assumptions!C18</f>
        <v>5471.5810934799</v>
      </c>
      <c r="G6" s="12" t="n">
        <f aca="false">E6+F6</f>
        <v>3356.0962934799</v>
      </c>
    </row>
    <row r="7" customFormat="false" ht="15" hidden="false" customHeight="false" outlineLevel="0" collapsed="false">
      <c r="B7" s="6" t="n">
        <v>0.05</v>
      </c>
      <c r="C7" s="12" t="n">
        <f aca="false">B7*Assumptions!C5*Assumptions!C8</f>
        <v>552</v>
      </c>
      <c r="D7" s="13" t="n">
        <f aca="false">Assumptions!C26+C7/Assumptions!C22</f>
        <v>2.2039693714908</v>
      </c>
      <c r="E7" s="12" t="n">
        <f aca="false">C7*Assumptions!C11*Assumptions!C19</f>
        <v>2115.4848</v>
      </c>
      <c r="F7" s="12" t="n">
        <f aca="false">(Assumptions!C22*(_xlfn.NORM.S.DIST(D7,FALSE())-(D7)*(1-_xlfn.NORM.S.DIST(D7,TRUE())))*Assumptions!C24-Assumptions!C28)*Assumptions!C18</f>
        <v>-3805.65385198606</v>
      </c>
      <c r="G7" s="12" t="n">
        <f aca="false">E7+F7</f>
        <v>-1690.16905198606</v>
      </c>
    </row>
    <row r="8" customFormat="false" ht="15" hidden="false" customHeight="false" outlineLevel="0" collapsed="false">
      <c r="B8" s="6" t="n">
        <v>0.1</v>
      </c>
      <c r="C8" s="12" t="n">
        <f aca="false">B8*Assumptions!C5*Assumptions!C8</f>
        <v>1104</v>
      </c>
      <c r="D8" s="13" t="n">
        <f aca="false">Assumptions!C26+C8/Assumptions!C22</f>
        <v>2.35418983234977</v>
      </c>
      <c r="E8" s="12" t="n">
        <f aca="false">C8*Assumptions!C11*Assumptions!C19</f>
        <v>4230.9696</v>
      </c>
      <c r="F8" s="12" t="n">
        <f aca="false">(Assumptions!C22*(_xlfn.NORM.S.DIST(D8,FALSE())-(D8)*(1-_xlfn.NORM.S.DIST(D8,TRUE())))*Assumptions!C24-Assumptions!C28)*Assumptions!C18</f>
        <v>-6399.90221009755</v>
      </c>
      <c r="G8" s="12" t="n">
        <f aca="false">E8+F8</f>
        <v>-2168.93261009755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5" min="4" style="0" width="20"/>
    <col collapsed="false" customWidth="true" hidden="false" outlineLevel="0" max="6" min="6" style="0" width="24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68</v>
      </c>
    </row>
    <row r="4" customFormat="false" ht="27.75" hidden="false" customHeight="true" outlineLevel="0" collapsed="false">
      <c r="B4" s="2" t="s">
        <v>69</v>
      </c>
      <c r="C4" s="2" t="s">
        <v>70</v>
      </c>
      <c r="D4" s="2" t="s">
        <v>71</v>
      </c>
      <c r="E4" s="2" t="s">
        <v>72</v>
      </c>
      <c r="F4" s="2" t="s">
        <v>73</v>
      </c>
    </row>
    <row r="5" customFormat="false" ht="15" hidden="false" customHeight="false" outlineLevel="0" collapsed="false">
      <c r="B5" s="6" t="n">
        <v>0.08</v>
      </c>
      <c r="C5" s="12" t="n">
        <f aca="false">SQRT(2*Assumptions!C20*Assumptions!C16/(Assumptions!C11*B5))</f>
        <v>5674.50438364444</v>
      </c>
      <c r="D5" s="12" t="n">
        <f aca="false">(C5/2+Assumptions!C26*Assumptions!C22)*Assumptions!C11</f>
        <v>296981.155810118</v>
      </c>
      <c r="E5" s="12" t="n">
        <f aca="false">D5*B5+Assumptions!C20/C5*Assumptions!C16+Assumptions!C22*Assumptions!C27*Assumptions!C20/C5*Assumptions!C18</f>
        <v>38849.1240337212</v>
      </c>
      <c r="F5" s="14" t="n">
        <f aca="false">1-C5*Assumptions!C11*B5/(Assumptions!C20*Assumptions!C18)</f>
        <v>0.992820387828377</v>
      </c>
    </row>
    <row r="6" customFormat="false" ht="15" hidden="false" customHeight="false" outlineLevel="0" collapsed="false">
      <c r="B6" s="6" t="n">
        <v>0.1</v>
      </c>
      <c r="C6" s="12" t="n">
        <f aca="false">SQRT(2*Assumptions!C20*Assumptions!C16/(Assumptions!C11*B6))</f>
        <v>5075.43101617981</v>
      </c>
      <c r="D6" s="12" t="n">
        <f aca="false">(C6/2+Assumptions!C26*Assumptions!C22)*Assumptions!C11</f>
        <v>288414.406655374</v>
      </c>
      <c r="E6" s="12" t="n">
        <f aca="false">D6*B6+Assumptions!C20/C6*Assumptions!C16+Assumptions!C22*Assumptions!C27*Assumptions!C20/C6*Assumptions!C18</f>
        <v>45713.2796712829</v>
      </c>
      <c r="F6" s="14" t="n">
        <f aca="false">1-C6*Assumptions!C11*B6/(Assumptions!C20*Assumptions!C18)</f>
        <v>0.991972949566083</v>
      </c>
    </row>
    <row r="7" customFormat="false" ht="15" hidden="false" customHeight="false" outlineLevel="0" collapsed="false">
      <c r="B7" s="6" t="n">
        <v>0.134</v>
      </c>
      <c r="C7" s="12" t="n">
        <f aca="false">SQRT(2*Assumptions!C20*Assumptions!C16/(Assumptions!C11*B7))</f>
        <v>4384.50460109405</v>
      </c>
      <c r="D7" s="12" t="n">
        <f aca="false">(C7/2+Assumptions!C26*Assumptions!C22)*Assumptions!C11</f>
        <v>278534.158919647</v>
      </c>
      <c r="E7" s="12" t="n">
        <f aca="false">D7*B7+Assumptions!C20/C7*Assumptions!C16+Assumptions!C22*Assumptions!C27*Assumptions!C20/C7*Assumptions!C18</f>
        <v>56854.1429532972</v>
      </c>
      <c r="F7" s="14" t="n">
        <f aca="false">1-C7*Assumptions!C11*B7/(Assumptions!C20*Assumptions!C18)</f>
        <v>0.990708017336651</v>
      </c>
    </row>
    <row r="8" customFormat="false" ht="15" hidden="false" customHeight="false" outlineLevel="0" collapsed="false">
      <c r="B8" s="6" t="n">
        <v>0.16</v>
      </c>
      <c r="C8" s="12" t="n">
        <f aca="false">SQRT(2*Assumptions!C20*Assumptions!C16/(Assumptions!C11*B8))</f>
        <v>4012.48052954778</v>
      </c>
      <c r="D8" s="12" t="n">
        <f aca="false">(C8/2+Assumptions!C26*Assumptions!C22)*Assumptions!C11</f>
        <v>273214.214696536</v>
      </c>
      <c r="E8" s="12" t="n">
        <f aca="false">D8*B8+Assumptions!C20/C8*Assumptions!C16+Assumptions!C22*Assumptions!C27*Assumptions!C20/C8*Assumptions!C18</f>
        <v>65055.6501809763</v>
      </c>
      <c r="F8" s="14" t="n">
        <f aca="false">1-C8*Assumptions!C11*B8/(Assumptions!C20*Assumptions!C18)</f>
        <v>0.989846495094312</v>
      </c>
    </row>
    <row r="9" customFormat="false" ht="15" hidden="false" customHeight="false" outlineLevel="0" collapsed="false">
      <c r="B9" s="6" t="n">
        <v>0.2</v>
      </c>
      <c r="C9" s="12" t="n">
        <f aca="false">SQRT(2*Assumptions!C20*Assumptions!C16/(Assumptions!C11*B9))</f>
        <v>3588.87168898527</v>
      </c>
      <c r="D9" s="12" t="n">
        <f aca="false">(C9/2+Assumptions!C26*Assumptions!C22)*Assumptions!C11</f>
        <v>267156.608276492</v>
      </c>
      <c r="E9" s="12" t="n">
        <f aca="false">D9*B9+Assumptions!C20/C9*Assumptions!C16+Assumptions!C22*Assumptions!C27*Assumptions!C20/C9*Assumptions!C18</f>
        <v>77291.705199399</v>
      </c>
      <c r="F9" s="14" t="n">
        <f aca="false">1-C9*Assumptions!C11*B9/(Assumptions!C20*Assumptions!C18)</f>
        <v>0.988648036410502</v>
      </c>
    </row>
    <row r="10" customFormat="false" ht="15" hidden="false" customHeight="false" outlineLevel="0" collapsed="false">
      <c r="B10" s="6" t="n">
        <v>0.25</v>
      </c>
      <c r="C10" s="12" t="n">
        <f aca="false">SQRT(2*Assumptions!C20*Assumptions!C16/(Assumptions!C11*B10))</f>
        <v>3209.98442363822</v>
      </c>
      <c r="D10" s="12" t="n">
        <f aca="false">(C10/2+Assumptions!C26*Assumptions!C22)*Assumptions!C11</f>
        <v>261738.520382029</v>
      </c>
      <c r="E10" s="12" t="n">
        <f aca="false">D10*B10+Assumptions!C20/C10*Assumptions!C16+Assumptions!C22*Assumptions!C27*Assumptions!C20/C10*Assumptions!C18</f>
        <v>92111.3498824205</v>
      </c>
      <c r="F10" s="14" t="n">
        <f aca="false">1-C10*Assumptions!C11*B10/(Assumptions!C20*Assumptions!C18)</f>
        <v>0.98730811886789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62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2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74</v>
      </c>
    </row>
    <row r="4" customFormat="false" ht="27.75" hidden="false" customHeight="true" outlineLevel="0" collapsed="false">
      <c r="B4" s="2" t="s">
        <v>75</v>
      </c>
      <c r="C4" s="2" t="s">
        <v>76</v>
      </c>
      <c r="D4" s="2" t="s">
        <v>77</v>
      </c>
      <c r="E4" s="2" t="s">
        <v>78</v>
      </c>
      <c r="F4" s="2" t="s">
        <v>79</v>
      </c>
    </row>
    <row r="5" customFormat="false" ht="15" hidden="false" customHeight="false" outlineLevel="0" collapsed="false">
      <c r="B5" s="3" t="s">
        <v>45</v>
      </c>
      <c r="C5" s="12" t="n">
        <v>460</v>
      </c>
      <c r="D5" s="12" t="n">
        <f aca="false">Pooling!D6</f>
        <v>460</v>
      </c>
      <c r="E5" s="13" t="n">
        <f aca="false">ABS(C5-D5)</f>
        <v>0</v>
      </c>
      <c r="F5" s="3" t="str">
        <f aca="false">IF(E5&lt;=0.000000001*MAX(1,ABS(C5)),"OK","CHECK")</f>
        <v>OK</v>
      </c>
    </row>
    <row r="6" customFormat="false" ht="15" hidden="false" customHeight="false" outlineLevel="0" collapsed="false">
      <c r="B6" s="3" t="s">
        <v>46</v>
      </c>
      <c r="C6" s="12" t="n">
        <v>231</v>
      </c>
      <c r="D6" s="12" t="n">
        <f aca="false">Pooling!D7</f>
        <v>231</v>
      </c>
      <c r="E6" s="13" t="n">
        <f aca="false">ABS(C6-D6)</f>
        <v>0</v>
      </c>
      <c r="F6" s="3" t="str">
        <f aca="false">IF(E6&lt;=0.000000001*MAX(1,ABS(C6)),"OK","CHECK")</f>
        <v>OK</v>
      </c>
    </row>
    <row r="7" customFormat="false" ht="15" hidden="false" customHeight="false" outlineLevel="0" collapsed="false">
      <c r="B7" s="3" t="s">
        <v>49</v>
      </c>
      <c r="C7" s="12" t="n">
        <v>8553.23475132774</v>
      </c>
      <c r="D7" s="12" t="n">
        <f aca="false">Pooling!D10</f>
        <v>8553.23475132957</v>
      </c>
      <c r="E7" s="13" t="n">
        <f aca="false">ABS(C7-D7)</f>
        <v>1.82444637175649E-009</v>
      </c>
      <c r="F7" s="3" t="str">
        <f aca="false">IF(E7&lt;=0.000000001*MAX(1,ABS(C7)),"OK","CHECK")</f>
        <v>OK</v>
      </c>
    </row>
    <row r="8" customFormat="false" ht="15" hidden="false" customHeight="false" outlineLevel="0" collapsed="false">
      <c r="B8" s="3" t="s">
        <v>50</v>
      </c>
      <c r="C8" s="12" t="n">
        <v>7546.70430503344</v>
      </c>
      <c r="D8" s="12" t="n">
        <f aca="false">Pooling!D11</f>
        <v>7546.70430503505</v>
      </c>
      <c r="E8" s="13" t="n">
        <f aca="false">ABS(C8-D8)</f>
        <v>1.60889612743631E-009</v>
      </c>
      <c r="F8" s="3" t="str">
        <f aca="false">IF(E8&lt;=0.000000001*MAX(1,ABS(C8)),"OK","CHECK")</f>
        <v>OK</v>
      </c>
    </row>
    <row r="9" customFormat="false" ht="15" hidden="false" customHeight="false" outlineLevel="0" collapsed="false">
      <c r="B9" s="3" t="s">
        <v>51</v>
      </c>
      <c r="C9" s="12" t="n">
        <v>1006.53044629431</v>
      </c>
      <c r="D9" s="12" t="n">
        <f aca="false">Pooling!D12</f>
        <v>1006.53044629452</v>
      </c>
      <c r="E9" s="13" t="n">
        <f aca="false">ABS(C9-D9)</f>
        <v>2.15209183807019E-010</v>
      </c>
      <c r="F9" s="3" t="str">
        <f aca="false">IF(E9&lt;=0.000000001*MAX(1,ABS(C9)),"OK","CHECK")</f>
        <v>OK</v>
      </c>
    </row>
    <row r="10" customFormat="false" ht="15" hidden="false" customHeight="false" outlineLevel="0" collapsed="false">
      <c r="B10" s="3" t="s">
        <v>52</v>
      </c>
      <c r="C10" s="12" t="n">
        <v>28786.7707640172</v>
      </c>
      <c r="D10" s="12" t="n">
        <f aca="false">Pooling!D13</f>
        <v>28786.7707640234</v>
      </c>
      <c r="E10" s="13" t="n">
        <f aca="false">ABS(C10-D10)</f>
        <v>6.16637407802045E-009</v>
      </c>
      <c r="F10" s="3" t="str">
        <f aca="false">IF(E10&lt;=0.000000001*MAX(1,ABS(C10)),"OK","CHECK")</f>
        <v>OK</v>
      </c>
    </row>
    <row r="11" customFormat="false" ht="15" hidden="false" customHeight="false" outlineLevel="0" collapsed="false">
      <c r="B11" s="3" t="s">
        <v>53</v>
      </c>
      <c r="C11" s="12" t="n">
        <v>2192.25230054703</v>
      </c>
      <c r="D11" s="12" t="n">
        <f aca="false">Pooling!D14</f>
        <v>2192.25230054703</v>
      </c>
      <c r="E11" s="13" t="n">
        <f aca="false">ABS(C11-D11)</f>
        <v>0</v>
      </c>
      <c r="F11" s="3" t="str">
        <f aca="false">IF(E11&lt;=0.000000001*MAX(1,ABS(C11)),"OK","CHECK")</f>
        <v>OK</v>
      </c>
    </row>
    <row r="12" customFormat="false" ht="15" hidden="false" customHeight="false" outlineLevel="0" collapsed="false">
      <c r="B12" s="3" t="s">
        <v>54</v>
      </c>
      <c r="C12" s="12" t="n">
        <v>4384.50460109405</v>
      </c>
      <c r="D12" s="12" t="n">
        <f aca="false">Pooling!D15</f>
        <v>4384.50460109405</v>
      </c>
      <c r="E12" s="13" t="n">
        <f aca="false">ABS(C12-D12)</f>
        <v>0</v>
      </c>
      <c r="F12" s="3" t="str">
        <f aca="false">IF(E12&lt;=0.000000001*MAX(1,ABS(C12)),"OK","CHECK")</f>
        <v>OK</v>
      </c>
    </row>
    <row r="13" customFormat="false" ht="15" hidden="false" customHeight="false" outlineLevel="0" collapsed="false">
      <c r="B13" s="3" t="s">
        <v>55</v>
      </c>
      <c r="C13" s="12" t="n">
        <v>2192.25230054703</v>
      </c>
      <c r="D13" s="12" t="n">
        <f aca="false">Pooling!D16</f>
        <v>2192.25230054703</v>
      </c>
      <c r="E13" s="13" t="n">
        <f aca="false">ABS(C13-D13)</f>
        <v>0</v>
      </c>
      <c r="F13" s="3" t="str">
        <f aca="false">IF(E13&lt;=0.000000001*MAX(1,ABS(C13)),"OK","CHECK")</f>
        <v>OK</v>
      </c>
    </row>
    <row r="14" customFormat="false" ht="15" hidden="false" customHeight="false" outlineLevel="0" collapsed="false">
      <c r="B14" s="3" t="s">
        <v>56</v>
      </c>
      <c r="C14" s="12" t="n">
        <v>2192.25230054703</v>
      </c>
      <c r="D14" s="12" t="n">
        <f aca="false">Pooling!D17</f>
        <v>2192.25230054703</v>
      </c>
      <c r="E14" s="13" t="n">
        <f aca="false">ABS(C14-D14)</f>
        <v>0</v>
      </c>
      <c r="F14" s="3" t="str">
        <f aca="false">IF(E14&lt;=0.000000001*MAX(1,ABS(C14)),"OK","CHECK")</f>
        <v>OK</v>
      </c>
    </row>
    <row r="15" customFormat="false" ht="15" hidden="false" customHeight="false" outlineLevel="0" collapsed="false">
      <c r="B15" s="3" t="s">
        <v>57</v>
      </c>
      <c r="C15" s="12" t="n">
        <v>62698.415795645</v>
      </c>
      <c r="D15" s="12" t="n">
        <f aca="false">Pooling!D18</f>
        <v>62698.415795645</v>
      </c>
      <c r="E15" s="13" t="n">
        <f aca="false">ABS(C15-D15)</f>
        <v>0</v>
      </c>
      <c r="F15" s="3" t="str">
        <f aca="false">IF(E15&lt;=0.000000001*MAX(1,ABS(C15)),"OK","CHECK")</f>
        <v>OK</v>
      </c>
    </row>
    <row r="16" customFormat="false" ht="15" hidden="false" customHeight="false" outlineLevel="0" collapsed="false">
      <c r="B16" s="3" t="s">
        <v>58</v>
      </c>
      <c r="C16" s="12" t="n">
        <v>16803.1754332329</v>
      </c>
      <c r="D16" s="12" t="n">
        <f aca="false">Pooling!D19</f>
        <v>16803.1754332329</v>
      </c>
      <c r="E16" s="13" t="n">
        <f aca="false">ABS(C16-D16)</f>
        <v>0</v>
      </c>
      <c r="F16" s="3" t="str">
        <f aca="false">IF(E16&lt;=0.000000001*MAX(1,ABS(C16)),"OK","CHECK")</f>
        <v>OK</v>
      </c>
    </row>
    <row r="17" customFormat="false" ht="15" hidden="false" customHeight="false" outlineLevel="0" collapsed="false">
      <c r="B17" s="3" t="s">
        <v>59</v>
      </c>
      <c r="C17" s="12" t="n">
        <v>8401.58771661643</v>
      </c>
      <c r="D17" s="12" t="n">
        <f aca="false">Pooling!D20</f>
        <v>8401.58771661643</v>
      </c>
      <c r="E17" s="13" t="n">
        <f aca="false">ABS(C17-D17)</f>
        <v>0</v>
      </c>
      <c r="F17" s="3" t="str">
        <f aca="false">IF(E17&lt;=0.000000001*MAX(1,ABS(C17)),"OK","CHECK")</f>
        <v>OK</v>
      </c>
    </row>
    <row r="18" customFormat="false" ht="15" hidden="false" customHeight="false" outlineLevel="0" collapsed="false">
      <c r="B18" s="3" t="s">
        <v>80</v>
      </c>
      <c r="C18" s="12" t="n">
        <v>91485.1865596622</v>
      </c>
      <c r="D18" s="12" t="n">
        <f aca="false">Pooling!D21</f>
        <v>91485.1865596683</v>
      </c>
      <c r="E18" s="13" t="n">
        <f aca="false">ABS(C18-D18)</f>
        <v>6.17001205682755E-009</v>
      </c>
      <c r="F18" s="3" t="str">
        <f aca="false">IF(E18&lt;=0.000000001*MAX(1,ABS(C18)),"OK","CHECK")</f>
        <v>OK</v>
      </c>
    </row>
    <row r="19" customFormat="false" ht="15" hidden="false" customHeight="false" outlineLevel="0" collapsed="false">
      <c r="B19" s="3" t="s">
        <v>81</v>
      </c>
      <c r="C19" s="12" t="n">
        <v>-1104</v>
      </c>
      <c r="D19" s="12" t="n">
        <f aca="false">'Forecast bias'!C5</f>
        <v>-1104</v>
      </c>
      <c r="E19" s="13" t="n">
        <f aca="false">ABS(C19-D19)</f>
        <v>0</v>
      </c>
      <c r="F19" s="3" t="str">
        <f aca="false">IF(E19&lt;=0.000000001*MAX(1,ABS(C19)),"OK","CHECK")</f>
        <v>OK</v>
      </c>
    </row>
    <row r="20" customFormat="false" ht="15" hidden="false" customHeight="false" outlineLevel="0" collapsed="false">
      <c r="B20" s="3" t="s">
        <v>82</v>
      </c>
      <c r="C20" s="12" t="n">
        <v>-4230.9696</v>
      </c>
      <c r="D20" s="12" t="n">
        <f aca="false">'Forecast bias'!E5</f>
        <v>-4230.9696</v>
      </c>
      <c r="E20" s="13" t="n">
        <f aca="false">ABS(C20-D20)</f>
        <v>0</v>
      </c>
      <c r="F20" s="3" t="str">
        <f aca="false">IF(E20&lt;=0.000000001*MAX(1,ABS(C20)),"OK","CHECK")</f>
        <v>OK</v>
      </c>
    </row>
    <row r="21" customFormat="false" ht="15" hidden="false" customHeight="false" outlineLevel="0" collapsed="false">
      <c r="B21" s="3" t="s">
        <v>83</v>
      </c>
      <c r="C21" s="12" t="n">
        <v>13183.2174869676</v>
      </c>
      <c r="D21" s="12" t="n">
        <f aca="false">'Forecast bias'!F5</f>
        <v>13183.2174869543</v>
      </c>
      <c r="E21" s="13" t="n">
        <f aca="false">ABS(C21-D21)</f>
        <v>1.32949935505167E-008</v>
      </c>
      <c r="F21" s="3" t="str">
        <f aca="false">IF(E21&lt;=0.000000001*MAX(1,ABS(C21)),"OK","CHECK")</f>
        <v>OK</v>
      </c>
    </row>
    <row r="22" customFormat="false" ht="15" hidden="false" customHeight="false" outlineLevel="0" collapsed="false">
      <c r="B22" s="3" t="s">
        <v>84</v>
      </c>
      <c r="C22" s="12" t="n">
        <v>8952.24788696759</v>
      </c>
      <c r="D22" s="12" t="n">
        <f aca="false">'Forecast bias'!G5</f>
        <v>8952.24788695429</v>
      </c>
      <c r="E22" s="13" t="n">
        <f aca="false">ABS(C22-D22)</f>
        <v>1.32913555717096E-008</v>
      </c>
      <c r="F22" s="3" t="str">
        <f aca="false">IF(E22&lt;=0.000000001*MAX(1,ABS(C22)),"OK","CHECK")</f>
        <v>OK</v>
      </c>
    </row>
    <row r="23" customFormat="false" ht="15" hidden="false" customHeight="false" outlineLevel="0" collapsed="false">
      <c r="B23" s="3" t="s">
        <v>85</v>
      </c>
      <c r="C23" s="12" t="n">
        <v>-552</v>
      </c>
      <c r="D23" s="12" t="n">
        <f aca="false">'Forecast bias'!C6</f>
        <v>-552</v>
      </c>
      <c r="E23" s="13" t="n">
        <f aca="false">ABS(C23-D23)</f>
        <v>0</v>
      </c>
      <c r="F23" s="3" t="str">
        <f aca="false">IF(E23&lt;=0.000000001*MAX(1,ABS(C23)),"OK","CHECK")</f>
        <v>OK</v>
      </c>
    </row>
    <row r="24" customFormat="false" ht="15" hidden="false" customHeight="false" outlineLevel="0" collapsed="false">
      <c r="B24" s="3" t="s">
        <v>86</v>
      </c>
      <c r="C24" s="12" t="n">
        <v>-2115.4848</v>
      </c>
      <c r="D24" s="12" t="n">
        <f aca="false">'Forecast bias'!E6</f>
        <v>-2115.4848</v>
      </c>
      <c r="E24" s="13" t="n">
        <f aca="false">ABS(C24-D24)</f>
        <v>0</v>
      </c>
      <c r="F24" s="3" t="str">
        <f aca="false">IF(E24&lt;=0.000000001*MAX(1,ABS(C24)),"OK","CHECK")</f>
        <v>OK</v>
      </c>
    </row>
    <row r="25" customFormat="false" ht="15" hidden="false" customHeight="false" outlineLevel="0" collapsed="false">
      <c r="B25" s="3" t="s">
        <v>87</v>
      </c>
      <c r="C25" s="12" t="n">
        <v>5471.58109348592</v>
      </c>
      <c r="D25" s="12" t="n">
        <f aca="false">'Forecast bias'!F6</f>
        <v>5471.5810934799</v>
      </c>
      <c r="E25" s="13" t="n">
        <f aca="false">ABS(C25-D25)</f>
        <v>6.01903593633324E-009</v>
      </c>
      <c r="F25" s="3" t="str">
        <f aca="false">IF(E25&lt;=0.000000001*MAX(1,ABS(C25)),"OK","CHECK")</f>
        <v>OK</v>
      </c>
    </row>
    <row r="26" customFormat="false" ht="15" hidden="false" customHeight="false" outlineLevel="0" collapsed="false">
      <c r="B26" s="3" t="s">
        <v>88</v>
      </c>
      <c r="C26" s="12" t="n">
        <v>3356.09629348592</v>
      </c>
      <c r="D26" s="12" t="n">
        <f aca="false">'Forecast bias'!G6</f>
        <v>3356.0962934799</v>
      </c>
      <c r="E26" s="13" t="n">
        <f aca="false">ABS(C26-D26)</f>
        <v>6.01903593633324E-009</v>
      </c>
      <c r="F26" s="3" t="str">
        <f aca="false">IF(E26&lt;=0.000000001*MAX(1,ABS(C26)),"OK","CHECK")</f>
        <v>OK</v>
      </c>
    </row>
    <row r="27" customFormat="false" ht="15" hidden="false" customHeight="false" outlineLevel="0" collapsed="false">
      <c r="B27" s="3" t="s">
        <v>89</v>
      </c>
      <c r="C27" s="12" t="n">
        <v>552</v>
      </c>
      <c r="D27" s="12" t="n">
        <f aca="false">'Forecast bias'!C7</f>
        <v>552</v>
      </c>
      <c r="E27" s="13" t="n">
        <f aca="false">ABS(C27-D27)</f>
        <v>0</v>
      </c>
      <c r="F27" s="3" t="str">
        <f aca="false">IF(E27&lt;=0.000000001*MAX(1,ABS(C27)),"OK","CHECK")</f>
        <v>OK</v>
      </c>
    </row>
    <row r="28" customFormat="false" ht="15" hidden="false" customHeight="false" outlineLevel="0" collapsed="false">
      <c r="B28" s="3" t="s">
        <v>90</v>
      </c>
      <c r="C28" s="12" t="n">
        <v>2115.4848</v>
      </c>
      <c r="D28" s="12" t="n">
        <f aca="false">'Forecast bias'!E7</f>
        <v>2115.4848</v>
      </c>
      <c r="E28" s="13" t="n">
        <f aca="false">ABS(C28-D28)</f>
        <v>0</v>
      </c>
      <c r="F28" s="3" t="str">
        <f aca="false">IF(E28&lt;=0.000000001*MAX(1,ABS(C28)),"OK","CHECK")</f>
        <v>OK</v>
      </c>
    </row>
    <row r="29" customFormat="false" ht="15" hidden="false" customHeight="false" outlineLevel="0" collapsed="false">
      <c r="B29" s="3" t="s">
        <v>91</v>
      </c>
      <c r="C29" s="12" t="n">
        <v>-3805.65385199034</v>
      </c>
      <c r="D29" s="12" t="n">
        <f aca="false">'Forecast bias'!F7</f>
        <v>-3805.65385198606</v>
      </c>
      <c r="E29" s="13" t="n">
        <f aca="false">ABS(C29-D29)</f>
        <v>4.27507984568365E-009</v>
      </c>
      <c r="F29" s="3" t="str">
        <f aca="false">IF(E29&lt;=0.000000001*MAX(1,ABS(C29)),"OK","CHECK")</f>
        <v>OK</v>
      </c>
    </row>
    <row r="30" customFormat="false" ht="15" hidden="false" customHeight="false" outlineLevel="0" collapsed="false">
      <c r="B30" s="3" t="s">
        <v>92</v>
      </c>
      <c r="C30" s="12" t="n">
        <v>-1690.16905199034</v>
      </c>
      <c r="D30" s="12" t="n">
        <f aca="false">'Forecast bias'!G7</f>
        <v>-1690.16905198606</v>
      </c>
      <c r="E30" s="13" t="n">
        <f aca="false">ABS(C30-D30)</f>
        <v>4.27507984568365E-009</v>
      </c>
      <c r="F30" s="3" t="str">
        <f aca="false">IF(E30&lt;=0.000000001*MAX(1,ABS(C30)),"OK","CHECK")</f>
        <v>OK</v>
      </c>
    </row>
    <row r="31" customFormat="false" ht="15" hidden="false" customHeight="false" outlineLevel="0" collapsed="false">
      <c r="B31" s="3" t="s">
        <v>93</v>
      </c>
      <c r="C31" s="12" t="n">
        <v>1104</v>
      </c>
      <c r="D31" s="12" t="n">
        <f aca="false">'Forecast bias'!C8</f>
        <v>1104</v>
      </c>
      <c r="E31" s="13" t="n">
        <f aca="false">ABS(C31-D31)</f>
        <v>0</v>
      </c>
      <c r="F31" s="3" t="str">
        <f aca="false">IF(E31&lt;=0.000000001*MAX(1,ABS(C31)),"OK","CHECK")</f>
        <v>OK</v>
      </c>
    </row>
    <row r="32" customFormat="false" ht="15" hidden="false" customHeight="false" outlineLevel="0" collapsed="false">
      <c r="B32" s="3" t="s">
        <v>94</v>
      </c>
      <c r="C32" s="12" t="n">
        <v>4230.9696</v>
      </c>
      <c r="D32" s="12" t="n">
        <f aca="false">'Forecast bias'!E8</f>
        <v>4230.9696</v>
      </c>
      <c r="E32" s="13" t="n">
        <f aca="false">ABS(C32-D32)</f>
        <v>0</v>
      </c>
      <c r="F32" s="3" t="str">
        <f aca="false">IF(E32&lt;=0.000000001*MAX(1,ABS(C32)),"OK","CHECK")</f>
        <v>OK</v>
      </c>
    </row>
    <row r="33" customFormat="false" ht="15" hidden="false" customHeight="false" outlineLevel="0" collapsed="false">
      <c r="B33" s="3" t="s">
        <v>95</v>
      </c>
      <c r="C33" s="12" t="n">
        <v>-6399.90221010451</v>
      </c>
      <c r="D33" s="12" t="n">
        <f aca="false">'Forecast bias'!F8</f>
        <v>-6399.90221009755</v>
      </c>
      <c r="E33" s="13" t="n">
        <f aca="false">ABS(C33-D33)</f>
        <v>6.96218194207177E-009</v>
      </c>
      <c r="F33" s="3" t="str">
        <f aca="false">IF(E33&lt;=0.000000001*MAX(1,ABS(C33)),"OK","CHECK")</f>
        <v>OK</v>
      </c>
    </row>
    <row r="34" customFormat="false" ht="15" hidden="false" customHeight="false" outlineLevel="0" collapsed="false">
      <c r="B34" s="3" t="s">
        <v>96</v>
      </c>
      <c r="C34" s="12" t="n">
        <v>-2168.93261010451</v>
      </c>
      <c r="D34" s="12" t="n">
        <f aca="false">'Forecast bias'!G8</f>
        <v>-2168.93261009755</v>
      </c>
      <c r="E34" s="13" t="n">
        <f aca="false">ABS(C34-D34)</f>
        <v>6.96218194207177E-009</v>
      </c>
      <c r="F34" s="3" t="str">
        <f aca="false">IF(E34&lt;=0.000000001*MAX(1,ABS(C34)),"OK","CHECK")</f>
        <v>OK</v>
      </c>
    </row>
    <row r="35" customFormat="false" ht="15" hidden="false" customHeight="false" outlineLevel="0" collapsed="false">
      <c r="B35" s="3" t="s">
        <v>97</v>
      </c>
      <c r="C35" s="12" t="n">
        <v>5674.50438364444</v>
      </c>
      <c r="D35" s="12" t="n">
        <f aca="false">'Holding rate'!C5</f>
        <v>5674.50438364444</v>
      </c>
      <c r="E35" s="13" t="n">
        <f aca="false">ABS(C35-D35)</f>
        <v>0</v>
      </c>
      <c r="F35" s="3" t="str">
        <f aca="false">IF(E35&lt;=0.000000001*MAX(1,ABS(C35)),"OK","CHECK")</f>
        <v>OK</v>
      </c>
    </row>
    <row r="36" customFormat="false" ht="15" hidden="false" customHeight="false" outlineLevel="0" collapsed="false">
      <c r="B36" s="3" t="s">
        <v>98</v>
      </c>
      <c r="C36" s="12" t="n">
        <v>296981.155810072</v>
      </c>
      <c r="D36" s="12" t="n">
        <f aca="false">'Holding rate'!D5</f>
        <v>296981.155810118</v>
      </c>
      <c r="E36" s="13" t="n">
        <f aca="false">ABS(C36-D36)</f>
        <v>4.60422597825527E-008</v>
      </c>
      <c r="F36" s="3" t="str">
        <f aca="false">IF(E36&lt;=0.000000001*MAX(1,ABS(C36)),"OK","CHECK")</f>
        <v>OK</v>
      </c>
    </row>
    <row r="37" customFormat="false" ht="15" hidden="false" customHeight="false" outlineLevel="0" collapsed="false">
      <c r="B37" s="3" t="s">
        <v>99</v>
      </c>
      <c r="C37" s="12" t="n">
        <v>38849.1240337275</v>
      </c>
      <c r="D37" s="12" t="n">
        <f aca="false">'Holding rate'!E5</f>
        <v>38849.1240337212</v>
      </c>
      <c r="E37" s="13" t="n">
        <f aca="false">ABS(C37-D37)</f>
        <v>6.29370333626866E-009</v>
      </c>
      <c r="F37" s="3" t="str">
        <f aca="false">IF(E37&lt;=0.000000001*MAX(1,ABS(C37)),"OK","CHECK")</f>
        <v>OK</v>
      </c>
    </row>
    <row r="38" customFormat="false" ht="15" hidden="false" customHeight="false" outlineLevel="0" collapsed="false">
      <c r="B38" s="3" t="s">
        <v>100</v>
      </c>
      <c r="C38" s="14" t="n">
        <v>0.992820387828377</v>
      </c>
      <c r="D38" s="14" t="n">
        <f aca="false">'Holding rate'!F5</f>
        <v>0.992820387828377</v>
      </c>
      <c r="E38" s="13" t="n">
        <f aca="false">ABS(C38-D38)</f>
        <v>0</v>
      </c>
      <c r="F38" s="3" t="str">
        <f aca="false">IF(E38&lt;=0.000000001*MAX(1,ABS(C38)),"OK","CHECK")</f>
        <v>OK</v>
      </c>
    </row>
    <row r="39" customFormat="false" ht="15" hidden="false" customHeight="false" outlineLevel="0" collapsed="false">
      <c r="B39" s="3" t="s">
        <v>101</v>
      </c>
      <c r="C39" s="12" t="n">
        <v>5075.43101617981</v>
      </c>
      <c r="D39" s="12" t="n">
        <f aca="false">'Holding rate'!C6</f>
        <v>5075.43101617981</v>
      </c>
      <c r="E39" s="13" t="n">
        <f aca="false">ABS(C39-D39)</f>
        <v>0</v>
      </c>
      <c r="F39" s="3" t="str">
        <f aca="false">IF(E39&lt;=0.000000001*MAX(1,ABS(C39)),"OK","CHECK")</f>
        <v>OK</v>
      </c>
    </row>
    <row r="40" customFormat="false" ht="15" hidden="false" customHeight="false" outlineLevel="0" collapsed="false">
      <c r="B40" s="3" t="s">
        <v>102</v>
      </c>
      <c r="C40" s="12" t="n">
        <v>288414.406655328</v>
      </c>
      <c r="D40" s="12" t="n">
        <f aca="false">'Holding rate'!D6</f>
        <v>288414.406655374</v>
      </c>
      <c r="E40" s="13" t="n">
        <f aca="false">ABS(C40-D40)</f>
        <v>4.60422597825527E-008</v>
      </c>
      <c r="F40" s="3" t="str">
        <f aca="false">IF(E40&lt;=0.000000001*MAX(1,ABS(C40)),"OK","CHECK")</f>
        <v>OK</v>
      </c>
    </row>
    <row r="41" customFormat="false" ht="15" hidden="false" customHeight="false" outlineLevel="0" collapsed="false">
      <c r="B41" s="3" t="s">
        <v>103</v>
      </c>
      <c r="C41" s="12" t="n">
        <v>45713.2796712894</v>
      </c>
      <c r="D41" s="12" t="n">
        <f aca="false">'Holding rate'!E6</f>
        <v>45713.2796712829</v>
      </c>
      <c r="E41" s="13" t="n">
        <f aca="false">ABS(C41-D41)</f>
        <v>6.55563781037927E-009</v>
      </c>
      <c r="F41" s="3" t="str">
        <f aca="false">IF(E41&lt;=0.000000001*MAX(1,ABS(C41)),"OK","CHECK")</f>
        <v>OK</v>
      </c>
    </row>
    <row r="42" customFormat="false" ht="15" hidden="false" customHeight="false" outlineLevel="0" collapsed="false">
      <c r="B42" s="3" t="s">
        <v>104</v>
      </c>
      <c r="C42" s="14" t="n">
        <v>0.991972949566083</v>
      </c>
      <c r="D42" s="14" t="n">
        <f aca="false">'Holding rate'!F6</f>
        <v>0.991972949566083</v>
      </c>
      <c r="E42" s="13" t="n">
        <f aca="false">ABS(C42-D42)</f>
        <v>0</v>
      </c>
      <c r="F42" s="3" t="str">
        <f aca="false">IF(E42&lt;=0.000000001*MAX(1,ABS(C42)),"OK","CHECK")</f>
        <v>OK</v>
      </c>
    </row>
    <row r="43" customFormat="false" ht="15" hidden="false" customHeight="false" outlineLevel="0" collapsed="false">
      <c r="B43" s="3" t="s">
        <v>105</v>
      </c>
      <c r="C43" s="12" t="n">
        <v>4384.50460109405</v>
      </c>
      <c r="D43" s="12" t="n">
        <f aca="false">'Holding rate'!C7</f>
        <v>4384.50460109405</v>
      </c>
      <c r="E43" s="13" t="n">
        <f aca="false">ABS(C43-D43)</f>
        <v>0</v>
      </c>
      <c r="F43" s="3" t="str">
        <f aca="false">IF(E43&lt;=0.000000001*MAX(1,ABS(C43)),"OK","CHECK")</f>
        <v>OK</v>
      </c>
    </row>
    <row r="44" customFormat="false" ht="15" hidden="false" customHeight="false" outlineLevel="0" collapsed="false">
      <c r="B44" s="3" t="s">
        <v>106</v>
      </c>
      <c r="C44" s="12" t="n">
        <v>278534.158919601</v>
      </c>
      <c r="D44" s="12" t="n">
        <f aca="false">'Holding rate'!D7</f>
        <v>278534.158919647</v>
      </c>
      <c r="E44" s="13" t="n">
        <f aca="false">ABS(C44-D44)</f>
        <v>4.61004674434662E-008</v>
      </c>
      <c r="F44" s="3" t="str">
        <f aca="false">IF(E44&lt;=0.000000001*MAX(1,ABS(C44)),"OK","CHECK")</f>
        <v>OK</v>
      </c>
    </row>
    <row r="45" customFormat="false" ht="15" hidden="false" customHeight="false" outlineLevel="0" collapsed="false">
      <c r="B45" s="3" t="s">
        <v>107</v>
      </c>
      <c r="C45" s="12" t="n">
        <v>56854.1429533039</v>
      </c>
      <c r="D45" s="12" t="n">
        <f aca="false">'Holding rate'!E7</f>
        <v>56854.1429532972</v>
      </c>
      <c r="E45" s="13" t="n">
        <f aca="false">ABS(C45-D45)</f>
        <v>6.74481270834804E-009</v>
      </c>
      <c r="F45" s="3" t="str">
        <f aca="false">IF(E45&lt;=0.000000001*MAX(1,ABS(C45)),"OK","CHECK")</f>
        <v>OK</v>
      </c>
    </row>
    <row r="46" customFormat="false" ht="15" hidden="false" customHeight="false" outlineLevel="0" collapsed="false">
      <c r="B46" s="3" t="s">
        <v>108</v>
      </c>
      <c r="C46" s="14" t="n">
        <v>0.990708017336651</v>
      </c>
      <c r="D46" s="14" t="n">
        <f aca="false">'Holding rate'!F7</f>
        <v>0.990708017336651</v>
      </c>
      <c r="E46" s="13" t="n">
        <f aca="false">ABS(C46-D46)</f>
        <v>0</v>
      </c>
      <c r="F46" s="3" t="str">
        <f aca="false">IF(E46&lt;=0.000000001*MAX(1,ABS(C46)),"OK","CHECK")</f>
        <v>OK</v>
      </c>
    </row>
    <row r="47" customFormat="false" ht="15" hidden="false" customHeight="false" outlineLevel="0" collapsed="false">
      <c r="B47" s="3" t="s">
        <v>109</v>
      </c>
      <c r="C47" s="12" t="n">
        <v>4012.48052954778</v>
      </c>
      <c r="D47" s="12" t="n">
        <f aca="false">'Holding rate'!C8</f>
        <v>4012.48052954778</v>
      </c>
      <c r="E47" s="13" t="n">
        <f aca="false">ABS(C47-D47)</f>
        <v>0</v>
      </c>
      <c r="F47" s="3" t="str">
        <f aca="false">IF(E47&lt;=0.000000001*MAX(1,ABS(C47)),"OK","CHECK")</f>
        <v>OK</v>
      </c>
    </row>
    <row r="48" customFormat="false" ht="15" hidden="false" customHeight="false" outlineLevel="0" collapsed="false">
      <c r="B48" s="3" t="s">
        <v>110</v>
      </c>
      <c r="C48" s="12" t="n">
        <v>273214.214696489</v>
      </c>
      <c r="D48" s="12" t="n">
        <f aca="false">'Holding rate'!D8</f>
        <v>273214.214696536</v>
      </c>
      <c r="E48" s="13" t="n">
        <f aca="false">ABS(C48-D48)</f>
        <v>4.61004674434662E-008</v>
      </c>
      <c r="F48" s="3" t="str">
        <f aca="false">IF(E48&lt;=0.000000001*MAX(1,ABS(C48)),"OK","CHECK")</f>
        <v>OK</v>
      </c>
    </row>
    <row r="49" customFormat="false" ht="15" hidden="false" customHeight="false" outlineLevel="0" collapsed="false">
      <c r="B49" s="3" t="s">
        <v>111</v>
      </c>
      <c r="C49" s="12" t="n">
        <v>65055.650180983</v>
      </c>
      <c r="D49" s="12" t="n">
        <f aca="false">'Holding rate'!E8</f>
        <v>65055.6501809763</v>
      </c>
      <c r="E49" s="13" t="n">
        <f aca="false">ABS(C49-D49)</f>
        <v>6.73753675073385E-009</v>
      </c>
      <c r="F49" s="3" t="str">
        <f aca="false">IF(E49&lt;=0.000000001*MAX(1,ABS(C49)),"OK","CHECK")</f>
        <v>OK</v>
      </c>
    </row>
    <row r="50" customFormat="false" ht="15" hidden="false" customHeight="false" outlineLevel="0" collapsed="false">
      <c r="B50" s="3" t="s">
        <v>112</v>
      </c>
      <c r="C50" s="14" t="n">
        <v>0.989846495094312</v>
      </c>
      <c r="D50" s="14" t="n">
        <f aca="false">'Holding rate'!F8</f>
        <v>0.989846495094312</v>
      </c>
      <c r="E50" s="13" t="n">
        <f aca="false">ABS(C50-D50)</f>
        <v>0</v>
      </c>
      <c r="F50" s="3" t="str">
        <f aca="false">IF(E50&lt;=0.000000001*MAX(1,ABS(C50)),"OK","CHECK")</f>
        <v>OK</v>
      </c>
    </row>
    <row r="51" customFormat="false" ht="15" hidden="false" customHeight="false" outlineLevel="0" collapsed="false">
      <c r="B51" s="3" t="s">
        <v>113</v>
      </c>
      <c r="C51" s="12" t="n">
        <v>3588.87168898527</v>
      </c>
      <c r="D51" s="12" t="n">
        <f aca="false">'Holding rate'!C9</f>
        <v>3588.87168898527</v>
      </c>
      <c r="E51" s="13" t="n">
        <f aca="false">ABS(C51-D51)</f>
        <v>0</v>
      </c>
      <c r="F51" s="3" t="str">
        <f aca="false">IF(E51&lt;=0.000000001*MAX(1,ABS(C51)),"OK","CHECK")</f>
        <v>OK</v>
      </c>
    </row>
    <row r="52" customFormat="false" ht="15" hidden="false" customHeight="false" outlineLevel="0" collapsed="false">
      <c r="B52" s="3" t="s">
        <v>114</v>
      </c>
      <c r="C52" s="12" t="n">
        <v>267156.608276446</v>
      </c>
      <c r="D52" s="12" t="n">
        <f aca="false">'Holding rate'!D9</f>
        <v>267156.608276492</v>
      </c>
      <c r="E52" s="13" t="n">
        <f aca="false">ABS(C52-D52)</f>
        <v>4.59840521216393E-008</v>
      </c>
      <c r="F52" s="3" t="str">
        <f aca="false">IF(E52&lt;=0.000000001*MAX(1,ABS(C52)),"OK","CHECK")</f>
        <v>OK</v>
      </c>
    </row>
    <row r="53" customFormat="false" ht="15" hidden="false" customHeight="false" outlineLevel="0" collapsed="false">
      <c r="B53" s="3" t="s">
        <v>115</v>
      </c>
      <c r="C53" s="12" t="n">
        <v>77291.7051994056</v>
      </c>
      <c r="D53" s="12" t="n">
        <f aca="false">'Holding rate'!E9</f>
        <v>77291.705199399</v>
      </c>
      <c r="E53" s="13" t="n">
        <f aca="false">ABS(C53-D53)</f>
        <v>6.57746568322182E-009</v>
      </c>
      <c r="F53" s="3" t="str">
        <f aca="false">IF(E53&lt;=0.000000001*MAX(1,ABS(C53)),"OK","CHECK")</f>
        <v>OK</v>
      </c>
    </row>
    <row r="54" customFormat="false" ht="15" hidden="false" customHeight="false" outlineLevel="0" collapsed="false">
      <c r="B54" s="3" t="s">
        <v>116</v>
      </c>
      <c r="C54" s="14" t="n">
        <v>0.988648036410502</v>
      </c>
      <c r="D54" s="14" t="n">
        <f aca="false">'Holding rate'!F9</f>
        <v>0.988648036410502</v>
      </c>
      <c r="E54" s="13" t="n">
        <f aca="false">ABS(C54-D54)</f>
        <v>0</v>
      </c>
      <c r="F54" s="3" t="str">
        <f aca="false">IF(E54&lt;=0.000000001*MAX(1,ABS(C54)),"OK","CHECK")</f>
        <v>OK</v>
      </c>
    </row>
    <row r="55" customFormat="false" ht="15" hidden="false" customHeight="false" outlineLevel="0" collapsed="false">
      <c r="B55" s="3" t="s">
        <v>117</v>
      </c>
      <c r="C55" s="12" t="n">
        <v>3209.98442363822</v>
      </c>
      <c r="D55" s="12" t="n">
        <f aca="false">'Holding rate'!C10</f>
        <v>3209.98442363822</v>
      </c>
      <c r="E55" s="13" t="n">
        <f aca="false">ABS(C55-D55)</f>
        <v>0</v>
      </c>
      <c r="F55" s="3" t="str">
        <f aca="false">IF(E55&lt;=0.000000001*MAX(1,ABS(C55)),"OK","CHECK")</f>
        <v>OK</v>
      </c>
    </row>
    <row r="56" customFormat="false" ht="15" hidden="false" customHeight="false" outlineLevel="0" collapsed="false">
      <c r="B56" s="3" t="s">
        <v>118</v>
      </c>
      <c r="C56" s="12" t="n">
        <v>261738.520381983</v>
      </c>
      <c r="D56" s="12" t="n">
        <f aca="false">'Holding rate'!D10</f>
        <v>261738.520382029</v>
      </c>
      <c r="E56" s="13" t="n">
        <f aca="false">ABS(C56-D56)</f>
        <v>4.60713636130095E-008</v>
      </c>
      <c r="F56" s="3" t="str">
        <f aca="false">IF(E56&lt;=0.000000001*MAX(1,ABS(C56)),"OK","CHECK")</f>
        <v>OK</v>
      </c>
    </row>
    <row r="57" customFormat="false" ht="15" hidden="false" customHeight="false" outlineLevel="0" collapsed="false">
      <c r="B57" s="3" t="s">
        <v>119</v>
      </c>
      <c r="C57" s="12" t="n">
        <v>92111.3498824266</v>
      </c>
      <c r="D57" s="12" t="n">
        <f aca="false">'Holding rate'!E10</f>
        <v>92111.3498824205</v>
      </c>
      <c r="E57" s="13" t="n">
        <f aca="false">ABS(C57-D57)</f>
        <v>6.12635631114245E-009</v>
      </c>
      <c r="F57" s="3" t="str">
        <f aca="false">IF(E57&lt;=0.000000001*MAX(1,ABS(C57)),"OK","CHECK")</f>
        <v>OK</v>
      </c>
    </row>
    <row r="58" customFormat="false" ht="15" hidden="false" customHeight="false" outlineLevel="0" collapsed="false">
      <c r="B58" s="3" t="s">
        <v>120</v>
      </c>
      <c r="C58" s="14" t="n">
        <v>0.98730811886789</v>
      </c>
      <c r="D58" s="14" t="n">
        <f aca="false">'Holding rate'!F10</f>
        <v>0.98730811886789</v>
      </c>
      <c r="E58" s="13" t="n">
        <f aca="false">ABS(C58-D58)</f>
        <v>0</v>
      </c>
      <c r="F58" s="3" t="str">
        <f aca="false">IF(E58&lt;=0.000000001*MAX(1,ABS(C58)),"OK","CHECK")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2026-09-16T05:50:22Z</dcterms:created>
  <dc:creator>openpyxl</dc:creator>
  <dc:description/>
  <dc:language>en-US</dc:language>
  <cp:lastModifiedBy/>
  <dcterms:modified xsi:type="dcterms:W3CDTF">2026-09-16T05:50:22Z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